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DIC\INF_ELABORADA\"/>
    </mc:Choice>
  </mc:AlternateContent>
  <xr:revisionPtr revIDLastSave="0" documentId="13_ncr:1_{03089D12-59BB-4BEB-9506-C9650F29DF07}" xr6:coauthVersionLast="41" xr6:coauthVersionMax="41" xr10:uidLastSave="{00000000-0000-0000-0000-000000000000}"/>
  <bookViews>
    <workbookView xWindow="-120" yWindow="-120" windowWidth="29040" windowHeight="15840" tabRatio="848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 localSheetId="12">#REF!</definedName>
    <definedName name="_xlnm.Print_Area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OFFSET(Dat_01!$J$220,0,0,COUNT(Dat_01!$I$220:$I$245),1)</definedName>
    <definedName name="H_Gen">OFFSET(Dat_01!$Q$220,0,0,COUNT(Dat_01!$P$220:$P$245),1)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>#REF!</definedName>
    <definedName name="MSTR.BANDA_PARA_CONSEJO_PROCESOS" localSheetId="12">#REF!</definedName>
    <definedName name="MSTR.BANDA_PARA_CONSEJO_PROCESOS">#REF!</definedName>
    <definedName name="MSTR.BANDA_PARA_CONSEJO_PROCESOS1" localSheetId="12">#REF!</definedName>
    <definedName name="MSTR.BANDA_PARA_CONSEJO_PROCESOS1">#REF!</definedName>
    <definedName name="MSTR.BANDA_PARA_CONSEJO_PROCESOS10" localSheetId="12">#REF!</definedName>
    <definedName name="MSTR.BANDA_PARA_CONSEJO_PROCESOS10">#REF!</definedName>
    <definedName name="MSTR.BANDA_PARA_CONSEJO_PROCESOS2" localSheetId="12">#REF!</definedName>
    <definedName name="MSTR.BANDA_PARA_CONSEJO_PROCESOS2">#REF!</definedName>
    <definedName name="MSTR.BANDA_PARA_CONSEJO_PROCESOS3" localSheetId="12">#REF!</definedName>
    <definedName name="MSTR.BANDA_PARA_CONSEJO_PROCESOS3">#REF!</definedName>
    <definedName name="MSTR.BANDA_PARA_CONSEJO_PROCESOS4" localSheetId="12">#REF!</definedName>
    <definedName name="MSTR.BANDA_PARA_CONSEJO_PROCESOS4">#REF!</definedName>
    <definedName name="MSTR.BANDA_PARA_CONSEJO_PROCESOS5" localSheetId="12">#REF!</definedName>
    <definedName name="MSTR.BANDA_PARA_CONSEJO_PROCESOS5">#REF!</definedName>
    <definedName name="MSTR.BANDA_PARA_CONSEJO_PROCESOS6" localSheetId="12">#REF!</definedName>
    <definedName name="MSTR.BANDA_PARA_CONSEJO_PROCESOS6">#REF!</definedName>
    <definedName name="MSTR.BANDA_PARA_CONSEJO_PROCESOS7" localSheetId="12">#REF!</definedName>
    <definedName name="MSTR.BANDA_PARA_CONSEJO_PROCESOS7">#REF!</definedName>
    <definedName name="MSTR.BANDA_PARA_CONSEJO_PROCESOS8" localSheetId="12">#REF!</definedName>
    <definedName name="MSTR.BANDA_PARA_CONSEJO_PROCESOS8">#REF!</definedName>
    <definedName name="MSTR.BANDA_PARA_CONSEJO_PROCESOS9" localSheetId="12">#REF!</definedName>
    <definedName name="MSTR.BANDA_PARA_CONSEJO_PROCESOS9">#REF!</definedName>
    <definedName name="MSTR.Emisiones_CO2">#REF!</definedName>
    <definedName name="MSTR.Liquidación_por_Segmentos" localSheetId="12">#REF!</definedName>
    <definedName name="MSTR.Liquidación_por_Segmentos">#REF!</definedName>
    <definedName name="MSTR.Liquidación_por_Segmentos1" localSheetId="12">#REF!</definedName>
    <definedName name="MSTR.Liquidación_por_Segmentos1">#REF!</definedName>
    <definedName name="MSTR.Liquidación_por_Segmentos10" localSheetId="12">#REF!</definedName>
    <definedName name="MSTR.Liquidación_por_Segmentos10">#REF!</definedName>
    <definedName name="MSTR.Liquidación_por_Segmentos11" localSheetId="12">#REF!</definedName>
    <definedName name="MSTR.Liquidación_por_Segmentos11">#REF!</definedName>
    <definedName name="MSTR.Liquidación_por_Segmentos2" localSheetId="12">#REF!</definedName>
    <definedName name="MSTR.Liquidación_por_Segmentos2">#REF!</definedName>
    <definedName name="MSTR.Liquidación_por_Segmentos3" localSheetId="12">#REF!</definedName>
    <definedName name="MSTR.Liquidación_por_Segmentos3">#REF!</definedName>
    <definedName name="MSTR.Liquidación_por_Segmentos4" localSheetId="12">#REF!</definedName>
    <definedName name="MSTR.Liquidación_por_Segmentos4">#REF!</definedName>
    <definedName name="MSTR.Liquidación_por_Segmentos5" localSheetId="12">#REF!</definedName>
    <definedName name="MSTR.Liquidación_por_Segmentos5">#REF!</definedName>
    <definedName name="MSTR.Liquidación_por_Segmentos6" localSheetId="12">#REF!</definedName>
    <definedName name="MSTR.Liquidación_por_Segmentos6">#REF!</definedName>
    <definedName name="MSTR.Liquidación_por_Segmentos7" localSheetId="12">#REF!</definedName>
    <definedName name="MSTR.Liquidación_por_Segmentos7">#REF!</definedName>
    <definedName name="MSTR.Liquidación_por_Segmentos8" localSheetId="12">#REF!</definedName>
    <definedName name="MSTR.Liquidación_por_Segmentos8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OFFSET(Dat_02!$E$3,0,0,COUNT(Dat_02!$E$3:$E$500),1)</definedName>
    <definedName name="Prod_Dia">OFFSET(Dat_02!$C$3,0,0,COUNT(Dat_02!$C$3:$C$500),1)</definedName>
    <definedName name="Prod_Inter" localSheetId="12">OFFSET(Dat_02!$H$3,0,0,COUNT(Dat_02!#REF!),1)</definedName>
    <definedName name="Prod_Inter">OFFSET(Dat_02!$H$3,0,0,COUNT(Dat_02!#REF!),1)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xml:space="preserve">                                                                                       Dat_01!$A$175:$S$210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11" i="44" l="1"/>
  <c r="J53" i="43"/>
  <c r="K53" i="43"/>
  <c r="H94" i="44" l="1"/>
  <c r="G25" i="6" l="1"/>
  <c r="F70" i="43" l="1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B33" i="44" l="1"/>
  <c r="F51" i="44"/>
  <c r="M21" i="44"/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N141" i="44" l="1"/>
  <c r="E398" i="47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H211" i="44"/>
  <c r="E19" i="40" l="1"/>
  <c r="B91" i="44" l="1"/>
  <c r="B50" i="44" l="1"/>
  <c r="I53" i="43" l="1"/>
  <c r="G15" i="6" l="1"/>
  <c r="E3" i="47" l="1"/>
  <c r="B34" i="44" l="1"/>
  <c r="F17" i="47" l="1"/>
  <c r="G320" i="47" l="1"/>
  <c r="G352" i="47"/>
  <c r="G260" i="47"/>
  <c r="G198" i="47"/>
  <c r="G138" i="47"/>
  <c r="G351" i="47"/>
  <c r="G229" i="47"/>
  <c r="G290" i="47"/>
  <c r="G137" i="47"/>
  <c r="G140" i="47"/>
  <c r="G108" i="47"/>
  <c r="G200" i="47"/>
  <c r="G168" i="47"/>
  <c r="G48" i="47"/>
  <c r="G201" i="47"/>
  <c r="G17" i="47"/>
  <c r="G199" i="47"/>
  <c r="G139" i="47"/>
  <c r="G107" i="47"/>
  <c r="G79" i="47"/>
  <c r="G291" i="47"/>
  <c r="G259" i="47"/>
  <c r="F399" i="47" l="1"/>
  <c r="F398" i="47"/>
  <c r="F397" i="47"/>
  <c r="E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G382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F365" i="47"/>
  <c r="E365" i="47"/>
  <c r="F364" i="47"/>
  <c r="E364" i="47"/>
  <c r="F363" i="47"/>
  <c r="E363" i="47"/>
  <c r="F362" i="47"/>
  <c r="E362" i="47"/>
  <c r="F361" i="47"/>
  <c r="E361" i="47"/>
  <c r="F360" i="47"/>
  <c r="E360" i="47"/>
  <c r="F359" i="47"/>
  <c r="E359" i="47"/>
  <c r="F358" i="47"/>
  <c r="E358" i="47"/>
  <c r="F357" i="47"/>
  <c r="E357" i="47"/>
  <c r="F356" i="47"/>
  <c r="E356" i="47"/>
  <c r="F355" i="47"/>
  <c r="E355" i="47"/>
  <c r="F354" i="47"/>
  <c r="E354" i="47"/>
  <c r="F353" i="47"/>
  <c r="E353" i="47"/>
  <c r="F352" i="47"/>
  <c r="E352" i="47"/>
  <c r="F351" i="47"/>
  <c r="E351" i="47"/>
  <c r="F350" i="47"/>
  <c r="E350" i="47"/>
  <c r="F349" i="47"/>
  <c r="E349" i="47"/>
  <c r="F348" i="47"/>
  <c r="E348" i="47"/>
  <c r="F347" i="47"/>
  <c r="E347" i="47"/>
  <c r="F346" i="47"/>
  <c r="E346" i="47"/>
  <c r="F345" i="47"/>
  <c r="E345" i="47"/>
  <c r="F344" i="47"/>
  <c r="E344" i="47"/>
  <c r="F343" i="47"/>
  <c r="E343" i="47"/>
  <c r="F342" i="47"/>
  <c r="E342" i="47"/>
  <c r="F341" i="47"/>
  <c r="E341" i="47"/>
  <c r="F340" i="47"/>
  <c r="E340" i="47"/>
  <c r="F339" i="47"/>
  <c r="E339" i="47"/>
  <c r="F338" i="47"/>
  <c r="E338" i="47"/>
  <c r="F337" i="47"/>
  <c r="E337" i="47"/>
  <c r="F336" i="47"/>
  <c r="E336" i="47"/>
  <c r="F335" i="47"/>
  <c r="E335" i="47"/>
  <c r="F334" i="47"/>
  <c r="E334" i="47"/>
  <c r="F333" i="47"/>
  <c r="E333" i="47"/>
  <c r="F332" i="47"/>
  <c r="E332" i="47"/>
  <c r="F331" i="47"/>
  <c r="E331" i="47"/>
  <c r="F330" i="47"/>
  <c r="E330" i="47"/>
  <c r="F329" i="47"/>
  <c r="E329" i="47"/>
  <c r="F328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G321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G170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G109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G78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41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D45" i="44" l="1"/>
  <c r="C33" i="44"/>
  <c r="C34" i="44"/>
  <c r="C35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C53" i="48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F76" i="43" l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C10" i="16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N156" i="44" l="1"/>
  <c r="N165" i="44"/>
  <c r="O68" i="48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58" i="44" l="1"/>
  <c r="N125" i="48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66" i="44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67" i="44" l="1"/>
  <c r="N159" i="44"/>
  <c r="O91" i="48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B141" i="44" s="1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2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B164" i="44" l="1"/>
  <c r="C98" i="48"/>
  <c r="C68" i="48"/>
  <c r="C125" i="48"/>
  <c r="C166" i="44"/>
  <c r="C167" i="44" s="1"/>
  <c r="C127" i="48"/>
  <c r="C100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H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C9" i="48"/>
  <c r="H15" i="6"/>
  <c r="E3" i="40"/>
  <c r="D3" i="57" s="1"/>
  <c r="B167" i="44" l="1"/>
  <c r="B159" i="44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E3" i="10"/>
  <c r="E3" i="14"/>
  <c r="C17" i="48" l="1"/>
  <c r="C43" i="44"/>
  <c r="C42" i="44"/>
  <c r="C40" i="44"/>
  <c r="C39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F34" i="44" l="1"/>
  <c r="D5" i="48"/>
  <c r="D8" i="48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D23" i="48"/>
  <c r="D30" i="48"/>
  <c r="D28" i="48"/>
  <c r="D27" i="48"/>
  <c r="D31" i="48"/>
  <c r="C54" i="44"/>
  <c r="F50" i="44" s="1"/>
  <c r="D22" i="48"/>
  <c r="D21" i="48"/>
  <c r="D29" i="48"/>
  <c r="D26" i="48"/>
  <c r="G6" i="48" l="1"/>
  <c r="D9" i="48"/>
  <c r="G22" i="48"/>
  <c r="D25" i="48"/>
  <c r="G21" i="48" s="1"/>
  <c r="C45" i="44"/>
  <c r="C62" i="44"/>
  <c r="D17" i="48" l="1"/>
  <c r="G5" i="48"/>
  <c r="D33" i="48"/>
  <c r="C20" i="6"/>
  <c r="K8" i="6" l="1"/>
  <c r="I8" i="6"/>
  <c r="E21" i="40" l="1"/>
  <c r="E20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<sst xmlns="http://schemas.openxmlformats.org/spreadsheetml/2006/main" count="2738" uniqueCount="635">
  <si>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</si>
  <si>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</si>
  <si>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</si>
  <si>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</si>
  <si>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</si>
  <si>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</si>
  <si>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</si>
  <si>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</si>
  <si>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</si>
  <si>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</si>
  <si>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</si>
  <si>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</si>
  <si>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</si>
  <si>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</si>
  <si>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</si>
  <si>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</si>
  <si>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</si>
  <si>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</si>
  <si>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</si>
  <si>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</si>
  <si>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</si>
  <si>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</si>
  <si>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</si>
  <si>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</si>
  <si>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</si>
  <si>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</si>
  <si>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</si>
  <si>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</si>
  <si>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</si>
  <si>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</si>
  <si>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</si>
  <si>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</si>
  <si>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</si>
  <si>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</si>
  <si>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</si>
  <si>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</si>
  <si>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</si>
  <si>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</si>
  <si>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</si>
  <si>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</si>
  <si>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</si>
  <si>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</si>
  <si>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</si>
  <si>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</si>
  <si>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</si>
  <si>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</si>
  <si>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</si>
  <si>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</si>
  <si>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</si>
  <si>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</si>
  <si>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</si>
  <si>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</si>
  <si>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</si>
  <si>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</si>
  <si>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</si>
  <si>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</si>
  <si>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</si>
  <si>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</si>
  <si>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</si>
  <si>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</si>
  <si>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</si>
  <si>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</si>
  <si>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</si>
  <si>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</si>
  <si>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</si>
  <si>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</si>
  <si>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</si>
  <si>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</si>
  <si>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</si>
  <si>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</si>
  <si>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</si>
  <si>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</si>
  <si>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</si>
  <si>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</si>
  <si>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</si>
  <si>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</si>
  <si>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</si>
  <si>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</si>
  <si>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</si>
  <si>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</si>
  <si>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</si>
  <si>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</si>
  <si>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</si>
  <si>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</si>
  <si>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</si>
  <si>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</si>
  <si>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</si>
  <si>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</si>
  <si>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</si>
  <si>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</si>
  <si>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</si>
  <si>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</si>
  <si>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</si>
  <si>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</si>
  <si>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</si>
  <si>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</si>
  <si>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</si>
  <si>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</si>
  <si>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</si>
  <si>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</si>
  <si>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</si>
  <si>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</si>
  <si>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</si>
  <si>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</si>
  <si>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</si>
  <si>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</si>
  <si>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</si>
  <si>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</si>
  <si>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</si>
  <si>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</si>
  <si>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</si>
  <si>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</si>
  <si>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</si>
  <si>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</si>
  <si>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</si>
  <si>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</si>
  <si>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</si>
  <si>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</si>
  <si>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</si>
  <si>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</si>
  <si>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</si>
  <si>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</si>
  <si>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</si>
  <si>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</si>
  <si>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</si>
  <si>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</si>
  <si>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</si>
  <si>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</si>
  <si>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</si>
  <si>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</si>
  <si>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</si>
  <si>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</si>
  <si>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</si>
  <si>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</si>
  <si>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</si>
  <si>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</si>
  <si>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</si>
  <si>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</si>
  <si>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</si>
  <si>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</si>
  <si>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</si>
  <si>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</si>
  <si>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</si>
  <si>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</si>
  <si>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</si>
  <si>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</si>
  <si>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</si>
  <si>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</si>
  <si>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</si>
  <si>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</si>
  <si>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</si>
  <si>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</si>
  <si>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</si>
  <si>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</si>
  <si>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</si>
  <si>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</si>
  <si>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</si>
  <si>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</si>
  <si>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</si>
  <si>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</si>
  <si>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</si>
  <si>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</si>
  <si>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</si>
  <si>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</si>
  <si>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</si>
  <si>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</si>
  <si>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</si>
  <si>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</si>
  <si>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</si>
  <si>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</si>
  <si>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</si>
  <si>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</si>
  <si>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</si>
  <si>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</si>
  <si>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</si>
  <si>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</si>
  <si>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</si>
  <si>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</si>
  <si>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</si>
  <si>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</si>
  <si>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</si>
  <si>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</si>
  <si>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</si>
  <si>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</si>
  <si>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</si>
  <si>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</si>
  <si>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</si>
  <si>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</si>
  <si>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</si>
  <si>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</si>
  <si>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</si>
  <si>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</si>
  <si>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</si>
  <si>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</si>
  <si>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</si>
  <si>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</si>
  <si>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</si>
  <si>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</si>
  <si>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</si>
  <si>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</si>
  <si>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</si>
  <si>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</si>
  <si>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</si>
  <si>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</si>
  <si>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</si>
  <si>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</si>
  <si>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</si>
  <si>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</si>
  <si>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</si>
  <si>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</si>
  <si>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</si>
  <si>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</si>
  <si>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</si>
  <si>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</si>
  <si>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</si>
  <si>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</si>
  <si>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</si>
  <si>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</si>
  <si>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</si>
  <si>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</si>
  <si>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</si>
  <si>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</si>
  <si>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</si>
  <si>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</si>
  <si>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</si>
  <si>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</si>
  <si>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</si>
  <si>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</si>
  <si>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</si>
  <si>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</si>
  <si>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</si>
  <si>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</si>
  <si>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</si>
  <si>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</si>
  <si>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</si>
  <si>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</si>
  <si>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</si>
  <si>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</si>
  <si>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</si>
  <si>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</si>
  <si>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</si>
  <si>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</si>
  <si>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</si>
  <si>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</si>
  <si>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</si>
  <si>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</si>
  <si>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</si>
  <si>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</si>
  <si>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</si>
  <si>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</si>
  <si>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</si>
  <si>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</si>
  <si>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</si>
  <si>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</si>
  <si>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</si>
  <si>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</si>
  <si>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</si>
  <si>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</si>
  <si>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</si>
  <si>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</si>
  <si>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</si>
  <si>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</si>
  <si>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</si>
  <si>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</si>
  <si>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</si>
  <si>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</si>
  <si>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</si>
  <si>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</si>
  <si>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</si>
  <si>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</si>
  <si>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</si>
  <si>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</si>
  <si>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</si>
  <si>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</si>
  <si>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</si>
  <si>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</si>
  <si>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</si>
  <si>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</si>
  <si>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</si>
  <si>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</si>
  <si>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</si>
  <si>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</si>
  <si>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</si>
  <si>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</si>
  <si>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</si>
  <si>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</si>
  <si>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</si>
  <si>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</si>
  <si>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</si>
  <si>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</si>
  <si>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</si>
  <si>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</si>
  <si>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</si>
  <si>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</si>
  <si>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</si>
  <si>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</si>
  <si>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</si>
  <si>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</si>
  <si>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</si>
  <si>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</si>
  <si>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</si>
  <si>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</si>
  <si>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</si>
  <si>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</si>
  <si>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</si>
  <si>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</si>
  <si>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</si>
  <si>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</si>
  <si>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</si>
  <si>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</si>
  <si>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</si>
  <si>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</si>
  <si>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</si>
  <si>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</si>
  <si>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</si>
  <si>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</si>
  <si>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</si>
  <si>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</si>
  <si>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</si>
  <si>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</si>
  <si>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</si>
  <si>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</si>
  <si>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</si>
  <si>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</si>
  <si>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</si>
  <si>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</si>
  <si>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</si>
  <si>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</si>
  <si>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</si>
  <si>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</si>
  <si>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</si>
  <si>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</si>
  <si>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</si>
  <si>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</si>
  <si>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</si>
  <si>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</si>
  <si>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</si>
  <si>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</si>
  <si>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</si>
  <si>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</si>
  <si>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</si>
  <si>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</si>
  <si>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</si>
  <si>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</si>
  <si>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</si>
  <si>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</si>
  <si>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</si>
  <si>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</si>
  <si>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</si>
  <si>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</si>
  <si>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</si>
  <si>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</si>
  <si>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</si>
  <si>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</si>
  <si>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</si>
  <si>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</si>
  <si>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</si>
  <si>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</si>
  <si>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</si>
  <si>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</si>
  <si>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</si>
  <si>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</si>
  <si>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</si>
  <si>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</si>
  <si>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</si>
  <si>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</si>
  <si>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</si>
  <si>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</si>
  <si>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</si>
  <si>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</si>
  <si>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</si>
  <si>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</si>
  <si>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</si>
  <si>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</si>
  <si>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</si>
  <si>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</si>
  <si>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</si>
  <si>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</si>
  <si>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</si>
  <si>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</si>
  <si>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</si>
  <si>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</si>
  <si>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</si>
  <si>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</si>
  <si>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</si>
  <si>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</si>
  <si>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</si>
  <si>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</si>
  <si>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</si>
  <si>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</si>
  <si>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</si>
  <si>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</si>
  <si>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</si>
  <si>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</si>
  <si>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</si>
  <si>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</si>
  <si>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</si>
  <si>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</si>
  <si>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</si>
  <si>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</si>
  <si>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</si>
  <si>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</si>
  <si>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</si>
  <si>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</si>
  <si>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</si>
  <si>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</si>
  <si>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</si>
  <si>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</si>
  <si>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</si>
  <si>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</si>
  <si>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</si>
  <si>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</si>
  <si>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</si>
  <si>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</si>
  <si>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</si>
  <si>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</si>
  <si>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</si>
  <si>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</si>
  <si>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</si>
  <si>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</si>
  <si>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</si>
  <si>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</si>
  <si>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</si>
  <si>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</si>
  <si>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</si>
  <si>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</si>
  <si>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</si>
  <si>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</si>
  <si>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</si>
  <si>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</si>
  <si>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</si>
  <si>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</si>
  <si>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</si>
  <si>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</si>
  <si>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</si>
  <si>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</si>
  <si>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</si>
  <si>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</si>
  <si>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</si>
  <si>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</si>
  <si>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</si>
  <si>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</si>
  <si>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</si>
  <si>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</si>
  <si>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</si>
  <si>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</si>
  <si>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</si>
  <si>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</si>
  <si>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</si>
  <si>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</si>
  <si>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</si>
  <si>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</si>
  <si>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</si>
  <si>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</si>
  <si>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</si>
  <si>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</si>
  <si>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</si>
  <si>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</si>
  <si>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</si>
  <si>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</si>
  <si>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</si>
  <si>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</si>
  <si>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</si>
  <si>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</si>
  <si>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</si>
  <si>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</si>
  <si>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</si>
  <si>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</si>
  <si>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</si>
  <si>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</si>
  <si>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</si>
  <si>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</si>
  <si>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</si>
  <si>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</si>
  <si>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</si>
  <si>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</si>
  <si>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</si>
  <si>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</si>
  <si>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</si>
  <si>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</si>
  <si>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</si>
  <si>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</si>
  <si>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</si>
  <si>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</si>
  <si>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</si>
  <si>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</si>
  <si>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</si>
  <si>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</si>
  <si>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</si>
  <si>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</si>
  <si>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</si>
  <si>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</si>
  <si>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</si>
  <si>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</si>
  <si>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</si>
  <si>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</si>
  <si>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</si>
  <si>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</si>
  <si>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</si>
  <si>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</si>
  <si>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</si>
  <si>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</si>
  <si>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</si>
  <si>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</si>
  <si>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</si>
  <si>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</si>
  <si>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</si>
  <si>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</si>
  <si>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</si>
  <si>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</si>
  <si>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</si>
  <si>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</si>
  <si>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</si>
  <si>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</si>
  <si>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</si>
  <si>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</si>
  <si>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</si>
  <si>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</si>
  <si>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</si>
  <si>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</si>
  <si>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</si>
  <si>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</si>
  <si>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</si>
  <si>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</si>
  <si>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</si>
  <si>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</si>
  <si>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</si>
  <si>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</si>
  <si>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</si>
  <si>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</si>
  <si>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</si>
  <si>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</si>
  <si>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</si>
  <si>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</si>
  <si>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</si>
  <si>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</si>
  <si>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</si>
  <si>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</si>
  <si>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</si>
  <si>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</si>
  <si>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</si>
  <si>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</si>
  <si>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</si>
  <si>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</si>
  <si>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</si>
  <si>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</si>
  <si>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</si>
  <si>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</si>
  <si>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</si>
  <si>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</si>
  <si>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</si>
  <si>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</si>
  <si>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</si>
  <si>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</si>
  <si>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</si>
  <si>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</si>
  <si>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</si>
  <si>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</si>
  <si>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</si>
  <si>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</si>
  <si>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</si>
  <si>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</si>
  <si>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</si>
  <si>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</si>
  <si>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</si>
  <si>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</si>
  <si>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</si>
  <si>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</si>
  <si>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</si>
  <si>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</si>
  <si>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</si>
  <si>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</si>
  <si>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</si>
  <si>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</si>
  <si>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</si>
  <si>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</si>
  <si>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</si>
  <si>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</si>
  <si>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</si>
  <si>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</si>
  <si>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</si>
  <si>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</si>
  <si>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</si>
  <si>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</si>
  <si>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</si>
  <si>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</si>
  <si>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</si>
  <si>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</si>
  <si>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</si>
  <si>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</si>
  <si>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</si>
  <si>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</si>
  <si>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</si>
  <si>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</si>
  <si>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</si>
  <si>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</si>
  <si>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</si>
  <si>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</si>
  <si>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</si>
  <si>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Emisión (tCO2)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</si>
  <si>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</si>
  <si>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</si>
  <si>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</si>
  <si>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</si>
  <si>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</si>
  <si>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</si>
  <si>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</si>
  <si>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</si>
  <si>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</si>
  <si>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</si>
  <si>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</si>
  <si>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</si>
  <si>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</si>
  <si>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</si>
  <si>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r>
      <t>Evolución de las emisiones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</si>
  <si>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Octubre 2019</t>
  </si>
  <si>
    <t>Noviembre 2019</t>
  </si>
  <si>
    <t>Domingo 03/11/2019 (05:20 h)</t>
  </si>
  <si>
    <t>Diciembre 2019</t>
  </si>
  <si>
    <t>31/12/2019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</si>
  <si>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ut="01/10/2020 13:01:21" si="2.00000001b88a3deeeeacf6c983ea7f0f1c6618f8c87927c349af9d2ade533e97b5eca04892b5b18bb47709a5893ecc1fa3df10889d299fe01cde207f8d3bcaa2476137bc99b4401c9f2160a3b9762b443e1aaf8f0b64992a87c66a628b913d9adee42ccafe1f457546586d5f370f37d3e55622b5889b507d15699eba2edf82fb644d.3082.0.1.Europe/Madrid.upriv*_1*_pidn2*_12*_session*-lat*_1.000000018357cc0f2daea39fb86474c45aad7839bc6025e01fbf2944291ea732e09928b1bbf6b0990cd7e9caa4226ed96d3fb24f79bc3fc8.000000013bfcb8a36c72c6af78f290f06a6ce8f8bc6025e0ab8a6c170d2404d9f1c962522cf1a0df160ef3a33b4f69b4138880e1b6f9b9e9.0.1.1.BDEbi.D066E1C611E6257C10D00080EF253B44.0-3082.1.1_-0.1.0_-3082.1.1_5.5.0.*0.00000001dca196029d02458e839724839a7f4d14c911585ab3aabcc904e00e08bf7f187b30f6420d.0.10*.25*.15*.214.23.10*.4*.0400*.0074J.e.000000014b1ca142550152a6a0d3689ed5546c0dc911585a7d44f7daca9ae32371773c6fa32c06ec.0" msgID="4156598D11EA33A901740080EF95AA00"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nrr="644" nrc="875"&gt;&lt;pg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</si>
  <si>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13:01:24" si="2.00000001b88a3deeeeacf6c983ea7f0f1c6618f8c87927c349af9d2ade533e97b5eca04892b5b18bb47709a5893ecc1fa3df10889d299fe01cde207f8d3bcaa2476137bc99b4401c9f2160a3b9762b443e1aaf8f0b64992a87c66a628b913d9adee42ccafe1f457546586d5f370f37d3e55622b5889b507d15699eba2edf82fb644d.3082.0.1.Europe/Madrid.upriv*_1*_pidn2*_12*_session*-lat*_1.000000018357cc0f2daea39fb86474c45aad7839bc6025e01fbf2944291ea732e09928b1bbf6b0990cd7e9caa4226ed96d3fb24f79bc3fc8.000000013bfcb8a36c72c6af78f290f06a6ce8f8bc6025e0ab8a6c170d2404d9f1c962522cf1a0df160ef3a33b4f69b4138880e1b6f9b9e9.0.1.1.BDEbi.D066E1C611E6257C10D00080EF253B44.0-3082.1.1_-0.1.0_-3082.1.1_5.5.0.*0.00000001dca196029d02458e839724839a7f4d14c911585ab3aabcc904e00e08bf7f187b30f6420d.0.10*.25*.15*.214.23.10*.4*.0400*.0074J.e.000000014b1ca142550152a6a0d3689ed5546c0dc911585a7d44f7daca9ae32371773c6fa32c06ec.0" msgID="41606C3811EA33A901740080EF858A00"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rows="14" cols="2" /&gt;&lt;esdo ews="" ece="" ptn="" /&gt;&lt;/excel&gt;&lt;pgs&gt;&lt;pg rows="13" cols="0" nrr="61" nrc="0"&gt;&lt;pg /&gt;&lt;bls&gt;&lt;bl sr="1" sc="1" rfetch="13" cfetch="0" posid="1" darows="0" dacols="1"&gt;&lt;excel&gt;&lt;epo ews="Dat_01" ece="A1" enr="MSTR.Último_día_del_mes" ptn="" qtn="" rows="14" cols="2" /&gt;&lt;esdo ews="" ece="" ptn="" /&gt;&lt;/excel&gt;&lt;gridRng&gt;&lt;sect id="TITLE_AREA" rngprop="1:1:1:2" /&gt;&lt;sect id="ROWHEADERS_AREA" rngprop="2:1:13:2" /&gt;&lt;sect id="COLUMNHEADERS_AREA" rngprop="0:0:0:0" /&gt;&lt;sect id="DATA_AREA" rngprop="2:3:13:0"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</si>
  <si>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ut="01/10/2020 13:01:30" si="2.00000001945b35665f17a0600060de5585f64448182b84253ac50ed53e7c89f5892aa31509a6b1014a6cd6d282f0f08d56593bdea4d7056219d0cf92a687985723ccd903644f041ab31d321e87aa5be1a597b4464a6c5da5ddb57aa8a5db09bf110802dcb9bf1726d26623bf49aba88776283dd7ecd18abc93f3d5a5d7284c8319d1.3082.0.1.Europe/Madrid.upriv*_1*_pidn2*_12*_session*-lat*_1.000000016de61021ab82c174fb89110621543afbbc6025e05c1b7c598179c1cee69104953a107710ec17f3c1ec7cbac2f6d398994a83067e.000000013fb486b70fd744027e91c66b2de60143bc6025e0fd355298f8fc1f56a5ec9e5158f30f17de76f88637b66e0b7853d7a5bfe716bc.0.1.1.BDEbi.D066E1C611E6257C10D00080EF253B44.0-3082.1.1_-0.1.0_-3082.1.1_5.5.0.*0.000000013f2f2b2aeae4e3bd4c002d7866180f8ac911585aed1c52bb9efc5fb3433d3d1818610ef8.0.10*.25*.15*.214.23.10*.4*.0400*.0074J.e.000000010f4e711fe22a95f2018e8fb269166af1c911585a07f683e29722f125579e26f0dc4bc086.0" msgID="4D94189C11EA33A9A7030080EF9539AB"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nrr="129" nrc="119"&gt;&lt;pg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</si>
  <si>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ut="01/10/2020 13:01:32" si="2.00000001b88a3deeeeacf6c983ea7f0f1c6618f8c87927c349af9d2ade533e97b5eca04892b5b18bb47709a5893ecc1fa3df10889d299fe01cde207f8d3bcaa2476137bc99b4401c9f2160a3b9762b443e1aaf8f0b64992a87c66a628b913d9adee42ccafe1f457546586d5f370f37d3e55622b5889b507d15699eba2edf82fb644d.3082.0.1.Europe/Madrid.upriv*_1*_pidn2*_12*_session*-lat*_1.000000018357cc0f2daea39fb86474c45aad7839bc6025e01fbf2944291ea732e09928b1bbf6b0990cd7e9caa4226ed96d3fb24f79bc3fc8.000000013bfcb8a36c72c6af78f290f06a6ce8f8bc6025e0ab8a6c170d2404d9f1c962522cf1a0df160ef3a33b4f69b4138880e1b6f9b9e9.0.1.1.BDEbi.D066E1C611E6257C10D00080EF253B44.0-3082.1.1_-0.1.0_-3082.1.1_5.5.0.*0.00000001dca196029d02458e839724839a7f4d14c911585ab3aabcc904e00e08bf7f187b30f6420d.0.10*.25*.15*.214.23.10*.4*.0400*.0074J.e.000000014b1ca142550152a6a0d3689ed5546c0dc911585a7d44f7daca9ae32371773c6fa32c06ec.0" msgID="414FA32611EA33A901740080EF858B02"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nrr="77" nrc="91"&gt;&lt;pg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</si>
  <si>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13/12/2019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</si>
  <si>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13:01:43" si="2.00000001b88a3deeeeacf6c983ea7f0f1c6618f8c87927c349af9d2ade533e97b5eca04892b5b18bb47709a5893ecc1fa3df10889d299fe01cde207f8d3bcaa2476137bc99b4401c9f2160a3b9762b443e1aaf8f0b64992a87c66a628b913d9adee42ccafe1f457546586d5f370f37d3e55622b5889b507d15699eba2edf82fb644d.3082.0.1.Europe/Madrid.upriv*_1*_pidn2*_12*_session*-lat*_1.000000018357cc0f2daea39fb86474c45aad7839bc6025e01fbf2944291ea732e09928b1bbf6b0990cd7e9caa4226ed96d3fb24f79bc3fc8.000000013bfcb8a36c72c6af78f290f06a6ce8f8bc6025e0ab8a6c170d2404d9f1c962522cf1a0df160ef3a33b4f69b4138880e1b6f9b9e9.0.1.1.BDEbi.D066E1C611E6257C10D00080EF253B44.0-3082.1.1_-0.1.0_-3082.1.1_5.5.0.*0.00000001dca196029d02458e839724839a7f4d14c911585ab3aabcc904e00e08bf7f187b30f6420d.0.10*.25*.15*.214.23.10*.4*.0400*.0074J.e.000000014b1ca142550152a6a0d3689ed5546c0dc911585a7d44f7daca9ae32371773c6fa32c06ec.0" msgID="4161CD6311EA33A901740080EF756AFF"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nrr="609" nrc="34"&gt;&lt;pg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</si>
  <si>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ut="01/10/2020 13:02:09" si="2.00000001b88a3deeeeacf6c983ea7f0f1c6618f8c87927c349af9d2ade533e97b5eca04892b5b18bb47709a5893ecc1fa3df10889d299fe01cde207f8d3bcaa2476137bc99b4401c9f2160a3b9762b443e1aaf8f0b64992a87c66a628b913d9adee42ccafe1f457546586d5f370f37d3e55622b5889b507d15699eba2edf82fb644d.3082.0.1.Europe/Madrid.upriv*_1*_pidn2*_12*_session*-lat*_1.000000018357cc0f2daea39fb86474c45aad7839bc6025e01fbf2944291ea732e09928b1bbf6b0990cd7e9caa4226ed96d3fb24f79bc3fc8.000000013bfcb8a36c72c6af78f290f06a6ce8f8bc6025e0ab8a6c170d2404d9f1c962522cf1a0df160ef3a33b4f69b4138880e1b6f9b9e9.0.1.1.BDEbi.D066E1C611E6257C10D00080EF253B44.0-3082.1.1_-0.1.0_-3082.1.1_5.5.0.*0.00000001dca196029d02458e839724839a7f4d14c911585ab3aabcc904e00e08bf7f187b30f6420d.0.10*.25*.15*.214.23.10*.4*.0400*.0074J.e.000000014b1ca142550152a6a0d3689ed5546c0dc911585a7d44f7daca9ae32371773c6fa32c06ec.0" msgID="5AF76E3011EA33A901740080EF756AFF"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nrr="921" nrc="716"&gt;&lt;pg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</si>
  <si>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ut="01/10/2020 13:02:29" si="2.00000001b88a3deeeeacf6c983ea7f0f1c6618f8c87927c349af9d2ade533e97b5eca04892b5b18bb47709a5893ecc1fa3df10889d299fe01cde207f8d3bcaa2476137bc99b4401c9f2160a3b9762b443e1aaf8f0b64992a87c66a628b913d9adee42ccafe1f457546586d5f370f37d3e55622b5889b507d15699eba2edf82fb644d.3082.0.1.Europe/Madrid.upriv*_1*_pidn2*_12*_session*-lat*_1.000000018357cc0f2daea39fb86474c45aad7839bc6025e01fbf2944291ea732e09928b1bbf6b0990cd7e9caa4226ed96d3fb24f79bc3fc8.000000013bfcb8a36c72c6af78f290f06a6ce8f8bc6025e0ab8a6c170d2404d9f1c962522cf1a0df160ef3a33b4f69b4138880e1b6f9b9e9.0.1.1.BDEbi.D066E1C611E6257C10D00080EF253B44.0-3082.1.1_-0.1.0_-3082.1.1_5.5.0.*0.00000001dca196029d02458e839724839a7f4d14c911585ab3aabcc904e00e08bf7f187b30f6420d.0.10*.25*.15*.214.23.10*.4*.0400*.0074J.e.000000014b1ca142550152a6a0d3689ed5546c0dc911585a7d44f7daca9ae32371773c6fa32c06ec.0" msgID="4169BA0511EA33A901740080EFA5CA00"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nrr="644" nrc="35"&gt;&lt;pg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</si>
  <si>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ut="01/10/2020 13:16:17" si="2.00000001b88a3deeeeacf6c983ea7f0f1c6618f8c87927c349af9d2ade533e97b5eca04892b5b18bb47709a5893ecc1fa3df10889d299fe01cde207f8d3bcaa2476137bc99b4401c9f2160a3b9762b443e1aaf8f0b64992a87c66a628b913d9adee42ccafe1f457546586d5f370f37d3e55622b5889b507d15699eba2edf82fb644d.3082.0.1.Europe/Madrid.upriv*_1*_pidn2*_12*_session*-lat*_1.000000018357cc0f2daea39fb86474c45aad7839bc6025e01fbf2944291ea732e09928b1bbf6b0990cd7e9caa4226ed96d3fb24f79bc3fc8.000000013bfcb8a36c72c6af78f290f06a6ce8f8bc6025e0ab8a6c170d2404d9f1c962522cf1a0df160ef3a33b4f69b4138880e1b6f9b9e9.0.1.1.BDEbi.D066E1C611E6257C10D00080EF253B44.0-3082.1.1_-0.1.0_-3082.1.1_5.5.0.*0.00000001dca196029d02458e839724839a7f4d14c911585ab3aabcc904e00e08bf7f187b30f6420d.0.10*.25*.15*.214.23.10*.4*.0400*.0074J.e.000000014b1ca142550152a6a0d3689ed5546c0dc911585a7d44f7daca9ae32371773c6fa32c06ec.0" msgID="37B31D8C11EA33AB01740080EF450B01"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nrr="720" nrc="591"&gt;&lt;pg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</si>
  <si>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ut="01/10/2020 13:23:34" si="2.00000001b88a3deeeeacf6c983ea7f0f1c6618f8c87927c349af9d2ade533e97b5eca04892b5b18bb47709a5893ecc1fa3df10889d299fe01cde207f8d3bcaa2476137bc99b4401c9f2160a3b9762b443e1aaf8f0b64992a87c66a628b913d9adee42ccafe1f457546586d5f370f37d3e55622b5889b507d15699eba2edf82fb644d.3082.0.1.Europe/Madrid.upriv*_1*_pidn2*_12*_session*-lat*_1.000000018357cc0f2daea39fb86474c45aad7839bc6025e01fbf2944291ea732e09928b1bbf6b0990cd7e9caa4226ed96d3fb24f79bc3fc8.000000013bfcb8a36c72c6af78f290f06a6ce8f8bc6025e0ab8a6c170d2404d9f1c962522cf1a0df160ef3a33b4f69b4138880e1b6f9b9e9.0.1.1.BDEbi.D066E1C611E6257C10D00080EF253B44.0-3082.1.1_-0.1.0_-3082.1.1_5.5.0.*0.00000001dca196029d02458e839724839a7f4d14c911585ab3aabcc904e00e08bf7f187b30f6420d.0.10*.25*.15*.214.23.10*.4*.0400*.0074J.e.000000014b1ca142550152a6a0d3689ed5546c0dc911585a7d44f7daca9ae32371773c6fa32c06ec.0" msgID="63571ED911EA33AC01740080EFA5CB02"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nrr="1108" nrc="1550"&gt;&lt;pg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</si>
  <si>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c4991b0b4666499b85a0a2c0a16d378e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</si>
  <si>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dvis=""&gt;&lt;ans&gt;&lt;pan pk="B7C3BF0D4428274429E8B8B9E552B212@0@10" aid="" /&gt;&lt;/ans&gt;&lt;ci ps="BI" srv="apcpr64b" prj="BDEbi" prjid="D066E1C611E6257C10D00080EF253B44" li="SEVPENMA" am="s" /&gt;&lt;lu ut="01/10/2020 13:27:49" si="2.00000001945b35665f17a0600060de5585f64448182b84253ac50ed53e7c89f5892aa31509a6b1014a6cd6d282f0f08d56593bdea4d7056219d0cf92a687985723ccd903644f041ab31d321e87aa5be1a597b4464a6c5da5ddb57aa8a5db09bf110802dcb9bf1726d26623bf49aba88776283dd7ecd18abc93f3d5a5d7284c8319d1.3082.0.1.Europe/Madrid.upriv*_1*_pidn2*_12*_session*-lat*_1.000000016de61021ab82c174fb89110621543afbbc6025e05c1b7c598179c1cee69104953a107710ec17f3c1ec7cbac2f6d398994a83067e.000000013fb486b70fd744027e91c66b2de60143bc6025e0fd355298f8fc1f56a5ec9e5158f30f17de76f88637b66e0b7853d7a5bfe716bc.0.1.1.BDEbi.D066E1C611E6257C10D00080EF253B44.0-3082.1.1_-0.1.0_-3082.1.1_5.5.0.*0.000000013f2f2b2aeae4e3bd4c002d7866180f8ac911585aed1c52bb9efc5fb3433d3d1818610ef8.0.10*.25*.15*.214.23.10*.4*.0400*.0074J.e.000000010f4e711fe22a95f2018e8fb269166af1c911585a07f683e29722f125579e26f0dc4bc086.0" msgID="E339A58011EA33ACA7030080EF3579AA"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nrr="207" nrc="2025"&gt;&lt;pg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</si>
  <si>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Reservas hidroelectricas a 31 de Diciembre de 2019 por cuencas</t>
  </si>
  <si>
    <t>Jueves 12/12/2019 (16:21 h)</t>
  </si>
  <si>
    <t>Viernes 13/12/2019 (03:46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</si>
</sst>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  <numFmt numFmtId="179" formatCode="#,##0.000;\(#,##0.000\)"/>
  </numFmts>
  <fonts count="67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3" fillId="4" borderId="13">
      <alignment horizontal="right" vertical="center"/>
    </xf>
    <xf numFmtId="166" fontId="44" fillId="5" borderId="13">
      <alignment horizontal="right" vertical="center"/>
    </xf>
    <xf numFmtId="164" fontId="45" fillId="6" borderId="13">
      <alignment vertical="center" wrapText="1"/>
    </xf>
    <xf numFmtId="10" fontId="44" fillId="5" borderId="13">
      <alignment horizontal="right" vertical="center"/>
    </xf>
    <xf numFmtId="166" fontId="46" fillId="4" borderId="13">
      <alignment horizontal="right" vertical="center"/>
    </xf>
    <xf numFmtId="10" fontId="46" fillId="4" borderId="13">
      <alignment horizontal="right" vertical="center"/>
    </xf>
    <xf numFmtId="164" fontId="47" fillId="4" borderId="13">
      <alignment horizontal="left" vertical="center" wrapText="1"/>
    </xf>
    <xf numFmtId="164" fontId="45" fillId="6" borderId="13">
      <alignment horizontal="center" vertical="center" wrapText="1"/>
    </xf>
    <xf numFmtId="164" fontId="48" fillId="5" borderId="13">
      <alignment horizontal="left" vertical="center" wrapText="1"/>
    </xf>
    <xf numFmtId="164" fontId="49" fillId="7" borderId="16"/>
    <xf numFmtId="164" fontId="45" fillId="6" borderId="13">
      <alignment horizontal="center" wrapText="1"/>
    </xf>
    <xf numFmtId="164" fontId="45" fillId="6" borderId="16">
      <alignment vertical="center" wrapText="1"/>
    </xf>
    <xf numFmtId="166" fontId="51" fillId="4" borderId="13">
      <alignment horizontal="right" vertical="center"/>
    </xf>
    <xf numFmtId="166" fontId="52" fillId="4" borderId="13">
      <alignment horizontal="right" vertical="center"/>
    </xf>
    <xf numFmtId="164" fontId="45" fillId="5" borderId="13">
      <alignment horizontal="center" wrapText="1"/>
    </xf>
    <xf numFmtId="164" fontId="47" fillId="4" borderId="16">
      <alignment horizontal="left" vertical="center" wrapText="1"/>
    </xf>
    <xf numFmtId="167" fontId="46" fillId="4" borderId="13">
      <alignment horizontal="right" vertical="center"/>
    </xf>
    <xf numFmtId="167" fontId="44" fillId="5" borderId="13">
      <alignment horizontal="right" vertical="center"/>
    </xf>
    <xf numFmtId="0" fontId="6" fillId="0" borderId="0"/>
    <xf numFmtId="0" fontId="6" fillId="0" borderId="0"/>
    <xf numFmtId="0" fontId="6" fillId="0" borderId="0"/>
    <xf numFmtId="164" fontId="64" fillId="13" borderId="13">
      <alignment horizontal="center" wrapText="1"/>
    </xf>
    <xf numFmtId="179" fontId="16" fillId="4" borderId="13">
      <alignment horizontal="right" vertical="center"/>
    </xf>
    <xf numFmtId="164" fontId="64" fillId="13" borderId="13">
      <alignment vertical="center" wrapText="1"/>
    </xf>
    <xf numFmtId="164" fontId="65" fillId="4" borderId="13">
      <alignment horizontal="left" vertical="center" wrapText="1"/>
    </xf>
    <xf numFmtId="179" fontId="64" fillId="13" borderId="13">
      <alignment horizontal="right" vertical="center"/>
    </xf>
    <xf numFmtId="164" fontId="64" fillId="13" borderId="13">
      <alignment horizontal="left" vertical="center"/>
    </xf>
    <xf numFmtId="167" fontId="16" fillId="4" borderId="13">
      <alignment horizontal="right" vertical="center"/>
    </xf>
    <xf numFmtId="10" fontId="46" fillId="4" borderId="15">
      <alignment horizontal="right" vertical="center"/>
    </xf>
  </cellStyleXfs>
  <cellXfs count="332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5" fillId="0" borderId="0" xfId="11" applyNumberFormat="1" applyFont="1" applyFill="1"/>
    <xf numFmtId="169" fontId="25" fillId="0" borderId="0" xfId="11" applyNumberFormat="1" applyFont="1" applyFill="1"/>
    <xf numFmtId="170" fontId="25" fillId="0" borderId="0" xfId="11" applyNumberFormat="1" applyFont="1" applyFill="1"/>
    <xf numFmtId="0" fontId="25" fillId="0" borderId="0" xfId="11" applyFont="1" applyFill="1" applyBorder="1" applyAlignment="1">
      <alignment horizontal="right"/>
    </xf>
    <xf numFmtId="171" fontId="25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6" fillId="0" borderId="0" xfId="12" applyFont="1" applyFill="1" applyBorder="1" applyAlignment="1" applyProtection="1">
      <alignment horizontal="left" vertical="top" wrapText="1"/>
    </xf>
    <xf numFmtId="0" fontId="27" fillId="0" borderId="0" xfId="11" applyFont="1"/>
    <xf numFmtId="170" fontId="27" fillId="0" borderId="0" xfId="11" applyNumberFormat="1" applyFont="1"/>
    <xf numFmtId="170" fontId="27" fillId="0" borderId="0" xfId="11" applyNumberFormat="1" applyFont="1" applyBorder="1"/>
    <xf numFmtId="174" fontId="27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0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0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1" fillId="0" borderId="0" xfId="8" applyFont="1" applyFill="1" applyProtection="1"/>
    <xf numFmtId="1" fontId="31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3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Protection="1"/>
    <xf numFmtId="3" fontId="33" fillId="2" borderId="2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3" fillId="2" borderId="3" xfId="4" applyNumberFormat="1" applyFont="1" applyFill="1" applyBorder="1" applyProtection="1"/>
    <xf numFmtId="3" fontId="33" fillId="2" borderId="4" xfId="4" applyNumberFormat="1" applyFont="1" applyFill="1" applyBorder="1" applyAlignment="1" applyProtection="1">
      <alignment horizontal="right" indent="1"/>
    </xf>
    <xf numFmtId="166" fontId="33" fillId="2" borderId="4" xfId="4" applyNumberFormat="1" applyFont="1" applyFill="1" applyBorder="1" applyAlignment="1" applyProtection="1">
      <alignment horizontal="right" indent="1"/>
    </xf>
    <xf numFmtId="164" fontId="36" fillId="0" borderId="0" xfId="0" applyFont="1" applyFill="1" applyBorder="1" applyAlignment="1" applyProtection="1"/>
    <xf numFmtId="0" fontId="36" fillId="0" borderId="0" xfId="1" applyFont="1" applyFill="1" applyAlignment="1" applyProtection="1">
      <alignment horizontal="right"/>
    </xf>
    <xf numFmtId="164" fontId="36" fillId="0" borderId="0" xfId="0" quotePrefix="1" applyFont="1" applyFill="1" applyAlignment="1" applyProtection="1">
      <alignment horizontal="right"/>
    </xf>
    <xf numFmtId="164" fontId="33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3" fillId="2" borderId="6" xfId="0" applyFont="1" applyFill="1" applyBorder="1" applyAlignment="1">
      <alignment horizontal="left"/>
    </xf>
    <xf numFmtId="166" fontId="33" fillId="2" borderId="6" xfId="9" applyNumberFormat="1" applyFont="1" applyFill="1" applyBorder="1" applyAlignment="1" applyProtection="1">
      <alignment horizontal="right" indent="1"/>
    </xf>
    <xf numFmtId="164" fontId="36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3" fillId="2" borderId="0" xfId="10" applyNumberFormat="1" applyFont="1" applyFill="1" applyBorder="1" applyAlignment="1">
      <alignment vertical="center"/>
    </xf>
    <xf numFmtId="164" fontId="33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3" fillId="0" borderId="9" xfId="0" applyFont="1" applyBorder="1" applyAlignment="1">
      <alignment horizontal="left" vertical="center" wrapText="1" readingOrder="1"/>
    </xf>
    <xf numFmtId="0" fontId="33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3" fillId="2" borderId="0" xfId="0" applyFont="1" applyFill="1" applyProtection="1"/>
    <xf numFmtId="164" fontId="33" fillId="2" borderId="1" xfId="0" applyFont="1" applyFill="1" applyBorder="1" applyProtection="1"/>
    <xf numFmtId="164" fontId="33" fillId="2" borderId="1" xfId="0" applyFont="1" applyFill="1" applyBorder="1" applyAlignment="1" applyProtection="1">
      <alignment horizontal="right"/>
    </xf>
    <xf numFmtId="164" fontId="33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3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3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3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8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29" fillId="0" borderId="0" xfId="16" applyFont="1" applyFill="1" applyBorder="1" applyProtection="1"/>
    <xf numFmtId="0" fontId="30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0" fillId="2" borderId="0" xfId="16" applyFont="1" applyFill="1" applyBorder="1" applyAlignment="1" applyProtection="1">
      <alignment horizontal="left" indent="1"/>
    </xf>
    <xf numFmtId="0" fontId="38" fillId="2" borderId="0" xfId="16" applyFont="1" applyFill="1" applyBorder="1" applyAlignment="1" applyProtection="1">
      <alignment horizontal="right" vertical="center"/>
    </xf>
    <xf numFmtId="0" fontId="33" fillId="2" borderId="0" xfId="17" applyFont="1" applyFill="1" applyBorder="1" applyAlignment="1" applyProtection="1">
      <alignment horizontal="left"/>
    </xf>
    <xf numFmtId="0" fontId="40" fillId="0" borderId="0" xfId="16" applyFont="1" applyFill="1" applyBorder="1" applyAlignment="1" applyProtection="1">
      <alignment horizontal="right"/>
    </xf>
    <xf numFmtId="0" fontId="6" fillId="0" borderId="0" xfId="16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3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3" fillId="2" borderId="1" xfId="13" applyNumberFormat="1" applyFont="1" applyFill="1" applyBorder="1" applyAlignment="1" applyProtection="1">
      <alignment horizontal="right"/>
    </xf>
    <xf numFmtId="0" fontId="33" fillId="0" borderId="5" xfId="11" applyFont="1" applyFill="1" applyBorder="1" applyAlignment="1">
      <alignment horizontal="center"/>
    </xf>
    <xf numFmtId="0" fontId="33" fillId="0" borderId="5" xfId="11" applyFont="1" applyFill="1" applyBorder="1" applyAlignment="1">
      <alignment horizontal="right"/>
    </xf>
    <xf numFmtId="0" fontId="15" fillId="0" borderId="0" xfId="11" applyFont="1"/>
    <xf numFmtId="0" fontId="33" fillId="0" borderId="4" xfId="11" applyFont="1" applyFill="1" applyBorder="1" applyAlignment="1">
      <alignment horizontal="center"/>
    </xf>
    <xf numFmtId="0" fontId="33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64" fontId="42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3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5" fillId="6" borderId="13" xfId="21" applyAlignment="1">
      <alignment vertical="center"/>
    </xf>
    <xf numFmtId="164" fontId="45" fillId="6" borderId="13" xfId="26" quotePrefix="1" applyAlignment="1">
      <alignment horizontal="center" vertical="center"/>
    </xf>
    <xf numFmtId="164" fontId="45" fillId="6" borderId="13" xfId="26" applyAlignment="1">
      <alignment horizontal="center" vertical="center"/>
    </xf>
    <xf numFmtId="164" fontId="47" fillId="4" borderId="13" xfId="25" quotePrefix="1" applyAlignment="1">
      <alignment horizontal="left" vertical="center"/>
    </xf>
    <xf numFmtId="166" fontId="46" fillId="4" borderId="13" xfId="23" applyAlignment="1">
      <alignment horizontal="right" vertical="center"/>
    </xf>
    <xf numFmtId="10" fontId="46" fillId="4" borderId="13" xfId="24" applyAlignment="1">
      <alignment horizontal="right" vertical="center"/>
    </xf>
    <xf numFmtId="164" fontId="48" fillId="5" borderId="13" xfId="27" quotePrefix="1" applyAlignment="1">
      <alignment horizontal="left" vertical="center"/>
    </xf>
    <xf numFmtId="166" fontId="44" fillId="5" borderId="13" xfId="20" applyAlignment="1">
      <alignment horizontal="right" vertical="center"/>
    </xf>
    <xf numFmtId="10" fontId="44" fillId="5" borderId="13" xfId="22" applyAlignment="1">
      <alignment horizontal="right" vertical="center"/>
    </xf>
    <xf numFmtId="164" fontId="45" fillId="6" borderId="16" xfId="30" applyAlignment="1">
      <alignment vertical="center"/>
    </xf>
    <xf numFmtId="166" fontId="50" fillId="0" borderId="0" xfId="4" applyNumberFormat="1" applyFont="1" applyFill="1" applyBorder="1" applyProtection="1"/>
    <xf numFmtId="176" fontId="50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3" fillId="0" borderId="0" xfId="6" applyFont="1" applyFill="1" applyBorder="1" applyProtection="1"/>
    <xf numFmtId="164" fontId="54" fillId="0" borderId="0" xfId="0" applyFont="1" applyAlignment="1">
      <alignment horizontal="center"/>
    </xf>
    <xf numFmtId="164" fontId="45" fillId="6" borderId="13" xfId="29" applyAlignment="1">
      <alignment horizontal="center"/>
    </xf>
    <xf numFmtId="164" fontId="55" fillId="0" borderId="0" xfId="0" applyFont="1" applyAlignment="1">
      <alignment horizontal="center"/>
    </xf>
    <xf numFmtId="164" fontId="56" fillId="4" borderId="13" xfId="25" quotePrefix="1" applyFont="1" applyAlignment="1">
      <alignment horizontal="left" vertical="center"/>
    </xf>
    <xf numFmtId="166" fontId="57" fillId="0" borderId="0" xfId="0" applyNumberFormat="1" applyFont="1"/>
    <xf numFmtId="164" fontId="55" fillId="0" borderId="0" xfId="0" applyFont="1"/>
    <xf numFmtId="164" fontId="58" fillId="5" borderId="13" xfId="27" quotePrefix="1" applyFont="1" applyAlignment="1">
      <alignment horizontal="left" vertical="center"/>
    </xf>
    <xf numFmtId="166" fontId="59" fillId="5" borderId="13" xfId="20" applyFont="1" applyAlignment="1">
      <alignment horizontal="right" vertical="center"/>
    </xf>
    <xf numFmtId="164" fontId="60" fillId="8" borderId="17" xfId="0" applyFont="1" applyFill="1" applyBorder="1" applyAlignment="1">
      <alignment horizontal="center"/>
    </xf>
    <xf numFmtId="164" fontId="57" fillId="0" borderId="0" xfId="0" applyFont="1"/>
    <xf numFmtId="170" fontId="57" fillId="0" borderId="0" xfId="0" applyNumberFormat="1" applyFont="1"/>
    <xf numFmtId="164" fontId="45" fillId="5" borderId="13" xfId="33" quotePrefix="1" applyAlignment="1">
      <alignment horizontal="center"/>
    </xf>
    <xf numFmtId="164" fontId="45" fillId="5" borderId="13" xfId="33" applyAlignment="1">
      <alignment horizontal="center"/>
    </xf>
    <xf numFmtId="164" fontId="61" fillId="9" borderId="18" xfId="33" applyFont="1" applyFill="1" applyBorder="1" applyAlignment="1">
      <alignment horizontal="center"/>
    </xf>
    <xf numFmtId="164" fontId="62" fillId="8" borderId="0" xfId="0" applyFont="1" applyFill="1"/>
    <xf numFmtId="168" fontId="62" fillId="8" borderId="0" xfId="0" applyNumberFormat="1" applyFont="1" applyFill="1"/>
    <xf numFmtId="164" fontId="47" fillId="4" borderId="13" xfId="25" applyAlignment="1">
      <alignment horizontal="left" vertical="center"/>
    </xf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6" fillId="4" borderId="13" xfId="35" applyAlignment="1">
      <alignment horizontal="right" vertical="center"/>
    </xf>
    <xf numFmtId="167" fontId="44" fillId="5" borderId="13" xfId="36" applyAlignment="1">
      <alignment horizontal="right" vertical="center"/>
    </xf>
    <xf numFmtId="164" fontId="45" fillId="10" borderId="13" xfId="29" quotePrefix="1" applyFill="1" applyAlignment="1">
      <alignment horizontal="center"/>
    </xf>
    <xf numFmtId="3" fontId="57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3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3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68" fontId="55" fillId="0" borderId="0" xfId="0" applyNumberFormat="1" applyFont="1"/>
    <xf numFmtId="3" fontId="33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12" borderId="0" xfId="0" applyNumberFormat="1" applyFont="1" applyFill="1" applyAlignment="1" applyProtection="1">
      <alignment horizontal="right" vertical="center"/>
    </xf>
    <xf numFmtId="176" fontId="15" fillId="12" borderId="0" xfId="13" applyNumberFormat="1" applyFont="1" applyFill="1" applyAlignment="1" applyProtection="1">
      <alignment horizontal="right" vertical="center"/>
    </xf>
    <xf numFmtId="3" fontId="33" fillId="12" borderId="1" xfId="0" applyNumberFormat="1" applyFont="1" applyFill="1" applyBorder="1" applyAlignment="1" applyProtection="1"/>
    <xf numFmtId="176" fontId="33" fillId="12" borderId="1" xfId="13" applyNumberFormat="1" applyFont="1" applyFill="1" applyBorder="1" applyAlignment="1" applyProtection="1">
      <alignment horizontal="right"/>
    </xf>
    <xf numFmtId="164" fontId="33" fillId="0" borderId="0" xfId="0" applyFont="1"/>
    <xf numFmtId="164" fontId="64" fillId="13" borderId="13" xfId="42" applyAlignment="1">
      <alignment vertical="center"/>
    </xf>
    <xf numFmtId="164" fontId="64" fillId="13" borderId="13" xfId="40" quotePrefix="1" applyAlignment="1">
      <alignment horizontal="center"/>
    </xf>
    <xf numFmtId="164" fontId="64" fillId="13" borderId="13" xfId="40" applyAlignment="1">
      <alignment horizontal="center"/>
    </xf>
    <xf numFmtId="164" fontId="65" fillId="4" borderId="13" xfId="43" quotePrefix="1" applyAlignment="1">
      <alignment horizontal="left" vertical="center"/>
    </xf>
    <xf numFmtId="164" fontId="64" fillId="13" borderId="13" xfId="45" quotePrefix="1" applyAlignment="1">
      <alignment horizontal="left" vertical="center"/>
    </xf>
    <xf numFmtId="164" fontId="64" fillId="13" borderId="13" xfId="45" applyAlignment="1">
      <alignment horizontal="left" vertical="center"/>
    </xf>
    <xf numFmtId="0" fontId="15" fillId="0" borderId="0" xfId="4" applyNumberFormat="1" applyFont="1" applyFill="1" applyAlignment="1" applyProtection="1">
      <alignment horizontal="left" wrapText="1"/>
    </xf>
    <xf numFmtId="166" fontId="46" fillId="4" borderId="13" xfId="23" applyNumberFormat="1" applyAlignment="1">
      <alignment horizontal="right" vertical="center"/>
    </xf>
    <xf numFmtId="179" fontId="16" fillId="4" borderId="13" xfId="41" applyAlignment="1">
      <alignment horizontal="right" vertical="center"/>
    </xf>
    <xf numFmtId="179" fontId="64" fillId="13" borderId="13" xfId="44" applyAlignment="1">
      <alignment horizontal="right" vertical="center"/>
    </xf>
    <xf numFmtId="3" fontId="44" fillId="5" borderId="13" xfId="20" applyNumberFormat="1" applyAlignment="1">
      <alignment horizontal="right" vertical="center"/>
    </xf>
    <xf numFmtId="168" fontId="15" fillId="0" borderId="0" xfId="0" applyNumberFormat="1" applyFont="1"/>
    <xf numFmtId="170" fontId="15" fillId="0" borderId="9" xfId="0" applyNumberFormat="1" applyFont="1" applyBorder="1" applyAlignment="1">
      <alignment horizontal="righ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164" fontId="45" fillId="6" borderId="13" xfId="29" quotePrefix="1" applyAlignment="1">
      <alignment horizontal="center"/>
    </xf>
    <xf numFmtId="170" fontId="53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4" fontId="53" fillId="11" borderId="0" xfId="0" applyFont="1" applyFill="1" applyBorder="1" applyAlignment="1">
      <alignment horizontal="right" vertical="center" wrapText="1"/>
    </xf>
    <xf numFmtId="164" fontId="47" fillId="4" borderId="18" xfId="25" quotePrefix="1" applyBorder="1" applyAlignment="1">
      <alignment horizontal="left" vertical="center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3" fontId="53" fillId="11" borderId="0" xfId="0" applyNumberFormat="1" applyFont="1" applyFill="1" applyBorder="1" applyAlignment="1">
      <alignment horizontal="right" vertical="center" wrapText="1"/>
    </xf>
    <xf numFmtId="0" fontId="53" fillId="0" borderId="0" xfId="6" applyFont="1" applyFill="1" applyBorder="1" applyAlignment="1" applyProtection="1">
      <alignment horizontal="left" vertical="top" wrapText="1"/>
    </xf>
    <xf numFmtId="164" fontId="33" fillId="0" borderId="0" xfId="7" applyFont="1" applyFill="1" applyAlignment="1">
      <alignment horizontal="left" readingOrder="1"/>
    </xf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64" fontId="33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0" fontId="15" fillId="0" borderId="5" xfId="4" applyNumberFormat="1" applyFont="1" applyFill="1" applyBorder="1" applyAlignment="1" applyProtection="1">
      <alignment horizontal="justify"/>
    </xf>
    <xf numFmtId="0" fontId="33" fillId="0" borderId="0" xfId="6" applyFont="1" applyFill="1" applyBorder="1" applyAlignment="1" applyProtection="1">
      <alignment horizontal="left" vertical="top" wrapText="1"/>
    </xf>
    <xf numFmtId="0" fontId="33" fillId="0" borderId="0" xfId="2" applyFont="1" applyFill="1" applyBorder="1" applyAlignment="1" applyProtection="1">
      <alignment horizontal="left" vertical="top" wrapText="1"/>
    </xf>
    <xf numFmtId="164" fontId="33" fillId="2" borderId="0" xfId="10" quotePrefix="1" applyNumberFormat="1" applyFont="1" applyFill="1" applyBorder="1" applyAlignment="1">
      <alignment horizontal="center" vertical="center"/>
    </xf>
    <xf numFmtId="0" fontId="33" fillId="2" borderId="8" xfId="10" applyNumberFormat="1" applyFont="1" applyFill="1" applyBorder="1" applyAlignment="1">
      <alignment horizontal="center" vertical="center"/>
    </xf>
    <xf numFmtId="0" fontId="33" fillId="2" borderId="0" xfId="10" applyNumberFormat="1" applyFont="1" applyFill="1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5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5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65" fillId="4" borderId="21" xfId="43" quotePrefix="1" applyBorder="1" applyAlignment="1">
      <alignment horizontal="left" vertical="center"/>
    </xf>
    <xf numFmtId="164" fontId="0" fillId="0" borderId="22" xfId="0" applyBorder="1" applyAlignment="1">
      <alignment horizontal="left" vertical="center"/>
    </xf>
    <xf numFmtId="164" fontId="0" fillId="0" borderId="23" xfId="0" applyBorder="1" applyAlignment="1">
      <alignment horizontal="left" vertical="center"/>
    </xf>
    <xf numFmtId="164" fontId="45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65" fillId="4" borderId="22" xfId="43" quotePrefix="1" applyBorder="1" applyAlignment="1">
      <alignment horizontal="left" vertical="center"/>
    </xf>
    <xf numFmtId="164" fontId="45" fillId="10" borderId="15" xfId="29" applyFill="1" applyBorder="1" applyAlignment="1">
      <alignment horizontal="center"/>
    </xf>
    <xf numFmtId="164" fontId="45" fillId="10" borderId="14" xfId="29" applyFill="1" applyBorder="1" applyAlignment="1">
      <alignment horizontal="center"/>
    </xf>
    <xf numFmtId="164" fontId="33" fillId="2" borderId="12" xfId="0" applyFont="1" applyFill="1" applyBorder="1" applyAlignment="1" applyProtection="1">
      <alignment horizontal="center"/>
    </xf>
    <xf numFmtId="0" fontId="33" fillId="0" borderId="3" xfId="11" applyFont="1" applyFill="1" applyBorder="1" applyAlignment="1">
      <alignment horizontal="center"/>
    </xf>
  </cellXfs>
  <cellStyles count="48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4563"/>
      <color rgb="FF44B114"/>
      <color rgb="FF385723"/>
      <color rgb="FFFF9933"/>
      <color rgb="FFF5F5F5"/>
      <color rgb="FFCC3300"/>
      <color rgb="FF800000"/>
      <color rgb="FFCCCCFF"/>
      <color rgb="FFFFFF99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7235772357723578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2845528455284551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666666666666666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3.2</c:v>
                </c:pt>
                <c:pt idx="1">
                  <c:v>6.8</c:v>
                </c:pt>
                <c:pt idx="2">
                  <c:v>8.8000000000000007</c:v>
                </c:pt>
                <c:pt idx="3">
                  <c:v>23.5</c:v>
                </c:pt>
                <c:pt idx="4">
                  <c:v>5.4000000000000057</c:v>
                </c:pt>
                <c:pt idx="5">
                  <c:v>0.4</c:v>
                </c:pt>
                <c:pt idx="6">
                  <c:v>0.1</c:v>
                </c:pt>
                <c:pt idx="7">
                  <c:v>24.2</c:v>
                </c:pt>
                <c:pt idx="8">
                  <c:v>16.3</c:v>
                </c:pt>
                <c:pt idx="9">
                  <c:v>8.1</c:v>
                </c:pt>
                <c:pt idx="10">
                  <c:v>2.2000000000000002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132.478563576</c:v>
                </c:pt>
                <c:pt idx="1">
                  <c:v>160.23613672600001</c:v>
                </c:pt>
                <c:pt idx="2">
                  <c:v>184.627649926</c:v>
                </c:pt>
                <c:pt idx="3">
                  <c:v>182.227465258</c:v>
                </c:pt>
                <c:pt idx="4">
                  <c:v>129.46685282000001</c:v>
                </c:pt>
                <c:pt idx="5">
                  <c:v>124.92970631599999</c:v>
                </c:pt>
                <c:pt idx="6">
                  <c:v>54.725804748000002</c:v>
                </c:pt>
                <c:pt idx="7">
                  <c:v>24.305235333999999</c:v>
                </c:pt>
                <c:pt idx="8">
                  <c:v>70.640000060000006</c:v>
                </c:pt>
                <c:pt idx="9">
                  <c:v>104.26472390000001</c:v>
                </c:pt>
                <c:pt idx="10">
                  <c:v>116.03424181</c:v>
                </c:pt>
                <c:pt idx="11">
                  <c:v>172.10635217000001</c:v>
                </c:pt>
                <c:pt idx="12">
                  <c:v>318.75078227400002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4286.7606750000004</c:v>
                </c:pt>
                <c:pt idx="1">
                  <c:v>5041.3888260000003</c:v>
                </c:pt>
                <c:pt idx="2">
                  <c:v>4766.7856579999998</c:v>
                </c:pt>
                <c:pt idx="3">
                  <c:v>5274.7472820000003</c:v>
                </c:pt>
                <c:pt idx="4">
                  <c:v>4621.6629220000004</c:v>
                </c:pt>
                <c:pt idx="5">
                  <c:v>3976.917465</c:v>
                </c:pt>
                <c:pt idx="6">
                  <c:v>4647.8769560000001</c:v>
                </c:pt>
                <c:pt idx="7">
                  <c:v>5123.1117279999999</c:v>
                </c:pt>
                <c:pt idx="8">
                  <c:v>5068.1443870000003</c:v>
                </c:pt>
                <c:pt idx="9">
                  <c:v>4995.5062809999999</c:v>
                </c:pt>
                <c:pt idx="10">
                  <c:v>4530.6687620000002</c:v>
                </c:pt>
                <c:pt idx="11">
                  <c:v>3427.5262950000001</c:v>
                </c:pt>
                <c:pt idx="12">
                  <c:v>4350.070831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2845.2103820000002</c:v>
                </c:pt>
                <c:pt idx="1">
                  <c:v>3075.0126260000002</c:v>
                </c:pt>
                <c:pt idx="2">
                  <c:v>2246.7762189999999</c:v>
                </c:pt>
                <c:pt idx="3">
                  <c:v>824.64084000000003</c:v>
                </c:pt>
                <c:pt idx="4">
                  <c:v>722.92722700000002</c:v>
                </c:pt>
                <c:pt idx="5">
                  <c:v>342.70616999999999</c:v>
                </c:pt>
                <c:pt idx="6">
                  <c:v>416.30111399999998</c:v>
                </c:pt>
                <c:pt idx="7">
                  <c:v>661.90379600000006</c:v>
                </c:pt>
                <c:pt idx="8">
                  <c:v>341.39558</c:v>
                </c:pt>
                <c:pt idx="9">
                  <c:v>443.18280800000002</c:v>
                </c:pt>
                <c:pt idx="10">
                  <c:v>675.62506499999995</c:v>
                </c:pt>
                <c:pt idx="11">
                  <c:v>548.229692</c:v>
                </c:pt>
                <c:pt idx="12">
                  <c:v>374.11575099999999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2896.6909179999998</c:v>
                </c:pt>
                <c:pt idx="1">
                  <c:v>3198.741031</c:v>
                </c:pt>
                <c:pt idx="2">
                  <c:v>2453.2141339999998</c:v>
                </c:pt>
                <c:pt idx="3">
                  <c:v>2129.0058009999998</c:v>
                </c:pt>
                <c:pt idx="4">
                  <c:v>2714.2505219999998</c:v>
                </c:pt>
                <c:pt idx="5">
                  <c:v>3899.4977060000001</c:v>
                </c:pt>
                <c:pt idx="6">
                  <c:v>5107.4552890000004</c:v>
                </c:pt>
                <c:pt idx="7">
                  <c:v>6956.6277</c:v>
                </c:pt>
                <c:pt idx="8">
                  <c:v>7016.5746319999998</c:v>
                </c:pt>
                <c:pt idx="9">
                  <c:v>5427.2651390000001</c:v>
                </c:pt>
                <c:pt idx="10">
                  <c:v>5623.0261039999996</c:v>
                </c:pt>
                <c:pt idx="11">
                  <c:v>3859.056505</c:v>
                </c:pt>
                <c:pt idx="12">
                  <c:v>2755.641838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2529.9413220000001</c:v>
                </c:pt>
                <c:pt idx="1">
                  <c:v>2671.4589550000001</c:v>
                </c:pt>
                <c:pt idx="2">
                  <c:v>2391.3661729999999</c:v>
                </c:pt>
                <c:pt idx="3">
                  <c:v>2591.305206</c:v>
                </c:pt>
                <c:pt idx="4">
                  <c:v>2489.5731639999999</c:v>
                </c:pt>
                <c:pt idx="5">
                  <c:v>2544.8537660000002</c:v>
                </c:pt>
                <c:pt idx="6">
                  <c:v>2419.8174090000002</c:v>
                </c:pt>
                <c:pt idx="7">
                  <c:v>2457.5535610000002</c:v>
                </c:pt>
                <c:pt idx="8">
                  <c:v>2354.265065</c:v>
                </c:pt>
                <c:pt idx="9">
                  <c:v>2352.8584179999998</c:v>
                </c:pt>
                <c:pt idx="10">
                  <c:v>2483.371537</c:v>
                </c:pt>
                <c:pt idx="11">
                  <c:v>2465.2001190000001</c:v>
                </c:pt>
                <c:pt idx="12">
                  <c:v>2334.6439070000001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190.76081500000001</c:v>
                </c:pt>
                <c:pt idx="1">
                  <c:v>196.595054</c:v>
                </c:pt>
                <c:pt idx="2">
                  <c:v>180.749244</c:v>
                </c:pt>
                <c:pt idx="3">
                  <c:v>200.77951049999999</c:v>
                </c:pt>
                <c:pt idx="4">
                  <c:v>175.342614</c:v>
                </c:pt>
                <c:pt idx="5">
                  <c:v>154.68218999999999</c:v>
                </c:pt>
                <c:pt idx="6">
                  <c:v>156.89450450000001</c:v>
                </c:pt>
                <c:pt idx="7">
                  <c:v>161.3076265</c:v>
                </c:pt>
                <c:pt idx="8">
                  <c:v>182.311137</c:v>
                </c:pt>
                <c:pt idx="9">
                  <c:v>188.01692750000001</c:v>
                </c:pt>
                <c:pt idx="10">
                  <c:v>169.37619900000001</c:v>
                </c:pt>
                <c:pt idx="11">
                  <c:v>144.5833825</c:v>
                </c:pt>
                <c:pt idx="12">
                  <c:v>160.99247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121.40765300000001</c:v>
                </c:pt>
                <c:pt idx="1">
                  <c:v>258.667485</c:v>
                </c:pt>
                <c:pt idx="2">
                  <c:v>171.021649</c:v>
                </c:pt>
                <c:pt idx="3">
                  <c:v>135.94273999999999</c:v>
                </c:pt>
                <c:pt idx="4">
                  <c:v>170.417788</c:v>
                </c:pt>
                <c:pt idx="5">
                  <c:v>48.835720000000002</c:v>
                </c:pt>
                <c:pt idx="6">
                  <c:v>36.269493000000004</c:v>
                </c:pt>
                <c:pt idx="7">
                  <c:v>120.54356900000001</c:v>
                </c:pt>
                <c:pt idx="8">
                  <c:v>204.61987400000001</c:v>
                </c:pt>
                <c:pt idx="9">
                  <c:v>158.38587100000001</c:v>
                </c:pt>
                <c:pt idx="10">
                  <c:v>249.89770899999999</c:v>
                </c:pt>
                <c:pt idx="11">
                  <c:v>374.38168199999996</c:v>
                </c:pt>
                <c:pt idx="12">
                  <c:v>396.89754200000004</c:v>
                </c:pt>
                <c:pt idx="13">
                  <c:v>305.27396500000003</c:v>
                </c:pt>
                <c:pt idx="14">
                  <c:v>189.43809200000001</c:v>
                </c:pt>
                <c:pt idx="15">
                  <c:v>250.930824</c:v>
                </c:pt>
                <c:pt idx="16">
                  <c:v>112.16932700000001</c:v>
                </c:pt>
                <c:pt idx="17">
                  <c:v>201.433224</c:v>
                </c:pt>
                <c:pt idx="18">
                  <c:v>312.23938400000003</c:v>
                </c:pt>
                <c:pt idx="19">
                  <c:v>307.53519399999999</c:v>
                </c:pt>
                <c:pt idx="20">
                  <c:v>236.26341699999998</c:v>
                </c:pt>
                <c:pt idx="21">
                  <c:v>235.06615900000003</c:v>
                </c:pt>
                <c:pt idx="22">
                  <c:v>209.914142</c:v>
                </c:pt>
                <c:pt idx="23">
                  <c:v>119.250525</c:v>
                </c:pt>
                <c:pt idx="24">
                  <c:v>87.960003999999998</c:v>
                </c:pt>
                <c:pt idx="25">
                  <c:v>112.09146700000001</c:v>
                </c:pt>
                <c:pt idx="26">
                  <c:v>68.791200000000003</c:v>
                </c:pt>
                <c:pt idx="27">
                  <c:v>58.381529</c:v>
                </c:pt>
                <c:pt idx="28">
                  <c:v>51.105222999999995</c:v>
                </c:pt>
                <c:pt idx="29">
                  <c:v>48.096262000000003</c:v>
                </c:pt>
                <c:pt idx="30">
                  <c:v>41.014071000000001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Dat_01!$V$180:$V$210</c:f>
              <c:numCache>
                <c:formatCode>0.0_)</c:formatCode>
                <c:ptCount val="31"/>
                <c:pt idx="0">
                  <c:v>21.1391050554051</c:v>
                </c:pt>
                <c:pt idx="1">
                  <c:v>35.077620013757738</c:v>
                </c:pt>
                <c:pt idx="2">
                  <c:v>22.863263296425082</c:v>
                </c:pt>
                <c:pt idx="3">
                  <c:v>18.157116230888903</c:v>
                </c:pt>
                <c:pt idx="4">
                  <c:v>22.821374507366208</c:v>
                </c:pt>
                <c:pt idx="5">
                  <c:v>7.7385760778648338</c:v>
                </c:pt>
                <c:pt idx="6">
                  <c:v>5.9991324011844736</c:v>
                </c:pt>
                <c:pt idx="7">
                  <c:v>19.784050337799624</c:v>
                </c:pt>
                <c:pt idx="8">
                  <c:v>28.050946208678962</c:v>
                </c:pt>
                <c:pt idx="9">
                  <c:v>20.722680446632811</c:v>
                </c:pt>
                <c:pt idx="10">
                  <c:v>31.862078083648189</c:v>
                </c:pt>
                <c:pt idx="11">
                  <c:v>45.357717611470292</c:v>
                </c:pt>
                <c:pt idx="12">
                  <c:v>48.628360057983919</c:v>
                </c:pt>
                <c:pt idx="13">
                  <c:v>42.551869436938567</c:v>
                </c:pt>
                <c:pt idx="14">
                  <c:v>30.372052996678256</c:v>
                </c:pt>
                <c:pt idx="15">
                  <c:v>33.143680481111808</c:v>
                </c:pt>
                <c:pt idx="16">
                  <c:v>16.294307546962639</c:v>
                </c:pt>
                <c:pt idx="17">
                  <c:v>27.034075620380094</c:v>
                </c:pt>
                <c:pt idx="18">
                  <c:v>40.678248301295071</c:v>
                </c:pt>
                <c:pt idx="19">
                  <c:v>40.415577272445688</c:v>
                </c:pt>
                <c:pt idx="20">
                  <c:v>35.767129130441369</c:v>
                </c:pt>
                <c:pt idx="21">
                  <c:v>36.828992231143879</c:v>
                </c:pt>
                <c:pt idx="22">
                  <c:v>30.32527003285103</c:v>
                </c:pt>
                <c:pt idx="23">
                  <c:v>19.745911033503042</c:v>
                </c:pt>
                <c:pt idx="24">
                  <c:v>15.278724932168398</c:v>
                </c:pt>
                <c:pt idx="25">
                  <c:v>17.655979964818798</c:v>
                </c:pt>
                <c:pt idx="26">
                  <c:v>10.797358082775622</c:v>
                </c:pt>
                <c:pt idx="27">
                  <c:v>9.5487026444879355</c:v>
                </c:pt>
                <c:pt idx="28">
                  <c:v>8.6497489981749727</c:v>
                </c:pt>
                <c:pt idx="29">
                  <c:v>7.8792749752677205</c:v>
                </c:pt>
                <c:pt idx="30">
                  <c:v>6.8258052047349649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33.246443999999997</c:v>
                </c:pt>
                <c:pt idx="1">
                  <c:v>32.227618999999997</c:v>
                </c:pt>
                <c:pt idx="2">
                  <c:v>31.825883999999999</c:v>
                </c:pt>
                <c:pt idx="3">
                  <c:v>31.212290729999999</c:v>
                </c:pt>
                <c:pt idx="4">
                  <c:v>30.955586799999999</c:v>
                </c:pt>
                <c:pt idx="5">
                  <c:v>31.434448249999999</c:v>
                </c:pt>
                <c:pt idx="6">
                  <c:v>32.03715974</c:v>
                </c:pt>
                <c:pt idx="7">
                  <c:v>33.571959</c:v>
                </c:pt>
                <c:pt idx="8">
                  <c:v>34.476075999999999</c:v>
                </c:pt>
                <c:pt idx="9">
                  <c:v>34.931417000000003</c:v>
                </c:pt>
                <c:pt idx="10">
                  <c:v>35.607182000000002</c:v>
                </c:pt>
                <c:pt idx="11">
                  <c:v>35.694847000000003</c:v>
                </c:pt>
                <c:pt idx="12">
                  <c:v>36.156281999999997</c:v>
                </c:pt>
                <c:pt idx="13">
                  <c:v>36.180383999999997</c:v>
                </c:pt>
                <c:pt idx="14">
                  <c:v>35.654020000000003</c:v>
                </c:pt>
                <c:pt idx="15">
                  <c:v>35.435322999999997</c:v>
                </c:pt>
                <c:pt idx="16">
                  <c:v>34.753267999999998</c:v>
                </c:pt>
                <c:pt idx="17">
                  <c:v>34.729664999999997</c:v>
                </c:pt>
                <c:pt idx="18">
                  <c:v>34.908323000000003</c:v>
                </c:pt>
                <c:pt idx="19">
                  <c:v>35.167873</c:v>
                </c:pt>
                <c:pt idx="20">
                  <c:v>34.872432000000003</c:v>
                </c:pt>
                <c:pt idx="21">
                  <c:v>34.645600999999999</c:v>
                </c:pt>
                <c:pt idx="22">
                  <c:v>33.558186999999997</c:v>
                </c:pt>
                <c:pt idx="23">
                  <c:v>32.903060510000003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16.954722</c:v>
                </c:pt>
                <c:pt idx="1">
                  <c:v>17.126860000000001</c:v>
                </c:pt>
                <c:pt idx="2">
                  <c:v>16.806878999999999</c:v>
                </c:pt>
                <c:pt idx="3">
                  <c:v>16.582954999999998</c:v>
                </c:pt>
                <c:pt idx="4">
                  <c:v>16.40109</c:v>
                </c:pt>
                <c:pt idx="5">
                  <c:v>16.436323999999999</c:v>
                </c:pt>
                <c:pt idx="6">
                  <c:v>16.499853999999999</c:v>
                </c:pt>
                <c:pt idx="7">
                  <c:v>16.222811</c:v>
                </c:pt>
                <c:pt idx="8">
                  <c:v>16.296681</c:v>
                </c:pt>
                <c:pt idx="9">
                  <c:v>16.079094999999999</c:v>
                </c:pt>
                <c:pt idx="10">
                  <c:v>15.923812</c:v>
                </c:pt>
                <c:pt idx="11">
                  <c:v>16.027996999999999</c:v>
                </c:pt>
                <c:pt idx="12">
                  <c:v>16.158940000000001</c:v>
                </c:pt>
                <c:pt idx="13">
                  <c:v>16.526743</c:v>
                </c:pt>
                <c:pt idx="14">
                  <c:v>17.030169999999998</c:v>
                </c:pt>
                <c:pt idx="15">
                  <c:v>17.039985999999999</c:v>
                </c:pt>
                <c:pt idx="16">
                  <c:v>17.040565999999998</c:v>
                </c:pt>
                <c:pt idx="17">
                  <c:v>16.950958</c:v>
                </c:pt>
                <c:pt idx="18">
                  <c:v>16.893809000000001</c:v>
                </c:pt>
                <c:pt idx="19">
                  <c:v>16.805154000000002</c:v>
                </c:pt>
                <c:pt idx="20">
                  <c:v>16.618784000000002</c:v>
                </c:pt>
                <c:pt idx="21">
                  <c:v>16.312692999999999</c:v>
                </c:pt>
                <c:pt idx="22">
                  <c:v>16.195934999999999</c:v>
                </c:pt>
                <c:pt idx="23">
                  <c:v>15.964724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5376"/>
        <c:axId val="707455768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50.997099118329771</c:v>
                </c:pt>
                <c:pt idx="1">
                  <c:v>53.143423347533073</c:v>
                </c:pt>
                <c:pt idx="2">
                  <c:v>52.808836354710522</c:v>
                </c:pt>
                <c:pt idx="3">
                  <c:v>53.129567270309728</c:v>
                </c:pt>
                <c:pt idx="4">
                  <c:v>52.982649322609511</c:v>
                </c:pt>
                <c:pt idx="5">
                  <c:v>52.287617295779953</c:v>
                </c:pt>
                <c:pt idx="6">
                  <c:v>51.502237195512393</c:v>
                </c:pt>
                <c:pt idx="7">
                  <c:v>48.32250331295829</c:v>
                </c:pt>
                <c:pt idx="8">
                  <c:v>47.269535546910852</c:v>
                </c:pt>
                <c:pt idx="9">
                  <c:v>46.030468789743047</c:v>
                </c:pt>
                <c:pt idx="10">
                  <c:v>44.720786946858077</c:v>
                </c:pt>
                <c:pt idx="11">
                  <c:v>44.902831492736183</c:v>
                </c:pt>
                <c:pt idx="12">
                  <c:v>44.691929330565578</c:v>
                </c:pt>
                <c:pt idx="13">
                  <c:v>45.678738512006952</c:v>
                </c:pt>
                <c:pt idx="14">
                  <c:v>47.765076701028377</c:v>
                </c:pt>
                <c:pt idx="15">
                  <c:v>48.087570698875808</c:v>
                </c:pt>
                <c:pt idx="16">
                  <c:v>49.032988782522551</c:v>
                </c:pt>
                <c:pt idx="17">
                  <c:v>48.808296883946333</c:v>
                </c:pt>
                <c:pt idx="18">
                  <c:v>48.394788257230232</c:v>
                </c:pt>
                <c:pt idx="19">
                  <c:v>47.785528570351701</c:v>
                </c:pt>
                <c:pt idx="20">
                  <c:v>47.655936356833386</c:v>
                </c:pt>
                <c:pt idx="21">
                  <c:v>47.084456696248395</c:v>
                </c:pt>
                <c:pt idx="22">
                  <c:v>48.262246705997555</c:v>
                </c:pt>
                <c:pt idx="23">
                  <c:v>48.520483360956504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6552"/>
        <c:axId val="707456160"/>
      </c:lineChart>
      <c:catAx>
        <c:axId val="70745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768"/>
        <c:crosses val="autoZero"/>
        <c:auto val="1"/>
        <c:lblAlgn val="ctr"/>
        <c:lblOffset val="100"/>
        <c:noMultiLvlLbl val="0"/>
      </c:catAx>
      <c:valAx>
        <c:axId val="707455768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376"/>
        <c:crosses val="autoZero"/>
        <c:crossBetween val="between"/>
      </c:valAx>
      <c:valAx>
        <c:axId val="70745616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6552"/>
        <c:crosses val="max"/>
        <c:crossBetween val="between"/>
      </c:valAx>
      <c:catAx>
        <c:axId val="707456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5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90.406102360286781</c:v>
                </c:pt>
                <c:pt idx="1">
                  <c:v>84.877445290285849</c:v>
                </c:pt>
                <c:pt idx="2">
                  <c:v>108.38442733628585</c:v>
                </c:pt>
                <c:pt idx="3">
                  <c:v>126.39369236228585</c:v>
                </c:pt>
                <c:pt idx="4">
                  <c:v>87.530024344428583</c:v>
                </c:pt>
                <c:pt idx="5">
                  <c:v>77.79707729442859</c:v>
                </c:pt>
                <c:pt idx="6">
                  <c:v>62.221405000428589</c:v>
                </c:pt>
                <c:pt idx="7">
                  <c:v>55.722765724428598</c:v>
                </c:pt>
                <c:pt idx="8">
                  <c:v>55.570950698428589</c:v>
                </c:pt>
                <c:pt idx="9">
                  <c:v>67.086032550428584</c:v>
                </c:pt>
                <c:pt idx="10">
                  <c:v>96.116496704428585</c:v>
                </c:pt>
                <c:pt idx="11">
                  <c:v>108.89356766227644</c:v>
                </c:pt>
                <c:pt idx="12">
                  <c:v>84.367956072275518</c:v>
                </c:pt>
                <c:pt idx="13">
                  <c:v>86.439192054275509</c:v>
                </c:pt>
                <c:pt idx="14">
                  <c:v>74.558017642275516</c:v>
                </c:pt>
                <c:pt idx="15">
                  <c:v>69.979588598275512</c:v>
                </c:pt>
                <c:pt idx="16">
                  <c:v>111.35579548227645</c:v>
                </c:pt>
                <c:pt idx="17">
                  <c:v>93.976316482275507</c:v>
                </c:pt>
                <c:pt idx="18">
                  <c:v>100.39496794998715</c:v>
                </c:pt>
                <c:pt idx="19">
                  <c:v>105.42220162998713</c:v>
                </c:pt>
                <c:pt idx="20">
                  <c:v>94.193360369987133</c:v>
                </c:pt>
                <c:pt idx="21">
                  <c:v>95.961340389987129</c:v>
                </c:pt>
                <c:pt idx="22">
                  <c:v>90.140903709987128</c:v>
                </c:pt>
                <c:pt idx="23">
                  <c:v>92.598722409987133</c:v>
                </c:pt>
                <c:pt idx="24">
                  <c:v>78.200598777987139</c:v>
                </c:pt>
                <c:pt idx="25">
                  <c:v>80.392952800517691</c:v>
                </c:pt>
                <c:pt idx="26">
                  <c:v>100.61535695651676</c:v>
                </c:pt>
                <c:pt idx="27">
                  <c:v>78.507003536517686</c:v>
                </c:pt>
                <c:pt idx="28">
                  <c:v>61.730001186517676</c:v>
                </c:pt>
                <c:pt idx="29">
                  <c:v>62.125770364517678</c:v>
                </c:pt>
                <c:pt idx="30">
                  <c:v>67.709005472517688</c:v>
                </c:pt>
                <c:pt idx="31">
                  <c:v>48.123127146517682</c:v>
                </c:pt>
                <c:pt idx="32">
                  <c:v>42.636473521669153</c:v>
                </c:pt>
                <c:pt idx="33">
                  <c:v>64.323681971667284</c:v>
                </c:pt>
                <c:pt idx="34">
                  <c:v>75.643640243669154</c:v>
                </c:pt>
                <c:pt idx="35">
                  <c:v>40.164393683671022</c:v>
                </c:pt>
                <c:pt idx="36">
                  <c:v>23.406447041667292</c:v>
                </c:pt>
                <c:pt idx="37">
                  <c:v>48.050071631669155</c:v>
                </c:pt>
                <c:pt idx="38">
                  <c:v>49.386536037670083</c:v>
                </c:pt>
                <c:pt idx="39">
                  <c:v>33.719116509774096</c:v>
                </c:pt>
                <c:pt idx="40">
                  <c:v>47.290569803776897</c:v>
                </c:pt>
                <c:pt idx="41">
                  <c:v>49.306202171775034</c:v>
                </c:pt>
                <c:pt idx="42">
                  <c:v>21.417700821775025</c:v>
                </c:pt>
                <c:pt idx="43">
                  <c:v>27.372357911775957</c:v>
                </c:pt>
                <c:pt idx="44">
                  <c:v>38.601003241775963</c:v>
                </c:pt>
                <c:pt idx="45">
                  <c:v>66.269905331775973</c:v>
                </c:pt>
                <c:pt idx="46">
                  <c:v>57.049382584859849</c:v>
                </c:pt>
                <c:pt idx="47">
                  <c:v>47.086793530857058</c:v>
                </c:pt>
                <c:pt idx="48">
                  <c:v>75.72736085885893</c:v>
                </c:pt>
                <c:pt idx="49">
                  <c:v>43.378133048858913</c:v>
                </c:pt>
                <c:pt idx="50">
                  <c:v>21.839733468858917</c:v>
                </c:pt>
                <c:pt idx="51">
                  <c:v>65.404301698859854</c:v>
                </c:pt>
                <c:pt idx="52">
                  <c:v>50.40606404885893</c:v>
                </c:pt>
                <c:pt idx="53">
                  <c:v>86.933992344619128</c:v>
                </c:pt>
                <c:pt idx="54">
                  <c:v>93.897589926620057</c:v>
                </c:pt>
                <c:pt idx="55">
                  <c:v>99.325622760620988</c:v>
                </c:pt>
                <c:pt idx="56">
                  <c:v>91.521473510619117</c:v>
                </c:pt>
                <c:pt idx="57">
                  <c:v>77.209113650621902</c:v>
                </c:pt>
                <c:pt idx="58">
                  <c:v>99.019040460619109</c:v>
                </c:pt>
                <c:pt idx="59">
                  <c:v>101.45238873061912</c:v>
                </c:pt>
                <c:pt idx="60">
                  <c:v>167.32990158214932</c:v>
                </c:pt>
                <c:pt idx="61">
                  <c:v>172.57129317015026</c:v>
                </c:pt>
                <c:pt idx="62">
                  <c:v>185.58193324014655</c:v>
                </c:pt>
                <c:pt idx="63">
                  <c:v>185.57443929814841</c:v>
                </c:pt>
                <c:pt idx="64">
                  <c:v>184.96758135014844</c:v>
                </c:pt>
                <c:pt idx="65">
                  <c:v>193.9985455941484</c:v>
                </c:pt>
                <c:pt idx="66">
                  <c:v>194.73273308214843</c:v>
                </c:pt>
                <c:pt idx="67">
                  <c:v>141.24960643784806</c:v>
                </c:pt>
                <c:pt idx="68">
                  <c:v>141.99456505784809</c:v>
                </c:pt>
                <c:pt idx="69">
                  <c:v>133.18816221984807</c:v>
                </c:pt>
                <c:pt idx="70">
                  <c:v>126.08179446984809</c:v>
                </c:pt>
                <c:pt idx="71">
                  <c:v>114.24660454384994</c:v>
                </c:pt>
                <c:pt idx="72">
                  <c:v>123.23982218384808</c:v>
                </c:pt>
                <c:pt idx="73">
                  <c:v>139.96621025384809</c:v>
                </c:pt>
                <c:pt idx="74">
                  <c:v>120.51201069644542</c:v>
                </c:pt>
                <c:pt idx="75">
                  <c:v>103.62366132644726</c:v>
                </c:pt>
                <c:pt idx="76">
                  <c:v>107.92361247844542</c:v>
                </c:pt>
                <c:pt idx="77">
                  <c:v>94.661395232447276</c:v>
                </c:pt>
                <c:pt idx="78">
                  <c:v>84.417533128447275</c:v>
                </c:pt>
                <c:pt idx="79">
                  <c:v>109.91697916244728</c:v>
                </c:pt>
                <c:pt idx="80">
                  <c:v>119.44313481844542</c:v>
                </c:pt>
                <c:pt idx="81">
                  <c:v>87.669133587945765</c:v>
                </c:pt>
                <c:pt idx="82">
                  <c:v>79.117863777947633</c:v>
                </c:pt>
                <c:pt idx="83">
                  <c:v>75.298925477949496</c:v>
                </c:pt>
                <c:pt idx="84">
                  <c:v>64.675635013947627</c:v>
                </c:pt>
                <c:pt idx="85">
                  <c:v>66.564979371945768</c:v>
                </c:pt>
                <c:pt idx="86">
                  <c:v>91.917289957949492</c:v>
                </c:pt>
                <c:pt idx="87">
                  <c:v>75.530994327947624</c:v>
                </c:pt>
                <c:pt idx="88">
                  <c:v>69.289270910230613</c:v>
                </c:pt>
                <c:pt idx="89">
                  <c:v>63.050235326230613</c:v>
                </c:pt>
                <c:pt idx="90">
                  <c:v>70.279727594230607</c:v>
                </c:pt>
                <c:pt idx="91">
                  <c:v>55.067245526230607</c:v>
                </c:pt>
                <c:pt idx="92">
                  <c:v>40.961962326230605</c:v>
                </c:pt>
                <c:pt idx="93">
                  <c:v>48.808900076230607</c:v>
                </c:pt>
                <c:pt idx="94">
                  <c:v>50.550977536232473</c:v>
                </c:pt>
                <c:pt idx="95">
                  <c:v>97.01795352355073</c:v>
                </c:pt>
                <c:pt idx="96">
                  <c:v>113.77763996755631</c:v>
                </c:pt>
                <c:pt idx="97">
                  <c:v>134.52090230355446</c:v>
                </c:pt>
                <c:pt idx="98">
                  <c:v>133.51544254355261</c:v>
                </c:pt>
                <c:pt idx="99">
                  <c:v>106.08530919355445</c:v>
                </c:pt>
                <c:pt idx="100">
                  <c:v>131.25554703755444</c:v>
                </c:pt>
                <c:pt idx="101">
                  <c:v>122.2313333735526</c:v>
                </c:pt>
                <c:pt idx="102">
                  <c:v>66.422230921277958</c:v>
                </c:pt>
                <c:pt idx="103">
                  <c:v>83.603457791279808</c:v>
                </c:pt>
                <c:pt idx="104">
                  <c:v>97.312987301277957</c:v>
                </c:pt>
                <c:pt idx="105">
                  <c:v>74.714766641279809</c:v>
                </c:pt>
                <c:pt idx="106">
                  <c:v>41.087115621277952</c:v>
                </c:pt>
                <c:pt idx="107">
                  <c:v>61.18239848127795</c:v>
                </c:pt>
                <c:pt idx="108">
                  <c:v>62.000907013279814</c:v>
                </c:pt>
                <c:pt idx="109">
                  <c:v>59.069677764690461</c:v>
                </c:pt>
                <c:pt idx="110">
                  <c:v>74.912399428690463</c:v>
                </c:pt>
                <c:pt idx="111">
                  <c:v>98.957296132692321</c:v>
                </c:pt>
                <c:pt idx="112">
                  <c:v>68.347545472690456</c:v>
                </c:pt>
                <c:pt idx="113">
                  <c:v>41.337805642692324</c:v>
                </c:pt>
                <c:pt idx="114">
                  <c:v>42.095181022690454</c:v>
                </c:pt>
                <c:pt idx="115">
                  <c:v>37.959048062692325</c:v>
                </c:pt>
                <c:pt idx="116">
                  <c:v>39.210651627381345</c:v>
                </c:pt>
                <c:pt idx="117">
                  <c:v>50.566903553377628</c:v>
                </c:pt>
                <c:pt idx="118">
                  <c:v>62.55005746738135</c:v>
                </c:pt>
                <c:pt idx="119">
                  <c:v>40.608588867379488</c:v>
                </c:pt>
                <c:pt idx="120">
                  <c:v>51.831602707379488</c:v>
                </c:pt>
                <c:pt idx="121">
                  <c:v>76.662643839381346</c:v>
                </c:pt>
                <c:pt idx="122">
                  <c:v>73.117034955377619</c:v>
                </c:pt>
                <c:pt idx="123">
                  <c:v>45.024506179779593</c:v>
                </c:pt>
                <c:pt idx="124">
                  <c:v>42.33311552377959</c:v>
                </c:pt>
                <c:pt idx="125">
                  <c:v>53.148606071777728</c:v>
                </c:pt>
                <c:pt idx="126">
                  <c:v>35.40131546777959</c:v>
                </c:pt>
                <c:pt idx="127">
                  <c:v>30.369701119777734</c:v>
                </c:pt>
                <c:pt idx="128">
                  <c:v>38.897896747777729</c:v>
                </c:pt>
                <c:pt idx="129">
                  <c:v>35.460223803779591</c:v>
                </c:pt>
                <c:pt idx="130">
                  <c:v>73.590745241523095</c:v>
                </c:pt>
                <c:pt idx="131">
                  <c:v>81.935471213523101</c:v>
                </c:pt>
                <c:pt idx="132">
                  <c:v>81.298658489523092</c:v>
                </c:pt>
                <c:pt idx="133">
                  <c:v>71.775422277523091</c:v>
                </c:pt>
                <c:pt idx="134">
                  <c:v>65.230425237523093</c:v>
                </c:pt>
                <c:pt idx="135">
                  <c:v>75.106005453521234</c:v>
                </c:pt>
                <c:pt idx="136">
                  <c:v>82.865641981523098</c:v>
                </c:pt>
                <c:pt idx="137">
                  <c:v>100.01872431620907</c:v>
                </c:pt>
                <c:pt idx="138">
                  <c:v>97.640177000207203</c:v>
                </c:pt>
                <c:pt idx="139">
                  <c:v>76.378072956209067</c:v>
                </c:pt>
                <c:pt idx="140">
                  <c:v>73.470189276207208</c:v>
                </c:pt>
                <c:pt idx="141">
                  <c:v>82.184180796209063</c:v>
                </c:pt>
                <c:pt idx="142">
                  <c:v>83.15904527220907</c:v>
                </c:pt>
                <c:pt idx="143">
                  <c:v>84.983474912207214</c:v>
                </c:pt>
                <c:pt idx="144">
                  <c:v>120.16015579154841</c:v>
                </c:pt>
                <c:pt idx="145">
                  <c:v>122.17053837154654</c:v>
                </c:pt>
                <c:pt idx="146">
                  <c:v>133.72763285954653</c:v>
                </c:pt>
                <c:pt idx="147">
                  <c:v>132.62970923154842</c:v>
                </c:pt>
                <c:pt idx="148">
                  <c:v>124.85596989154841</c:v>
                </c:pt>
                <c:pt idx="149">
                  <c:v>140.27391316354652</c:v>
                </c:pt>
                <c:pt idx="150">
                  <c:v>140.00868754754842</c:v>
                </c:pt>
                <c:pt idx="151">
                  <c:v>105.74095903098869</c:v>
                </c:pt>
                <c:pt idx="152">
                  <c:v>100.09574057899054</c:v>
                </c:pt>
                <c:pt idx="153">
                  <c:v>102.83984928298868</c:v>
                </c:pt>
                <c:pt idx="154">
                  <c:v>101.27127545099053</c:v>
                </c:pt>
                <c:pt idx="155">
                  <c:v>93.971423794990557</c:v>
                </c:pt>
                <c:pt idx="156">
                  <c:v>113.61467043498868</c:v>
                </c:pt>
                <c:pt idx="157">
                  <c:v>103.96177035099053</c:v>
                </c:pt>
                <c:pt idx="158">
                  <c:v>66.221452729308808</c:v>
                </c:pt>
                <c:pt idx="159">
                  <c:v>74.446018409306944</c:v>
                </c:pt>
                <c:pt idx="160">
                  <c:v>83.660476461306928</c:v>
                </c:pt>
                <c:pt idx="161">
                  <c:v>75.973093089306929</c:v>
                </c:pt>
                <c:pt idx="162">
                  <c:v>66.319120533306943</c:v>
                </c:pt>
                <c:pt idx="163">
                  <c:v>71.987889609306933</c:v>
                </c:pt>
                <c:pt idx="164">
                  <c:v>75.311342213308791</c:v>
                </c:pt>
                <c:pt idx="165">
                  <c:v>74.37980817415513</c:v>
                </c:pt>
                <c:pt idx="166">
                  <c:v>68.006816766156987</c:v>
                </c:pt>
                <c:pt idx="167">
                  <c:v>65.738982786156996</c:v>
                </c:pt>
                <c:pt idx="168">
                  <c:v>64.549248354155139</c:v>
                </c:pt>
                <c:pt idx="169">
                  <c:v>60.67698176215886</c:v>
                </c:pt>
                <c:pt idx="170">
                  <c:v>72.64989890615513</c:v>
                </c:pt>
                <c:pt idx="171">
                  <c:v>76.313361826155131</c:v>
                </c:pt>
                <c:pt idx="172">
                  <c:v>66.067444093736299</c:v>
                </c:pt>
                <c:pt idx="173">
                  <c:v>60.102267253734432</c:v>
                </c:pt>
                <c:pt idx="174">
                  <c:v>59.22299280573629</c:v>
                </c:pt>
                <c:pt idx="175">
                  <c:v>57.431285131732572</c:v>
                </c:pt>
                <c:pt idx="176">
                  <c:v>54.664174471738157</c:v>
                </c:pt>
                <c:pt idx="177">
                  <c:v>58.471831127732571</c:v>
                </c:pt>
                <c:pt idx="178">
                  <c:v>53.417569333734434</c:v>
                </c:pt>
                <c:pt idx="179">
                  <c:v>47.003361174643345</c:v>
                </c:pt>
                <c:pt idx="180">
                  <c:v>47.415259922641482</c:v>
                </c:pt>
                <c:pt idx="181">
                  <c:v>54.139165124643348</c:v>
                </c:pt>
                <c:pt idx="182">
                  <c:v>46.030866642641485</c:v>
                </c:pt>
                <c:pt idx="183">
                  <c:v>41.260838216643343</c:v>
                </c:pt>
                <c:pt idx="184">
                  <c:v>49.642918986643345</c:v>
                </c:pt>
                <c:pt idx="185">
                  <c:v>42.165727116641477</c:v>
                </c:pt>
                <c:pt idx="186">
                  <c:v>44.137358011716373</c:v>
                </c:pt>
                <c:pt idx="187">
                  <c:v>41.289462523716381</c:v>
                </c:pt>
                <c:pt idx="188">
                  <c:v>46.547876791718238</c:v>
                </c:pt>
                <c:pt idx="189">
                  <c:v>36.381198447716379</c:v>
                </c:pt>
                <c:pt idx="190">
                  <c:v>36.220912243718239</c:v>
                </c:pt>
                <c:pt idx="191">
                  <c:v>34.958879279718239</c:v>
                </c:pt>
                <c:pt idx="192">
                  <c:v>40.602532139716381</c:v>
                </c:pt>
                <c:pt idx="193">
                  <c:v>39.246824186815594</c:v>
                </c:pt>
                <c:pt idx="194">
                  <c:v>28.642151794815597</c:v>
                </c:pt>
                <c:pt idx="195">
                  <c:v>32.449437178815593</c:v>
                </c:pt>
                <c:pt idx="196">
                  <c:v>29.766949250813735</c:v>
                </c:pt>
                <c:pt idx="197">
                  <c:v>32.916627950815595</c:v>
                </c:pt>
                <c:pt idx="198">
                  <c:v>39.099709578817453</c:v>
                </c:pt>
                <c:pt idx="199">
                  <c:v>30.571841338813734</c:v>
                </c:pt>
                <c:pt idx="200">
                  <c:v>41.691236397653192</c:v>
                </c:pt>
                <c:pt idx="201">
                  <c:v>34.646901205653194</c:v>
                </c:pt>
                <c:pt idx="202">
                  <c:v>40.428434057653199</c:v>
                </c:pt>
                <c:pt idx="203">
                  <c:v>28.841690745655061</c:v>
                </c:pt>
                <c:pt idx="204">
                  <c:v>27.14175294765133</c:v>
                </c:pt>
                <c:pt idx="205">
                  <c:v>32.885672653653195</c:v>
                </c:pt>
                <c:pt idx="206">
                  <c:v>46.071194117655061</c:v>
                </c:pt>
                <c:pt idx="207">
                  <c:v>29.630021615292456</c:v>
                </c:pt>
                <c:pt idx="208">
                  <c:v>25.563808355296175</c:v>
                </c:pt>
                <c:pt idx="209">
                  <c:v>35.391128383292454</c:v>
                </c:pt>
                <c:pt idx="210">
                  <c:v>19.282172891294316</c:v>
                </c:pt>
                <c:pt idx="211">
                  <c:v>18.156129819294314</c:v>
                </c:pt>
                <c:pt idx="212">
                  <c:v>29.004554399294314</c:v>
                </c:pt>
                <c:pt idx="213">
                  <c:v>23.819633133292452</c:v>
                </c:pt>
                <c:pt idx="214">
                  <c:v>24.155151294324533</c:v>
                </c:pt>
                <c:pt idx="215">
                  <c:v>24.502741548322664</c:v>
                </c:pt>
                <c:pt idx="216">
                  <c:v>40.249711306324535</c:v>
                </c:pt>
                <c:pt idx="217">
                  <c:v>13.159823920322669</c:v>
                </c:pt>
                <c:pt idx="218">
                  <c:v>7.1812377363226698</c:v>
                </c:pt>
                <c:pt idx="219">
                  <c:v>8.1185563823245328</c:v>
                </c:pt>
                <c:pt idx="220">
                  <c:v>10.871763208322664</c:v>
                </c:pt>
                <c:pt idx="221">
                  <c:v>20.648786620394116</c:v>
                </c:pt>
                <c:pt idx="222">
                  <c:v>33.778294168395973</c:v>
                </c:pt>
                <c:pt idx="223">
                  <c:v>47.432186778394112</c:v>
                </c:pt>
                <c:pt idx="224">
                  <c:v>12.599754404394115</c:v>
                </c:pt>
                <c:pt idx="225">
                  <c:v>5.0360476023959784</c:v>
                </c:pt>
                <c:pt idx="226">
                  <c:v>21.666046580394113</c:v>
                </c:pt>
                <c:pt idx="227">
                  <c:v>17.970372188394112</c:v>
                </c:pt>
                <c:pt idx="228">
                  <c:v>11.188179630132851</c:v>
                </c:pt>
                <c:pt idx="229">
                  <c:v>7.9384117181347102</c:v>
                </c:pt>
                <c:pt idx="230">
                  <c:v>9.7740342381328524</c:v>
                </c:pt>
                <c:pt idx="231">
                  <c:v>1.0667203581328504</c:v>
                </c:pt>
                <c:pt idx="232">
                  <c:v>3.5535376941309877</c:v>
                </c:pt>
                <c:pt idx="233">
                  <c:v>4.9813734981347153</c:v>
                </c:pt>
                <c:pt idx="234">
                  <c:v>5.8243440341328458</c:v>
                </c:pt>
                <c:pt idx="235">
                  <c:v>4.6091382504418874</c:v>
                </c:pt>
                <c:pt idx="236">
                  <c:v>2.9597375264400254</c:v>
                </c:pt>
                <c:pt idx="237">
                  <c:v>1.843541032440029</c:v>
                </c:pt>
                <c:pt idx="238">
                  <c:v>5.8267309124418896</c:v>
                </c:pt>
                <c:pt idx="239">
                  <c:v>4.9173575944381662</c:v>
                </c:pt>
                <c:pt idx="240">
                  <c:v>4.016378514441894</c:v>
                </c:pt>
                <c:pt idx="241">
                  <c:v>3.7028108184390947</c:v>
                </c:pt>
                <c:pt idx="242">
                  <c:v>2.4336939225340322</c:v>
                </c:pt>
                <c:pt idx="243">
                  <c:v>7.9214282285340305</c:v>
                </c:pt>
                <c:pt idx="244">
                  <c:v>8.0697212285349664</c:v>
                </c:pt>
                <c:pt idx="245">
                  <c:v>2.3037371005331004</c:v>
                </c:pt>
                <c:pt idx="246">
                  <c:v>2.257930104535895</c:v>
                </c:pt>
                <c:pt idx="247">
                  <c:v>8.6116978425331041</c:v>
                </c:pt>
                <c:pt idx="248">
                  <c:v>12.310531754534036</c:v>
                </c:pt>
                <c:pt idx="249">
                  <c:v>13.944449399182115</c:v>
                </c:pt>
                <c:pt idx="250">
                  <c:v>7.5493202591811857</c:v>
                </c:pt>
                <c:pt idx="251">
                  <c:v>9.3960193591811834</c:v>
                </c:pt>
                <c:pt idx="252">
                  <c:v>7.8897993671830484</c:v>
                </c:pt>
                <c:pt idx="253">
                  <c:v>1.068560027180254</c:v>
                </c:pt>
                <c:pt idx="254">
                  <c:v>2.4958660811811861</c:v>
                </c:pt>
                <c:pt idx="255">
                  <c:v>7.113692349181183</c:v>
                </c:pt>
                <c:pt idx="256">
                  <c:v>12.498108670538379</c:v>
                </c:pt>
                <c:pt idx="257">
                  <c:v>6.7645505145355855</c:v>
                </c:pt>
                <c:pt idx="258">
                  <c:v>10.198750332538372</c:v>
                </c:pt>
                <c:pt idx="259">
                  <c:v>6.5070074045346482</c:v>
                </c:pt>
                <c:pt idx="260">
                  <c:v>5.2324443865365176</c:v>
                </c:pt>
                <c:pt idx="261">
                  <c:v>10.958338302537442</c:v>
                </c:pt>
                <c:pt idx="262">
                  <c:v>9.7324790045374474</c:v>
                </c:pt>
                <c:pt idx="263">
                  <c:v>13.338055306264454</c:v>
                </c:pt>
                <c:pt idx="264">
                  <c:v>16.765228846264456</c:v>
                </c:pt>
                <c:pt idx="265">
                  <c:v>17.646445842265383</c:v>
                </c:pt>
                <c:pt idx="266">
                  <c:v>9.763781318263522</c:v>
                </c:pt>
                <c:pt idx="267">
                  <c:v>6.1929172722663166</c:v>
                </c:pt>
                <c:pt idx="268">
                  <c:v>21.388717054264454</c:v>
                </c:pt>
                <c:pt idx="269">
                  <c:v>26.498922198264452</c:v>
                </c:pt>
                <c:pt idx="270">
                  <c:v>22.003050261266647</c:v>
                </c:pt>
                <c:pt idx="271">
                  <c:v>28.383762925263852</c:v>
                </c:pt>
                <c:pt idx="272">
                  <c:v>25.551797657266643</c:v>
                </c:pt>
                <c:pt idx="273">
                  <c:v>15.919595253264786</c:v>
                </c:pt>
                <c:pt idx="274">
                  <c:v>1.0574971092657142</c:v>
                </c:pt>
                <c:pt idx="275">
                  <c:v>6.8017746692666474</c:v>
                </c:pt>
                <c:pt idx="276">
                  <c:v>7.4549108792647818</c:v>
                </c:pt>
                <c:pt idx="277">
                  <c:v>9.4749125041668165</c:v>
                </c:pt>
                <c:pt idx="278">
                  <c:v>7.5681810981686795</c:v>
                </c:pt>
                <c:pt idx="279">
                  <c:v>4.8948287881677501</c:v>
                </c:pt>
                <c:pt idx="280">
                  <c:v>8.5982141721677507</c:v>
                </c:pt>
                <c:pt idx="281">
                  <c:v>9.1360089501677511</c:v>
                </c:pt>
                <c:pt idx="282">
                  <c:v>19.102409328166818</c:v>
                </c:pt>
                <c:pt idx="283">
                  <c:v>9.2524961541686785</c:v>
                </c:pt>
                <c:pt idx="284">
                  <c:v>17.113809906556309</c:v>
                </c:pt>
                <c:pt idx="285">
                  <c:v>25.507597080556312</c:v>
                </c:pt>
                <c:pt idx="286">
                  <c:v>20.034511860554449</c:v>
                </c:pt>
                <c:pt idx="287">
                  <c:v>3.6371299425572396</c:v>
                </c:pt>
                <c:pt idx="288">
                  <c:v>2.6742494705553765</c:v>
                </c:pt>
                <c:pt idx="289">
                  <c:v>40.739630954557242</c:v>
                </c:pt>
                <c:pt idx="290">
                  <c:v>39.242641318555378</c:v>
                </c:pt>
                <c:pt idx="291">
                  <c:v>23.118648947825168</c:v>
                </c:pt>
                <c:pt idx="292">
                  <c:v>27.61844785182517</c:v>
                </c:pt>
                <c:pt idx="293">
                  <c:v>6.5242940318261029</c:v>
                </c:pt>
                <c:pt idx="294">
                  <c:v>5.9345660678251697</c:v>
                </c:pt>
                <c:pt idx="295">
                  <c:v>2.0039890278251695</c:v>
                </c:pt>
                <c:pt idx="296">
                  <c:v>10.812123067824235</c:v>
                </c:pt>
                <c:pt idx="297">
                  <c:v>6.8628073918270314</c:v>
                </c:pt>
                <c:pt idx="298">
                  <c:v>21.66226604055921</c:v>
                </c:pt>
                <c:pt idx="299">
                  <c:v>22.57161161256014</c:v>
                </c:pt>
                <c:pt idx="300">
                  <c:v>19.632589916559212</c:v>
                </c:pt>
                <c:pt idx="301">
                  <c:v>13.274553664561074</c:v>
                </c:pt>
                <c:pt idx="302">
                  <c:v>11.291133864560143</c:v>
                </c:pt>
                <c:pt idx="303">
                  <c:v>24.859265244560142</c:v>
                </c:pt>
                <c:pt idx="304">
                  <c:v>14.768948360559211</c:v>
                </c:pt>
                <c:pt idx="305">
                  <c:v>6.2465913393767076</c:v>
                </c:pt>
                <c:pt idx="306">
                  <c:v>10.294657775379502</c:v>
                </c:pt>
                <c:pt idx="307">
                  <c:v>15.231506839375776</c:v>
                </c:pt>
                <c:pt idx="308">
                  <c:v>2.7791585433776382</c:v>
                </c:pt>
                <c:pt idx="309">
                  <c:v>3.1948578873776388</c:v>
                </c:pt>
                <c:pt idx="310">
                  <c:v>9.1765671673767066</c:v>
                </c:pt>
                <c:pt idx="311">
                  <c:v>11.670171503377638</c:v>
                </c:pt>
                <c:pt idx="312">
                  <c:v>10.974282968998283</c:v>
                </c:pt>
                <c:pt idx="313">
                  <c:v>12.436239417001078</c:v>
                </c:pt>
                <c:pt idx="314">
                  <c:v>8.7710066969982829</c:v>
                </c:pt>
                <c:pt idx="315">
                  <c:v>2.3492717330001471</c:v>
                </c:pt>
                <c:pt idx="316">
                  <c:v>1.2920262790001471</c:v>
                </c:pt>
                <c:pt idx="317">
                  <c:v>4.4865502089992155</c:v>
                </c:pt>
                <c:pt idx="318">
                  <c:v>9.1113559910001456</c:v>
                </c:pt>
                <c:pt idx="319">
                  <c:v>35.086366275212995</c:v>
                </c:pt>
                <c:pt idx="320">
                  <c:v>45.871987463213927</c:v>
                </c:pt>
                <c:pt idx="321">
                  <c:v>44.485241749213927</c:v>
                </c:pt>
                <c:pt idx="322">
                  <c:v>37.269568681213933</c:v>
                </c:pt>
                <c:pt idx="323">
                  <c:v>48.584789803214861</c:v>
                </c:pt>
                <c:pt idx="324">
                  <c:v>71.337222037212058</c:v>
                </c:pt>
                <c:pt idx="325">
                  <c:v>66.924923513213002</c:v>
                </c:pt>
                <c:pt idx="326">
                  <c:v>69.413260461879204</c:v>
                </c:pt>
                <c:pt idx="327">
                  <c:v>65.58422514187734</c:v>
                </c:pt>
                <c:pt idx="328">
                  <c:v>58.938894661877342</c:v>
                </c:pt>
                <c:pt idx="329">
                  <c:v>50.177881125876411</c:v>
                </c:pt>
                <c:pt idx="330">
                  <c:v>53.409759997879206</c:v>
                </c:pt>
                <c:pt idx="331">
                  <c:v>64.334243269877348</c:v>
                </c:pt>
                <c:pt idx="332">
                  <c:v>70.119179819877345</c:v>
                </c:pt>
                <c:pt idx="333">
                  <c:v>57.804457861749711</c:v>
                </c:pt>
                <c:pt idx="334">
                  <c:v>48.783205057750635</c:v>
                </c:pt>
                <c:pt idx="335">
                  <c:v>32.645414409750643</c:v>
                </c:pt>
                <c:pt idx="336">
                  <c:v>33.302213801749708</c:v>
                </c:pt>
                <c:pt idx="337">
                  <c:v>39.235533997751567</c:v>
                </c:pt>
                <c:pt idx="338">
                  <c:v>49.432187269750642</c:v>
                </c:pt>
                <c:pt idx="339">
                  <c:v>55.129035661749711</c:v>
                </c:pt>
                <c:pt idx="340">
                  <c:v>96.517850272140009</c:v>
                </c:pt>
                <c:pt idx="341">
                  <c:v>96.981097774139087</c:v>
                </c:pt>
                <c:pt idx="342">
                  <c:v>99.267910608140028</c:v>
                </c:pt>
                <c:pt idx="343">
                  <c:v>100.38756797614002</c:v>
                </c:pt>
                <c:pt idx="344">
                  <c:v>100.00252910214002</c:v>
                </c:pt>
                <c:pt idx="345">
                  <c:v>103.5793016841391</c:v>
                </c:pt>
                <c:pt idx="346">
                  <c:v>107.87766753814094</c:v>
                </c:pt>
                <c:pt idx="347">
                  <c:v>169.37504266546199</c:v>
                </c:pt>
                <c:pt idx="348">
                  <c:v>178.92032890546014</c:v>
                </c:pt>
                <c:pt idx="349">
                  <c:v>175.7299756654601</c:v>
                </c:pt>
                <c:pt idx="350">
                  <c:v>172.31068314546198</c:v>
                </c:pt>
                <c:pt idx="351">
                  <c:v>168.51232138546013</c:v>
                </c:pt>
                <c:pt idx="352">
                  <c:v>176.87608349546107</c:v>
                </c:pt>
                <c:pt idx="353">
                  <c:v>191.19754494546009</c:v>
                </c:pt>
                <c:pt idx="354">
                  <c:v>165.53610746046272</c:v>
                </c:pt>
                <c:pt idx="355">
                  <c:v>164.48450008046365</c:v>
                </c:pt>
                <c:pt idx="356">
                  <c:v>142.55365212046459</c:v>
                </c:pt>
                <c:pt idx="357">
                  <c:v>149.79941410046365</c:v>
                </c:pt>
                <c:pt idx="358">
                  <c:v>152.63351821046362</c:v>
                </c:pt>
                <c:pt idx="359">
                  <c:v>160.46484280046366</c:v>
                </c:pt>
                <c:pt idx="360">
                  <c:v>154.75039204046178</c:v>
                </c:pt>
                <c:pt idx="361">
                  <c:v>208.72242819452077</c:v>
                </c:pt>
                <c:pt idx="362">
                  <c:v>218.49035702451982</c:v>
                </c:pt>
                <c:pt idx="363">
                  <c:v>228.39311174451981</c:v>
                </c:pt>
                <c:pt idx="364">
                  <c:v>214.47707978452075</c:v>
                </c:pt>
                <c:pt idx="365">
                  <c:v>217.97567370451887</c:v>
                </c:pt>
                <c:pt idx="366">
                  <c:v>220.38607756452078</c:v>
                </c:pt>
                <c:pt idx="367">
                  <c:v>238.12380746452078</c:v>
                </c:pt>
                <c:pt idx="368">
                  <c:v>156.75214829175312</c:v>
                </c:pt>
                <c:pt idx="369">
                  <c:v>156.11154397175403</c:v>
                </c:pt>
                <c:pt idx="370">
                  <c:v>145.51518334175313</c:v>
                </c:pt>
                <c:pt idx="371">
                  <c:v>138.26705353175311</c:v>
                </c:pt>
                <c:pt idx="372">
                  <c:v>123.47569367175311</c:v>
                </c:pt>
                <c:pt idx="373">
                  <c:v>121.07344309175217</c:v>
                </c:pt>
                <c:pt idx="374">
                  <c:v>130.04852048375309</c:v>
                </c:pt>
                <c:pt idx="375">
                  <c:v>138.49020952671947</c:v>
                </c:pt>
                <c:pt idx="376">
                  <c:v>127.47935954672039</c:v>
                </c:pt>
                <c:pt idx="377">
                  <c:v>135.27354444671852</c:v>
                </c:pt>
                <c:pt idx="378">
                  <c:v>142.16881114671943</c:v>
                </c:pt>
                <c:pt idx="379">
                  <c:v>136.56752488672038</c:v>
                </c:pt>
                <c:pt idx="380">
                  <c:v>157.41493800672038</c:v>
                </c:pt>
                <c:pt idx="381">
                  <c:v>173.46827267671944</c:v>
                </c:pt>
                <c:pt idx="382">
                  <c:v>334.12964689784087</c:v>
                </c:pt>
                <c:pt idx="383">
                  <c:v>332.56385904184464</c:v>
                </c:pt>
                <c:pt idx="384">
                  <c:v>354.56233885584282</c:v>
                </c:pt>
                <c:pt idx="385">
                  <c:v>354.27874643784463</c:v>
                </c:pt>
                <c:pt idx="386">
                  <c:v>343.39449774784282</c:v>
                </c:pt>
                <c:pt idx="387">
                  <c:v>350.60836738784468</c:v>
                </c:pt>
                <c:pt idx="388">
                  <c:v>354.35816298784283</c:v>
                </c:pt>
                <c:pt idx="389">
                  <c:v>172.68689226917945</c:v>
                </c:pt>
                <c:pt idx="390">
                  <c:v>174.46318876918133</c:v>
                </c:pt>
                <c:pt idx="391">
                  <c:v>178.31420186918319</c:v>
                </c:pt>
                <c:pt idx="392">
                  <c:v>174.19467910117945</c:v>
                </c:pt>
                <c:pt idx="393">
                  <c:v>164.00843339318129</c:v>
                </c:pt>
                <c:pt idx="394">
                  <c:v>162.84888335718131</c:v>
                </c:pt>
                <c:pt idx="395">
                  <c:v>160.96440108718133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101.95753277636452</c:v>
                </c:pt>
                <c:pt idx="1">
                  <c:v>101.95753277636452</c:v>
                </c:pt>
                <c:pt idx="2">
                  <c:v>101.95753277636452</c:v>
                </c:pt>
                <c:pt idx="3">
                  <c:v>101.95753277636452</c:v>
                </c:pt>
                <c:pt idx="4">
                  <c:v>101.95753277636452</c:v>
                </c:pt>
                <c:pt idx="5">
                  <c:v>101.95753277636452</c:v>
                </c:pt>
                <c:pt idx="6">
                  <c:v>101.95753277636452</c:v>
                </c:pt>
                <c:pt idx="7">
                  <c:v>101.95753277636452</c:v>
                </c:pt>
                <c:pt idx="8">
                  <c:v>101.95753277636452</c:v>
                </c:pt>
                <c:pt idx="9">
                  <c:v>101.95753277636452</c:v>
                </c:pt>
                <c:pt idx="10">
                  <c:v>101.95753277636452</c:v>
                </c:pt>
                <c:pt idx="11">
                  <c:v>101.95753277636452</c:v>
                </c:pt>
                <c:pt idx="12">
                  <c:v>101.95753277636452</c:v>
                </c:pt>
                <c:pt idx="13">
                  <c:v>101.95753277636452</c:v>
                </c:pt>
                <c:pt idx="14">
                  <c:v>101.95753277636452</c:v>
                </c:pt>
                <c:pt idx="15">
                  <c:v>101.95753277636452</c:v>
                </c:pt>
                <c:pt idx="16">
                  <c:v>101.95753277636452</c:v>
                </c:pt>
                <c:pt idx="17">
                  <c:v>101.95753277636452</c:v>
                </c:pt>
                <c:pt idx="18">
                  <c:v>101.95753277636452</c:v>
                </c:pt>
                <c:pt idx="19">
                  <c:v>101.95753277636452</c:v>
                </c:pt>
                <c:pt idx="20">
                  <c:v>101.95753277636452</c:v>
                </c:pt>
                <c:pt idx="21">
                  <c:v>101.95753277636452</c:v>
                </c:pt>
                <c:pt idx="22">
                  <c:v>101.95753277636452</c:v>
                </c:pt>
                <c:pt idx="23">
                  <c:v>101.95753277636452</c:v>
                </c:pt>
                <c:pt idx="24">
                  <c:v>101.95753277636452</c:v>
                </c:pt>
                <c:pt idx="25">
                  <c:v>101.95753277636452</c:v>
                </c:pt>
                <c:pt idx="26">
                  <c:v>101.95753277636452</c:v>
                </c:pt>
                <c:pt idx="27">
                  <c:v>101.95753277636452</c:v>
                </c:pt>
                <c:pt idx="28">
                  <c:v>101.95753277636452</c:v>
                </c:pt>
                <c:pt idx="29">
                  <c:v>101.95753277636452</c:v>
                </c:pt>
                <c:pt idx="30">
                  <c:v>101.95753277636452</c:v>
                </c:pt>
                <c:pt idx="31">
                  <c:v>120.59631724353227</c:v>
                </c:pt>
                <c:pt idx="32">
                  <c:v>120.59631724353227</c:v>
                </c:pt>
                <c:pt idx="33">
                  <c:v>120.59631724353227</c:v>
                </c:pt>
                <c:pt idx="34">
                  <c:v>120.59631724353227</c:v>
                </c:pt>
                <c:pt idx="35">
                  <c:v>120.59631724353227</c:v>
                </c:pt>
                <c:pt idx="36">
                  <c:v>120.59631724353227</c:v>
                </c:pt>
                <c:pt idx="37">
                  <c:v>120.59631724353227</c:v>
                </c:pt>
                <c:pt idx="38">
                  <c:v>120.59631724353227</c:v>
                </c:pt>
                <c:pt idx="39">
                  <c:v>120.59631724353227</c:v>
                </c:pt>
                <c:pt idx="40">
                  <c:v>120.59631724353227</c:v>
                </c:pt>
                <c:pt idx="41">
                  <c:v>120.59631724353227</c:v>
                </c:pt>
                <c:pt idx="42">
                  <c:v>120.59631724353227</c:v>
                </c:pt>
                <c:pt idx="43">
                  <c:v>120.59631724353227</c:v>
                </c:pt>
                <c:pt idx="44">
                  <c:v>120.59631724353227</c:v>
                </c:pt>
                <c:pt idx="45">
                  <c:v>120.59631724353227</c:v>
                </c:pt>
                <c:pt idx="46">
                  <c:v>120.59631724353227</c:v>
                </c:pt>
                <c:pt idx="47">
                  <c:v>120.59631724353227</c:v>
                </c:pt>
                <c:pt idx="48">
                  <c:v>120.59631724353227</c:v>
                </c:pt>
                <c:pt idx="49">
                  <c:v>120.59631724353227</c:v>
                </c:pt>
                <c:pt idx="50">
                  <c:v>120.59631724353227</c:v>
                </c:pt>
                <c:pt idx="51">
                  <c:v>120.59631724353227</c:v>
                </c:pt>
                <c:pt idx="52">
                  <c:v>120.59631724353227</c:v>
                </c:pt>
                <c:pt idx="53">
                  <c:v>120.59631724353227</c:v>
                </c:pt>
                <c:pt idx="54">
                  <c:v>120.59631724353227</c:v>
                </c:pt>
                <c:pt idx="55">
                  <c:v>120.59631724353227</c:v>
                </c:pt>
                <c:pt idx="56">
                  <c:v>120.59631724353227</c:v>
                </c:pt>
                <c:pt idx="57">
                  <c:v>120.59631724353227</c:v>
                </c:pt>
                <c:pt idx="58">
                  <c:v>120.59631724353227</c:v>
                </c:pt>
                <c:pt idx="59">
                  <c:v>120.59631724353227</c:v>
                </c:pt>
                <c:pt idx="60">
                  <c:v>120.59631724353227</c:v>
                </c:pt>
                <c:pt idx="61">
                  <c:v>120.59631724353227</c:v>
                </c:pt>
                <c:pt idx="62">
                  <c:v>120.04142913099631</c:v>
                </c:pt>
                <c:pt idx="63">
                  <c:v>120.04142913099631</c:v>
                </c:pt>
                <c:pt idx="64">
                  <c:v>120.04142913099631</c:v>
                </c:pt>
                <c:pt idx="65">
                  <c:v>120.04142913099631</c:v>
                </c:pt>
                <c:pt idx="66">
                  <c:v>120.04142913099631</c:v>
                </c:pt>
                <c:pt idx="67">
                  <c:v>120.04142913099631</c:v>
                </c:pt>
                <c:pt idx="68">
                  <c:v>120.04142913099631</c:v>
                </c:pt>
                <c:pt idx="69">
                  <c:v>120.04142913099631</c:v>
                </c:pt>
                <c:pt idx="70">
                  <c:v>120.04142913099631</c:v>
                </c:pt>
                <c:pt idx="71">
                  <c:v>120.04142913099631</c:v>
                </c:pt>
                <c:pt idx="72">
                  <c:v>120.04142913099631</c:v>
                </c:pt>
                <c:pt idx="73">
                  <c:v>120.04142913099631</c:v>
                </c:pt>
                <c:pt idx="74">
                  <c:v>120.04142913099631</c:v>
                </c:pt>
                <c:pt idx="75">
                  <c:v>120.04142913099631</c:v>
                </c:pt>
                <c:pt idx="76">
                  <c:v>120.04142913099631</c:v>
                </c:pt>
                <c:pt idx="77">
                  <c:v>120.04142913099631</c:v>
                </c:pt>
                <c:pt idx="78">
                  <c:v>120.04142913099631</c:v>
                </c:pt>
                <c:pt idx="79">
                  <c:v>120.04142913099631</c:v>
                </c:pt>
                <c:pt idx="80">
                  <c:v>120.04142913099631</c:v>
                </c:pt>
                <c:pt idx="81">
                  <c:v>120.04142913099631</c:v>
                </c:pt>
                <c:pt idx="82">
                  <c:v>120.04142913099631</c:v>
                </c:pt>
                <c:pt idx="83">
                  <c:v>120.04142913099631</c:v>
                </c:pt>
                <c:pt idx="84">
                  <c:v>120.04142913099631</c:v>
                </c:pt>
                <c:pt idx="85">
                  <c:v>120.04142913099631</c:v>
                </c:pt>
                <c:pt idx="86">
                  <c:v>120.04142913099631</c:v>
                </c:pt>
                <c:pt idx="87">
                  <c:v>120.04142913099631</c:v>
                </c:pt>
                <c:pt idx="88">
                  <c:v>120.04142913099631</c:v>
                </c:pt>
                <c:pt idx="89">
                  <c:v>120.04142913099631</c:v>
                </c:pt>
                <c:pt idx="90">
                  <c:v>132.90693384979679</c:v>
                </c:pt>
                <c:pt idx="91">
                  <c:v>132.90693384979679</c:v>
                </c:pt>
                <c:pt idx="92">
                  <c:v>132.90693384979679</c:v>
                </c:pt>
                <c:pt idx="93">
                  <c:v>132.90693384979679</c:v>
                </c:pt>
                <c:pt idx="94">
                  <c:v>132.90693384979679</c:v>
                </c:pt>
                <c:pt idx="95">
                  <c:v>132.90693384979679</c:v>
                </c:pt>
                <c:pt idx="96">
                  <c:v>132.90693384979679</c:v>
                </c:pt>
                <c:pt idx="97">
                  <c:v>132.90693384979679</c:v>
                </c:pt>
                <c:pt idx="98">
                  <c:v>132.90693384979679</c:v>
                </c:pt>
                <c:pt idx="99">
                  <c:v>132.90693384979679</c:v>
                </c:pt>
                <c:pt idx="100">
                  <c:v>132.90693384979679</c:v>
                </c:pt>
                <c:pt idx="101">
                  <c:v>132.90693384979679</c:v>
                </c:pt>
                <c:pt idx="102">
                  <c:v>132.90693384979679</c:v>
                </c:pt>
                <c:pt idx="103">
                  <c:v>132.90693384979679</c:v>
                </c:pt>
                <c:pt idx="104">
                  <c:v>132.90693384979679</c:v>
                </c:pt>
                <c:pt idx="105">
                  <c:v>132.90693384979679</c:v>
                </c:pt>
                <c:pt idx="106">
                  <c:v>132.90693384979679</c:v>
                </c:pt>
                <c:pt idx="107">
                  <c:v>132.90693384979679</c:v>
                </c:pt>
                <c:pt idx="108">
                  <c:v>132.90693384979679</c:v>
                </c:pt>
                <c:pt idx="109">
                  <c:v>132.90693384979679</c:v>
                </c:pt>
                <c:pt idx="110">
                  <c:v>132.90693384979679</c:v>
                </c:pt>
                <c:pt idx="111">
                  <c:v>132.90693384979679</c:v>
                </c:pt>
                <c:pt idx="112">
                  <c:v>132.90693384979679</c:v>
                </c:pt>
                <c:pt idx="113">
                  <c:v>132.90693384979679</c:v>
                </c:pt>
                <c:pt idx="114">
                  <c:v>132.90693384979679</c:v>
                </c:pt>
                <c:pt idx="115">
                  <c:v>132.90693384979679</c:v>
                </c:pt>
                <c:pt idx="116">
                  <c:v>132.90693384979679</c:v>
                </c:pt>
                <c:pt idx="117">
                  <c:v>132.90693384979679</c:v>
                </c:pt>
                <c:pt idx="118">
                  <c:v>132.90693384979679</c:v>
                </c:pt>
                <c:pt idx="119">
                  <c:v>132.90693384979679</c:v>
                </c:pt>
                <c:pt idx="120">
                  <c:v>132.90693384979679</c:v>
                </c:pt>
                <c:pt idx="121">
                  <c:v>128.77123560535</c:v>
                </c:pt>
                <c:pt idx="122">
                  <c:v>128.77123560535</c:v>
                </c:pt>
                <c:pt idx="123">
                  <c:v>128.77123560535</c:v>
                </c:pt>
                <c:pt idx="124">
                  <c:v>128.77123560535</c:v>
                </c:pt>
                <c:pt idx="125">
                  <c:v>128.77123560535</c:v>
                </c:pt>
                <c:pt idx="126">
                  <c:v>128.77123560535</c:v>
                </c:pt>
                <c:pt idx="127">
                  <c:v>128.77123560535</c:v>
                </c:pt>
                <c:pt idx="128">
                  <c:v>128.77123560535</c:v>
                </c:pt>
                <c:pt idx="129">
                  <c:v>128.77123560535</c:v>
                </c:pt>
                <c:pt idx="130">
                  <c:v>128.77123560535</c:v>
                </c:pt>
                <c:pt idx="131">
                  <c:v>128.77123560535</c:v>
                </c:pt>
                <c:pt idx="132">
                  <c:v>128.77123560535</c:v>
                </c:pt>
                <c:pt idx="133">
                  <c:v>128.77123560535</c:v>
                </c:pt>
                <c:pt idx="134">
                  <c:v>128.77123560535</c:v>
                </c:pt>
                <c:pt idx="135">
                  <c:v>128.77123560535</c:v>
                </c:pt>
                <c:pt idx="136">
                  <c:v>128.77123560535</c:v>
                </c:pt>
                <c:pt idx="137">
                  <c:v>128.77123560535</c:v>
                </c:pt>
                <c:pt idx="138">
                  <c:v>128.77123560535</c:v>
                </c:pt>
                <c:pt idx="139">
                  <c:v>128.77123560535</c:v>
                </c:pt>
                <c:pt idx="140">
                  <c:v>128.77123560535</c:v>
                </c:pt>
                <c:pt idx="141">
                  <c:v>128.77123560535</c:v>
                </c:pt>
                <c:pt idx="142">
                  <c:v>128.77123560535</c:v>
                </c:pt>
                <c:pt idx="143">
                  <c:v>128.77123560535</c:v>
                </c:pt>
                <c:pt idx="144">
                  <c:v>128.77123560535</c:v>
                </c:pt>
                <c:pt idx="145">
                  <c:v>128.77123560535</c:v>
                </c:pt>
                <c:pt idx="146">
                  <c:v>128.77123560535</c:v>
                </c:pt>
                <c:pt idx="147">
                  <c:v>128.77123560535</c:v>
                </c:pt>
                <c:pt idx="148">
                  <c:v>128.77123560535</c:v>
                </c:pt>
                <c:pt idx="149">
                  <c:v>128.77123560535</c:v>
                </c:pt>
                <c:pt idx="150">
                  <c:v>128.77123560535</c:v>
                </c:pt>
                <c:pt idx="151">
                  <c:v>105.65373260469035</c:v>
                </c:pt>
                <c:pt idx="152">
                  <c:v>105.65373260469035</c:v>
                </c:pt>
                <c:pt idx="153">
                  <c:v>105.65373260469035</c:v>
                </c:pt>
                <c:pt idx="154">
                  <c:v>105.65373260469035</c:v>
                </c:pt>
                <c:pt idx="155">
                  <c:v>105.65373260469035</c:v>
                </c:pt>
                <c:pt idx="156">
                  <c:v>105.65373260469035</c:v>
                </c:pt>
                <c:pt idx="157">
                  <c:v>105.65373260469035</c:v>
                </c:pt>
                <c:pt idx="158">
                  <c:v>105.65373260469035</c:v>
                </c:pt>
                <c:pt idx="159">
                  <c:v>105.65373260469035</c:v>
                </c:pt>
                <c:pt idx="160">
                  <c:v>105.65373260469035</c:v>
                </c:pt>
                <c:pt idx="161">
                  <c:v>105.65373260469035</c:v>
                </c:pt>
                <c:pt idx="162">
                  <c:v>105.65373260469035</c:v>
                </c:pt>
                <c:pt idx="163">
                  <c:v>105.65373260469035</c:v>
                </c:pt>
                <c:pt idx="164">
                  <c:v>105.65373260469035</c:v>
                </c:pt>
                <c:pt idx="165">
                  <c:v>105.65373260469035</c:v>
                </c:pt>
                <c:pt idx="166">
                  <c:v>105.65373260469035</c:v>
                </c:pt>
                <c:pt idx="167">
                  <c:v>105.65373260469035</c:v>
                </c:pt>
                <c:pt idx="168">
                  <c:v>105.65373260469035</c:v>
                </c:pt>
                <c:pt idx="169">
                  <c:v>105.65373260469035</c:v>
                </c:pt>
                <c:pt idx="170">
                  <c:v>105.65373260469035</c:v>
                </c:pt>
                <c:pt idx="171">
                  <c:v>105.65373260469035</c:v>
                </c:pt>
                <c:pt idx="172">
                  <c:v>105.65373260469035</c:v>
                </c:pt>
                <c:pt idx="173">
                  <c:v>105.65373260469035</c:v>
                </c:pt>
                <c:pt idx="174">
                  <c:v>105.65373260469035</c:v>
                </c:pt>
                <c:pt idx="175">
                  <c:v>105.65373260469035</c:v>
                </c:pt>
                <c:pt idx="176">
                  <c:v>105.65373260469035</c:v>
                </c:pt>
                <c:pt idx="177">
                  <c:v>105.65373260469035</c:v>
                </c:pt>
                <c:pt idx="178">
                  <c:v>105.65373260469035</c:v>
                </c:pt>
                <c:pt idx="179">
                  <c:v>105.65373260469035</c:v>
                </c:pt>
                <c:pt idx="180">
                  <c:v>105.65373260469035</c:v>
                </c:pt>
                <c:pt idx="181">
                  <c:v>105.65373260469035</c:v>
                </c:pt>
                <c:pt idx="182">
                  <c:v>65.277965296213353</c:v>
                </c:pt>
                <c:pt idx="183">
                  <c:v>65.277965296213353</c:v>
                </c:pt>
                <c:pt idx="184">
                  <c:v>65.277965296213353</c:v>
                </c:pt>
                <c:pt idx="185">
                  <c:v>65.277965296213353</c:v>
                </c:pt>
                <c:pt idx="186">
                  <c:v>65.277965296213353</c:v>
                </c:pt>
                <c:pt idx="187">
                  <c:v>65.277965296213353</c:v>
                </c:pt>
                <c:pt idx="188">
                  <c:v>65.277965296213353</c:v>
                </c:pt>
                <c:pt idx="189">
                  <c:v>65.277965296213353</c:v>
                </c:pt>
                <c:pt idx="190">
                  <c:v>65.277965296213353</c:v>
                </c:pt>
                <c:pt idx="191">
                  <c:v>65.277965296213353</c:v>
                </c:pt>
                <c:pt idx="192">
                  <c:v>65.277965296213353</c:v>
                </c:pt>
                <c:pt idx="193">
                  <c:v>65.277965296213353</c:v>
                </c:pt>
                <c:pt idx="194">
                  <c:v>65.277965296213353</c:v>
                </c:pt>
                <c:pt idx="195">
                  <c:v>65.277965296213353</c:v>
                </c:pt>
                <c:pt idx="196">
                  <c:v>65.277965296213353</c:v>
                </c:pt>
                <c:pt idx="197">
                  <c:v>65.277965296213353</c:v>
                </c:pt>
                <c:pt idx="198">
                  <c:v>65.277965296213353</c:v>
                </c:pt>
                <c:pt idx="199">
                  <c:v>65.277965296213353</c:v>
                </c:pt>
                <c:pt idx="200">
                  <c:v>65.277965296213353</c:v>
                </c:pt>
                <c:pt idx="201">
                  <c:v>65.277965296213353</c:v>
                </c:pt>
                <c:pt idx="202">
                  <c:v>65.277965296213353</c:v>
                </c:pt>
                <c:pt idx="203">
                  <c:v>65.277965296213353</c:v>
                </c:pt>
                <c:pt idx="204">
                  <c:v>65.277965296213353</c:v>
                </c:pt>
                <c:pt idx="205">
                  <c:v>65.277965296213353</c:v>
                </c:pt>
                <c:pt idx="206">
                  <c:v>65.277965296213353</c:v>
                </c:pt>
                <c:pt idx="207">
                  <c:v>65.277965296213353</c:v>
                </c:pt>
                <c:pt idx="208">
                  <c:v>65.277965296213353</c:v>
                </c:pt>
                <c:pt idx="209">
                  <c:v>65.277965296213353</c:v>
                </c:pt>
                <c:pt idx="210">
                  <c:v>65.277965296213353</c:v>
                </c:pt>
                <c:pt idx="211">
                  <c:v>65.277965296213353</c:v>
                </c:pt>
                <c:pt idx="212">
                  <c:v>28.803266986435492</c:v>
                </c:pt>
                <c:pt idx="213">
                  <c:v>28.803266986435492</c:v>
                </c:pt>
                <c:pt idx="214">
                  <c:v>28.803266986435492</c:v>
                </c:pt>
                <c:pt idx="215">
                  <c:v>28.803266986435492</c:v>
                </c:pt>
                <c:pt idx="216">
                  <c:v>28.803266986435492</c:v>
                </c:pt>
                <c:pt idx="217">
                  <c:v>28.803266986435492</c:v>
                </c:pt>
                <c:pt idx="218">
                  <c:v>28.803266986435492</c:v>
                </c:pt>
                <c:pt idx="219">
                  <c:v>28.803266986435492</c:v>
                </c:pt>
                <c:pt idx="220">
                  <c:v>28.803266986435492</c:v>
                </c:pt>
                <c:pt idx="221">
                  <c:v>28.803266986435492</c:v>
                </c:pt>
                <c:pt idx="222">
                  <c:v>28.803266986435492</c:v>
                </c:pt>
                <c:pt idx="223">
                  <c:v>28.803266986435492</c:v>
                </c:pt>
                <c:pt idx="224">
                  <c:v>28.803266986435492</c:v>
                </c:pt>
                <c:pt idx="225">
                  <c:v>28.803266986435492</c:v>
                </c:pt>
                <c:pt idx="226">
                  <c:v>28.803266986435492</c:v>
                </c:pt>
                <c:pt idx="227">
                  <c:v>28.803266986435492</c:v>
                </c:pt>
                <c:pt idx="228">
                  <c:v>28.803266986435492</c:v>
                </c:pt>
                <c:pt idx="229">
                  <c:v>28.803266986435492</c:v>
                </c:pt>
                <c:pt idx="230">
                  <c:v>28.803266986435492</c:v>
                </c:pt>
                <c:pt idx="231">
                  <c:v>28.803266986435492</c:v>
                </c:pt>
                <c:pt idx="232">
                  <c:v>28.803266986435492</c:v>
                </c:pt>
                <c:pt idx="233">
                  <c:v>28.803266986435492</c:v>
                </c:pt>
                <c:pt idx="234">
                  <c:v>28.803266986435492</c:v>
                </c:pt>
                <c:pt idx="235">
                  <c:v>28.803266986435492</c:v>
                </c:pt>
                <c:pt idx="236">
                  <c:v>28.803266986435492</c:v>
                </c:pt>
                <c:pt idx="237">
                  <c:v>28.803266986435492</c:v>
                </c:pt>
                <c:pt idx="238">
                  <c:v>28.803266986435492</c:v>
                </c:pt>
                <c:pt idx="239">
                  <c:v>28.803266986435492</c:v>
                </c:pt>
                <c:pt idx="240">
                  <c:v>28.803266986435492</c:v>
                </c:pt>
                <c:pt idx="241">
                  <c:v>28.803266986435492</c:v>
                </c:pt>
                <c:pt idx="242">
                  <c:v>28.803266986435492</c:v>
                </c:pt>
                <c:pt idx="243">
                  <c:v>17.69576376333022</c:v>
                </c:pt>
                <c:pt idx="244">
                  <c:v>17.69576376333022</c:v>
                </c:pt>
                <c:pt idx="245">
                  <c:v>17.69576376333022</c:v>
                </c:pt>
                <c:pt idx="246">
                  <c:v>17.69576376333022</c:v>
                </c:pt>
                <c:pt idx="247">
                  <c:v>17.69576376333022</c:v>
                </c:pt>
                <c:pt idx="248">
                  <c:v>17.69576376333022</c:v>
                </c:pt>
                <c:pt idx="249">
                  <c:v>17.69576376333022</c:v>
                </c:pt>
                <c:pt idx="250">
                  <c:v>17.69576376333022</c:v>
                </c:pt>
                <c:pt idx="251">
                  <c:v>17.69576376333022</c:v>
                </c:pt>
                <c:pt idx="252">
                  <c:v>17.69576376333022</c:v>
                </c:pt>
                <c:pt idx="253">
                  <c:v>17.69576376333022</c:v>
                </c:pt>
                <c:pt idx="254">
                  <c:v>17.69576376333022</c:v>
                </c:pt>
                <c:pt idx="255">
                  <c:v>17.69576376333022</c:v>
                </c:pt>
                <c:pt idx="256">
                  <c:v>17.69576376333022</c:v>
                </c:pt>
                <c:pt idx="257">
                  <c:v>17.69576376333022</c:v>
                </c:pt>
                <c:pt idx="258">
                  <c:v>17.69576376333022</c:v>
                </c:pt>
                <c:pt idx="259">
                  <c:v>17.69576376333022</c:v>
                </c:pt>
                <c:pt idx="260">
                  <c:v>17.69576376333022</c:v>
                </c:pt>
                <c:pt idx="261">
                  <c:v>17.69576376333022</c:v>
                </c:pt>
                <c:pt idx="262">
                  <c:v>17.69576376333022</c:v>
                </c:pt>
                <c:pt idx="263">
                  <c:v>17.69576376333022</c:v>
                </c:pt>
                <c:pt idx="264">
                  <c:v>17.69576376333022</c:v>
                </c:pt>
                <c:pt idx="265">
                  <c:v>17.69576376333022</c:v>
                </c:pt>
                <c:pt idx="266">
                  <c:v>17.69576376333022</c:v>
                </c:pt>
                <c:pt idx="267">
                  <c:v>17.69576376333022</c:v>
                </c:pt>
                <c:pt idx="268">
                  <c:v>17.69576376333022</c:v>
                </c:pt>
                <c:pt idx="269">
                  <c:v>17.69576376333022</c:v>
                </c:pt>
                <c:pt idx="270">
                  <c:v>17.69576376333022</c:v>
                </c:pt>
                <c:pt idx="271">
                  <c:v>17.69576376333022</c:v>
                </c:pt>
                <c:pt idx="272">
                  <c:v>17.69576376333022</c:v>
                </c:pt>
                <c:pt idx="273">
                  <c:v>17.69576376333022</c:v>
                </c:pt>
                <c:pt idx="274">
                  <c:v>22.281040209732421</c:v>
                </c:pt>
                <c:pt idx="275">
                  <c:v>22.281040209732421</c:v>
                </c:pt>
                <c:pt idx="276">
                  <c:v>22.281040209732421</c:v>
                </c:pt>
                <c:pt idx="277">
                  <c:v>22.281040209732421</c:v>
                </c:pt>
                <c:pt idx="278">
                  <c:v>22.281040209732421</c:v>
                </c:pt>
                <c:pt idx="279">
                  <c:v>22.281040209732421</c:v>
                </c:pt>
                <c:pt idx="280">
                  <c:v>22.281040209732421</c:v>
                </c:pt>
                <c:pt idx="281">
                  <c:v>22.281040209732421</c:v>
                </c:pt>
                <c:pt idx="282">
                  <c:v>22.281040209732421</c:v>
                </c:pt>
                <c:pt idx="283">
                  <c:v>22.281040209732421</c:v>
                </c:pt>
                <c:pt idx="284">
                  <c:v>22.281040209732421</c:v>
                </c:pt>
                <c:pt idx="285">
                  <c:v>22.281040209732421</c:v>
                </c:pt>
                <c:pt idx="286">
                  <c:v>22.281040209732421</c:v>
                </c:pt>
                <c:pt idx="287">
                  <c:v>22.281040209732421</c:v>
                </c:pt>
                <c:pt idx="288">
                  <c:v>22.281040209732421</c:v>
                </c:pt>
                <c:pt idx="289">
                  <c:v>22.281040209732421</c:v>
                </c:pt>
                <c:pt idx="290">
                  <c:v>22.281040209732421</c:v>
                </c:pt>
                <c:pt idx="291">
                  <c:v>22.281040209732421</c:v>
                </c:pt>
                <c:pt idx="292">
                  <c:v>22.281040209732421</c:v>
                </c:pt>
                <c:pt idx="293">
                  <c:v>22.281040209732421</c:v>
                </c:pt>
                <c:pt idx="294">
                  <c:v>22.281040209732421</c:v>
                </c:pt>
                <c:pt idx="295">
                  <c:v>22.281040209732421</c:v>
                </c:pt>
                <c:pt idx="296">
                  <c:v>22.281040209732421</c:v>
                </c:pt>
                <c:pt idx="297">
                  <c:v>22.281040209732421</c:v>
                </c:pt>
                <c:pt idx="298">
                  <c:v>22.281040209732421</c:v>
                </c:pt>
                <c:pt idx="299">
                  <c:v>22.281040209732421</c:v>
                </c:pt>
                <c:pt idx="300">
                  <c:v>22.281040209732421</c:v>
                </c:pt>
                <c:pt idx="301">
                  <c:v>22.281040209732421</c:v>
                </c:pt>
                <c:pt idx="302">
                  <c:v>22.281040209732421</c:v>
                </c:pt>
                <c:pt idx="303">
                  <c:v>22.281040209732421</c:v>
                </c:pt>
                <c:pt idx="304">
                  <c:v>44.550149357058011</c:v>
                </c:pt>
                <c:pt idx="305">
                  <c:v>44.550149357058011</c:v>
                </c:pt>
                <c:pt idx="306">
                  <c:v>44.550149357058011</c:v>
                </c:pt>
                <c:pt idx="307">
                  <c:v>44.550149357058011</c:v>
                </c:pt>
                <c:pt idx="308">
                  <c:v>44.550149357058011</c:v>
                </c:pt>
                <c:pt idx="309">
                  <c:v>44.550149357058011</c:v>
                </c:pt>
                <c:pt idx="310">
                  <c:v>44.550149357058011</c:v>
                </c:pt>
                <c:pt idx="311">
                  <c:v>44.550149357058011</c:v>
                </c:pt>
                <c:pt idx="312">
                  <c:v>44.550149357058011</c:v>
                </c:pt>
                <c:pt idx="313">
                  <c:v>44.550149357058011</c:v>
                </c:pt>
                <c:pt idx="314">
                  <c:v>44.550149357058011</c:v>
                </c:pt>
                <c:pt idx="315">
                  <c:v>44.550149357058011</c:v>
                </c:pt>
                <c:pt idx="316">
                  <c:v>44.550149357058011</c:v>
                </c:pt>
                <c:pt idx="317">
                  <c:v>44.550149357058011</c:v>
                </c:pt>
                <c:pt idx="318">
                  <c:v>44.550149357058011</c:v>
                </c:pt>
                <c:pt idx="319">
                  <c:v>44.550149357058011</c:v>
                </c:pt>
                <c:pt idx="320">
                  <c:v>44.550149357058011</c:v>
                </c:pt>
                <c:pt idx="321">
                  <c:v>44.550149357058011</c:v>
                </c:pt>
                <c:pt idx="322">
                  <c:v>44.550149357058011</c:v>
                </c:pt>
                <c:pt idx="323">
                  <c:v>44.550149357058011</c:v>
                </c:pt>
                <c:pt idx="324">
                  <c:v>44.550149357058011</c:v>
                </c:pt>
                <c:pt idx="325">
                  <c:v>44.550149357058011</c:v>
                </c:pt>
                <c:pt idx="326">
                  <c:v>44.550149357058011</c:v>
                </c:pt>
                <c:pt idx="327">
                  <c:v>44.550149357058011</c:v>
                </c:pt>
                <c:pt idx="328">
                  <c:v>44.550149357058011</c:v>
                </c:pt>
                <c:pt idx="329">
                  <c:v>44.550149357058011</c:v>
                </c:pt>
                <c:pt idx="330">
                  <c:v>44.550149357058011</c:v>
                </c:pt>
                <c:pt idx="331">
                  <c:v>44.550149357058011</c:v>
                </c:pt>
                <c:pt idx="332">
                  <c:v>44.550149357058011</c:v>
                </c:pt>
                <c:pt idx="333">
                  <c:v>44.550149357058011</c:v>
                </c:pt>
                <c:pt idx="334">
                  <c:v>44.550149357058011</c:v>
                </c:pt>
                <c:pt idx="335">
                  <c:v>83.137557492553753</c:v>
                </c:pt>
                <c:pt idx="336">
                  <c:v>83.137557492553753</c:v>
                </c:pt>
                <c:pt idx="337">
                  <c:v>83.137557492553753</c:v>
                </c:pt>
                <c:pt idx="338">
                  <c:v>83.137557492553753</c:v>
                </c:pt>
                <c:pt idx="339">
                  <c:v>83.137557492553753</c:v>
                </c:pt>
                <c:pt idx="340">
                  <c:v>83.137557492553753</c:v>
                </c:pt>
                <c:pt idx="341">
                  <c:v>83.137557492553753</c:v>
                </c:pt>
                <c:pt idx="342">
                  <c:v>83.137557492553753</c:v>
                </c:pt>
                <c:pt idx="343">
                  <c:v>83.137557492553753</c:v>
                </c:pt>
                <c:pt idx="344">
                  <c:v>83.137557492553753</c:v>
                </c:pt>
                <c:pt idx="345">
                  <c:v>83.137557492553753</c:v>
                </c:pt>
                <c:pt idx="346">
                  <c:v>83.137557492553753</c:v>
                </c:pt>
                <c:pt idx="347">
                  <c:v>83.137557492553753</c:v>
                </c:pt>
                <c:pt idx="348">
                  <c:v>83.137557492553753</c:v>
                </c:pt>
                <c:pt idx="349">
                  <c:v>83.137557492553753</c:v>
                </c:pt>
                <c:pt idx="350">
                  <c:v>83.137557492553753</c:v>
                </c:pt>
                <c:pt idx="351">
                  <c:v>83.137557492553753</c:v>
                </c:pt>
                <c:pt idx="352">
                  <c:v>83.137557492553753</c:v>
                </c:pt>
                <c:pt idx="353">
                  <c:v>83.137557492553753</c:v>
                </c:pt>
                <c:pt idx="354">
                  <c:v>83.137557492553753</c:v>
                </c:pt>
                <c:pt idx="355">
                  <c:v>83.137557492553753</c:v>
                </c:pt>
                <c:pt idx="356">
                  <c:v>83.137557492553753</c:v>
                </c:pt>
                <c:pt idx="357">
                  <c:v>83.137557492553753</c:v>
                </c:pt>
                <c:pt idx="358">
                  <c:v>83.137557492553753</c:v>
                </c:pt>
                <c:pt idx="359">
                  <c:v>83.137557492553753</c:v>
                </c:pt>
                <c:pt idx="360">
                  <c:v>83.137557492553753</c:v>
                </c:pt>
                <c:pt idx="361">
                  <c:v>83.137557492553753</c:v>
                </c:pt>
                <c:pt idx="362">
                  <c:v>83.137557492553753</c:v>
                </c:pt>
                <c:pt idx="363">
                  <c:v>83.137557492553753</c:v>
                </c:pt>
                <c:pt idx="364">
                  <c:v>83.137557492553753</c:v>
                </c:pt>
                <c:pt idx="365">
                  <c:v>104.08859355090497</c:v>
                </c:pt>
                <c:pt idx="366">
                  <c:v>104.08859355090497</c:v>
                </c:pt>
                <c:pt idx="367">
                  <c:v>104.08859355090497</c:v>
                </c:pt>
                <c:pt idx="368">
                  <c:v>104.08859355090497</c:v>
                </c:pt>
                <c:pt idx="369">
                  <c:v>104.08859355090497</c:v>
                </c:pt>
                <c:pt idx="370">
                  <c:v>104.08859355090497</c:v>
                </c:pt>
                <c:pt idx="371">
                  <c:v>104.08859355090497</c:v>
                </c:pt>
                <c:pt idx="372">
                  <c:v>104.08859355090497</c:v>
                </c:pt>
                <c:pt idx="373">
                  <c:v>104.08859355090497</c:v>
                </c:pt>
                <c:pt idx="374">
                  <c:v>104.08859355090497</c:v>
                </c:pt>
                <c:pt idx="375">
                  <c:v>104.08859355090497</c:v>
                </c:pt>
                <c:pt idx="376">
                  <c:v>104.08859355090497</c:v>
                </c:pt>
                <c:pt idx="377">
                  <c:v>104.08859355090497</c:v>
                </c:pt>
                <c:pt idx="378">
                  <c:v>104.08859355090497</c:v>
                </c:pt>
                <c:pt idx="379">
                  <c:v>104.08859355090497</c:v>
                </c:pt>
                <c:pt idx="380">
                  <c:v>104.08859355090497</c:v>
                </c:pt>
                <c:pt idx="381">
                  <c:v>104.08859355090497</c:v>
                </c:pt>
                <c:pt idx="382">
                  <c:v>104.08859355090497</c:v>
                </c:pt>
                <c:pt idx="383">
                  <c:v>104.08859355090497</c:v>
                </c:pt>
                <c:pt idx="384">
                  <c:v>104.08859355090497</c:v>
                </c:pt>
                <c:pt idx="385">
                  <c:v>104.08859355090497</c:v>
                </c:pt>
                <c:pt idx="386">
                  <c:v>104.08859355090497</c:v>
                </c:pt>
                <c:pt idx="387">
                  <c:v>104.08859355090497</c:v>
                </c:pt>
                <c:pt idx="388">
                  <c:v>104.08859355090497</c:v>
                </c:pt>
                <c:pt idx="389">
                  <c:v>104.08859355090497</c:v>
                </c:pt>
                <c:pt idx="390">
                  <c:v>104.08859355090497</c:v>
                </c:pt>
                <c:pt idx="391">
                  <c:v>104.08859355090497</c:v>
                </c:pt>
                <c:pt idx="392">
                  <c:v>104.08859355090497</c:v>
                </c:pt>
                <c:pt idx="393">
                  <c:v>104.08859355090497</c:v>
                </c:pt>
                <c:pt idx="394">
                  <c:v>104.08859355090497</c:v>
                </c:pt>
                <c:pt idx="395">
                  <c:v>104.08859355090497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90.406102360286781</c:v>
                </c:pt>
                <c:pt idx="1">
                  <c:v>84.877445290285849</c:v>
                </c:pt>
                <c:pt idx="2">
                  <c:v>101.95753277636452</c:v>
                </c:pt>
                <c:pt idx="3">
                  <c:v>101.95753277636452</c:v>
                </c:pt>
                <c:pt idx="4">
                  <c:v>87.530024344428583</c:v>
                </c:pt>
                <c:pt idx="5">
                  <c:v>77.79707729442859</c:v>
                </c:pt>
                <c:pt idx="6">
                  <c:v>62.221405000428589</c:v>
                </c:pt>
                <c:pt idx="7">
                  <c:v>55.722765724428598</c:v>
                </c:pt>
                <c:pt idx="8">
                  <c:v>55.570950698428589</c:v>
                </c:pt>
                <c:pt idx="9">
                  <c:v>67.086032550428584</c:v>
                </c:pt>
                <c:pt idx="10">
                  <c:v>96.116496704428585</c:v>
                </c:pt>
                <c:pt idx="11">
                  <c:v>101.95753277636452</c:v>
                </c:pt>
                <c:pt idx="12">
                  <c:v>84.367956072275518</c:v>
                </c:pt>
                <c:pt idx="13">
                  <c:v>86.439192054275509</c:v>
                </c:pt>
                <c:pt idx="14">
                  <c:v>74.558017642275516</c:v>
                </c:pt>
                <c:pt idx="15">
                  <c:v>69.979588598275512</c:v>
                </c:pt>
                <c:pt idx="16">
                  <c:v>101.95753277636452</c:v>
                </c:pt>
                <c:pt idx="17">
                  <c:v>93.976316482275507</c:v>
                </c:pt>
                <c:pt idx="18">
                  <c:v>100.39496794998715</c:v>
                </c:pt>
                <c:pt idx="19">
                  <c:v>101.95753277636452</c:v>
                </c:pt>
                <c:pt idx="20">
                  <c:v>94.193360369987133</c:v>
                </c:pt>
                <c:pt idx="21">
                  <c:v>95.961340389987129</c:v>
                </c:pt>
                <c:pt idx="22">
                  <c:v>90.140903709987128</c:v>
                </c:pt>
                <c:pt idx="23">
                  <c:v>92.598722409987133</c:v>
                </c:pt>
                <c:pt idx="24">
                  <c:v>78.200598777987139</c:v>
                </c:pt>
                <c:pt idx="25">
                  <c:v>80.392952800517691</c:v>
                </c:pt>
                <c:pt idx="26">
                  <c:v>100.61535695651676</c:v>
                </c:pt>
                <c:pt idx="27">
                  <c:v>78.507003536517686</c:v>
                </c:pt>
                <c:pt idx="28">
                  <c:v>61.730001186517676</c:v>
                </c:pt>
                <c:pt idx="29">
                  <c:v>62.125770364517678</c:v>
                </c:pt>
                <c:pt idx="30">
                  <c:v>67.709005472517688</c:v>
                </c:pt>
                <c:pt idx="31">
                  <c:v>48.123127146517682</c:v>
                </c:pt>
                <c:pt idx="32">
                  <c:v>42.636473521669153</c:v>
                </c:pt>
                <c:pt idx="33">
                  <c:v>64.323681971667284</c:v>
                </c:pt>
                <c:pt idx="34">
                  <c:v>75.643640243669154</c:v>
                </c:pt>
                <c:pt idx="35">
                  <c:v>40.164393683671022</c:v>
                </c:pt>
                <c:pt idx="36">
                  <c:v>23.406447041667292</c:v>
                </c:pt>
                <c:pt idx="37">
                  <c:v>48.050071631669155</c:v>
                </c:pt>
                <c:pt idx="38">
                  <c:v>49.386536037670083</c:v>
                </c:pt>
                <c:pt idx="39">
                  <c:v>33.719116509774096</c:v>
                </c:pt>
                <c:pt idx="40">
                  <c:v>47.290569803776897</c:v>
                </c:pt>
                <c:pt idx="41">
                  <c:v>49.306202171775034</c:v>
                </c:pt>
                <c:pt idx="42">
                  <c:v>21.417700821775025</c:v>
                </c:pt>
                <c:pt idx="43">
                  <c:v>27.372357911775957</c:v>
                </c:pt>
                <c:pt idx="44">
                  <c:v>38.601003241775963</c:v>
                </c:pt>
                <c:pt idx="45">
                  <c:v>66.269905331775973</c:v>
                </c:pt>
                <c:pt idx="46">
                  <c:v>57.049382584859849</c:v>
                </c:pt>
                <c:pt idx="47">
                  <c:v>47.086793530857058</c:v>
                </c:pt>
                <c:pt idx="48">
                  <c:v>75.72736085885893</c:v>
                </c:pt>
                <c:pt idx="49">
                  <c:v>43.378133048858913</c:v>
                </c:pt>
                <c:pt idx="50">
                  <c:v>21.839733468858917</c:v>
                </c:pt>
                <c:pt idx="51">
                  <c:v>65.404301698859854</c:v>
                </c:pt>
                <c:pt idx="52">
                  <c:v>50.40606404885893</c:v>
                </c:pt>
                <c:pt idx="53">
                  <c:v>86.933992344619128</c:v>
                </c:pt>
                <c:pt idx="54">
                  <c:v>93.897589926620057</c:v>
                </c:pt>
                <c:pt idx="55">
                  <c:v>99.325622760620988</c:v>
                </c:pt>
                <c:pt idx="56">
                  <c:v>91.521473510619117</c:v>
                </c:pt>
                <c:pt idx="57">
                  <c:v>77.209113650621902</c:v>
                </c:pt>
                <c:pt idx="58">
                  <c:v>99.019040460619109</c:v>
                </c:pt>
                <c:pt idx="59">
                  <c:v>101.45238873061912</c:v>
                </c:pt>
                <c:pt idx="60">
                  <c:v>120.59631724353227</c:v>
                </c:pt>
                <c:pt idx="61">
                  <c:v>120.59631724353227</c:v>
                </c:pt>
                <c:pt idx="62">
                  <c:v>120.04142913099631</c:v>
                </c:pt>
                <c:pt idx="63">
                  <c:v>120.04142913099631</c:v>
                </c:pt>
                <c:pt idx="64">
                  <c:v>120.04142913099631</c:v>
                </c:pt>
                <c:pt idx="65">
                  <c:v>120.04142913099631</c:v>
                </c:pt>
                <c:pt idx="66">
                  <c:v>120.04142913099631</c:v>
                </c:pt>
                <c:pt idx="67">
                  <c:v>120.04142913099631</c:v>
                </c:pt>
                <c:pt idx="68">
                  <c:v>120.04142913099631</c:v>
                </c:pt>
                <c:pt idx="69">
                  <c:v>120.04142913099631</c:v>
                </c:pt>
                <c:pt idx="70">
                  <c:v>120.04142913099631</c:v>
                </c:pt>
                <c:pt idx="71">
                  <c:v>114.24660454384994</c:v>
                </c:pt>
                <c:pt idx="72">
                  <c:v>120.04142913099631</c:v>
                </c:pt>
                <c:pt idx="73">
                  <c:v>120.04142913099631</c:v>
                </c:pt>
                <c:pt idx="74">
                  <c:v>120.04142913099631</c:v>
                </c:pt>
                <c:pt idx="75">
                  <c:v>103.62366132644726</c:v>
                </c:pt>
                <c:pt idx="76">
                  <c:v>107.92361247844542</c:v>
                </c:pt>
                <c:pt idx="77">
                  <c:v>94.661395232447276</c:v>
                </c:pt>
                <c:pt idx="78">
                  <c:v>84.417533128447275</c:v>
                </c:pt>
                <c:pt idx="79">
                  <c:v>109.91697916244728</c:v>
                </c:pt>
                <c:pt idx="80">
                  <c:v>119.44313481844542</c:v>
                </c:pt>
                <c:pt idx="81">
                  <c:v>87.669133587945765</c:v>
                </c:pt>
                <c:pt idx="82">
                  <c:v>79.117863777947633</c:v>
                </c:pt>
                <c:pt idx="83">
                  <c:v>75.298925477949496</c:v>
                </c:pt>
                <c:pt idx="84">
                  <c:v>64.675635013947627</c:v>
                </c:pt>
                <c:pt idx="85">
                  <c:v>66.564979371945768</c:v>
                </c:pt>
                <c:pt idx="86">
                  <c:v>91.917289957949492</c:v>
                </c:pt>
                <c:pt idx="87">
                  <c:v>75.530994327947624</c:v>
                </c:pt>
                <c:pt idx="88">
                  <c:v>69.289270910230613</c:v>
                </c:pt>
                <c:pt idx="89">
                  <c:v>63.050235326230613</c:v>
                </c:pt>
                <c:pt idx="90">
                  <c:v>70.279727594230607</c:v>
                </c:pt>
                <c:pt idx="91">
                  <c:v>55.067245526230607</c:v>
                </c:pt>
                <c:pt idx="92">
                  <c:v>40.961962326230605</c:v>
                </c:pt>
                <c:pt idx="93">
                  <c:v>48.808900076230607</c:v>
                </c:pt>
                <c:pt idx="94">
                  <c:v>50.550977536232473</c:v>
                </c:pt>
                <c:pt idx="95">
                  <c:v>97.01795352355073</c:v>
                </c:pt>
                <c:pt idx="96">
                  <c:v>113.77763996755631</c:v>
                </c:pt>
                <c:pt idx="97">
                  <c:v>132.90693384979679</c:v>
                </c:pt>
                <c:pt idx="98">
                  <c:v>132.90693384979679</c:v>
                </c:pt>
                <c:pt idx="99">
                  <c:v>106.08530919355445</c:v>
                </c:pt>
                <c:pt idx="100">
                  <c:v>131.25554703755444</c:v>
                </c:pt>
                <c:pt idx="101">
                  <c:v>122.2313333735526</c:v>
                </c:pt>
                <c:pt idx="102">
                  <c:v>66.422230921277958</c:v>
                </c:pt>
                <c:pt idx="103">
                  <c:v>83.603457791279808</c:v>
                </c:pt>
                <c:pt idx="104">
                  <c:v>97.312987301277957</c:v>
                </c:pt>
                <c:pt idx="105">
                  <c:v>74.714766641279809</c:v>
                </c:pt>
                <c:pt idx="106">
                  <c:v>41.087115621277952</c:v>
                </c:pt>
                <c:pt idx="107">
                  <c:v>61.18239848127795</c:v>
                </c:pt>
                <c:pt idx="108">
                  <c:v>62.000907013279814</c:v>
                </c:pt>
                <c:pt idx="109">
                  <c:v>59.069677764690461</c:v>
                </c:pt>
                <c:pt idx="110">
                  <c:v>74.912399428690463</c:v>
                </c:pt>
                <c:pt idx="111">
                  <c:v>98.957296132692321</c:v>
                </c:pt>
                <c:pt idx="112">
                  <c:v>68.347545472690456</c:v>
                </c:pt>
                <c:pt idx="113">
                  <c:v>41.337805642692324</c:v>
                </c:pt>
                <c:pt idx="114">
                  <c:v>42.095181022690454</c:v>
                </c:pt>
                <c:pt idx="115">
                  <c:v>37.959048062692325</c:v>
                </c:pt>
                <c:pt idx="116">
                  <c:v>39.210651627381345</c:v>
                </c:pt>
                <c:pt idx="117">
                  <c:v>50.566903553377628</c:v>
                </c:pt>
                <c:pt idx="118">
                  <c:v>62.55005746738135</c:v>
                </c:pt>
                <c:pt idx="119">
                  <c:v>40.608588867379488</c:v>
                </c:pt>
                <c:pt idx="120">
                  <c:v>51.831602707379488</c:v>
                </c:pt>
                <c:pt idx="121">
                  <c:v>76.662643839381346</c:v>
                </c:pt>
                <c:pt idx="122">
                  <c:v>73.117034955377619</c:v>
                </c:pt>
                <c:pt idx="123">
                  <c:v>45.024506179779593</c:v>
                </c:pt>
                <c:pt idx="124">
                  <c:v>42.33311552377959</c:v>
                </c:pt>
                <c:pt idx="125">
                  <c:v>53.148606071777728</c:v>
                </c:pt>
                <c:pt idx="126">
                  <c:v>35.40131546777959</c:v>
                </c:pt>
                <c:pt idx="127">
                  <c:v>30.369701119777734</c:v>
                </c:pt>
                <c:pt idx="128">
                  <c:v>38.897896747777729</c:v>
                </c:pt>
                <c:pt idx="129">
                  <c:v>35.460223803779591</c:v>
                </c:pt>
                <c:pt idx="130">
                  <c:v>73.590745241523095</c:v>
                </c:pt>
                <c:pt idx="131">
                  <c:v>81.935471213523101</c:v>
                </c:pt>
                <c:pt idx="132">
                  <c:v>81.298658489523092</c:v>
                </c:pt>
                <c:pt idx="133">
                  <c:v>71.775422277523091</c:v>
                </c:pt>
                <c:pt idx="134">
                  <c:v>65.230425237523093</c:v>
                </c:pt>
                <c:pt idx="135">
                  <c:v>75.106005453521234</c:v>
                </c:pt>
                <c:pt idx="136">
                  <c:v>82.865641981523098</c:v>
                </c:pt>
                <c:pt idx="137">
                  <c:v>100.01872431620907</c:v>
                </c:pt>
                <c:pt idx="138">
                  <c:v>97.640177000207203</c:v>
                </c:pt>
                <c:pt idx="139">
                  <c:v>76.378072956209067</c:v>
                </c:pt>
                <c:pt idx="140">
                  <c:v>73.470189276207208</c:v>
                </c:pt>
                <c:pt idx="141">
                  <c:v>82.184180796209063</c:v>
                </c:pt>
                <c:pt idx="142">
                  <c:v>83.15904527220907</c:v>
                </c:pt>
                <c:pt idx="143">
                  <c:v>84.983474912207214</c:v>
                </c:pt>
                <c:pt idx="144">
                  <c:v>120.16015579154841</c:v>
                </c:pt>
                <c:pt idx="145">
                  <c:v>122.17053837154654</c:v>
                </c:pt>
                <c:pt idx="146">
                  <c:v>128.77123560535</c:v>
                </c:pt>
                <c:pt idx="147">
                  <c:v>128.77123560535</c:v>
                </c:pt>
                <c:pt idx="148">
                  <c:v>124.85596989154841</c:v>
                </c:pt>
                <c:pt idx="149">
                  <c:v>128.77123560535</c:v>
                </c:pt>
                <c:pt idx="150">
                  <c:v>128.77123560535</c:v>
                </c:pt>
                <c:pt idx="151">
                  <c:v>105.65373260469035</c:v>
                </c:pt>
                <c:pt idx="152">
                  <c:v>100.09574057899054</c:v>
                </c:pt>
                <c:pt idx="153">
                  <c:v>102.83984928298868</c:v>
                </c:pt>
                <c:pt idx="154">
                  <c:v>101.27127545099053</c:v>
                </c:pt>
                <c:pt idx="155">
                  <c:v>93.971423794990557</c:v>
                </c:pt>
                <c:pt idx="156">
                  <c:v>105.65373260469035</c:v>
                </c:pt>
                <c:pt idx="157">
                  <c:v>103.96177035099053</c:v>
                </c:pt>
                <c:pt idx="158">
                  <c:v>66.221452729308808</c:v>
                </c:pt>
                <c:pt idx="159">
                  <c:v>74.446018409306944</c:v>
                </c:pt>
                <c:pt idx="160">
                  <c:v>83.660476461306928</c:v>
                </c:pt>
                <c:pt idx="161">
                  <c:v>75.973093089306929</c:v>
                </c:pt>
                <c:pt idx="162">
                  <c:v>66.319120533306943</c:v>
                </c:pt>
                <c:pt idx="163">
                  <c:v>71.987889609306933</c:v>
                </c:pt>
                <c:pt idx="164">
                  <c:v>75.311342213308791</c:v>
                </c:pt>
                <c:pt idx="165">
                  <c:v>74.37980817415513</c:v>
                </c:pt>
                <c:pt idx="166">
                  <c:v>68.006816766156987</c:v>
                </c:pt>
                <c:pt idx="167">
                  <c:v>65.738982786156996</c:v>
                </c:pt>
                <c:pt idx="168">
                  <c:v>64.549248354155139</c:v>
                </c:pt>
                <c:pt idx="169">
                  <c:v>60.67698176215886</c:v>
                </c:pt>
                <c:pt idx="170">
                  <c:v>72.64989890615513</c:v>
                </c:pt>
                <c:pt idx="171">
                  <c:v>76.313361826155131</c:v>
                </c:pt>
                <c:pt idx="172">
                  <c:v>66.067444093736299</c:v>
                </c:pt>
                <c:pt idx="173">
                  <c:v>60.102267253734432</c:v>
                </c:pt>
                <c:pt idx="174">
                  <c:v>59.22299280573629</c:v>
                </c:pt>
                <c:pt idx="175">
                  <c:v>57.431285131732572</c:v>
                </c:pt>
                <c:pt idx="176">
                  <c:v>54.664174471738157</c:v>
                </c:pt>
                <c:pt idx="177">
                  <c:v>58.471831127732571</c:v>
                </c:pt>
                <c:pt idx="178">
                  <c:v>53.417569333734434</c:v>
                </c:pt>
                <c:pt idx="179">
                  <c:v>47.003361174643345</c:v>
                </c:pt>
                <c:pt idx="180">
                  <c:v>47.415259922641482</c:v>
                </c:pt>
                <c:pt idx="181">
                  <c:v>54.139165124643348</c:v>
                </c:pt>
                <c:pt idx="182">
                  <c:v>46.030866642641485</c:v>
                </c:pt>
                <c:pt idx="183">
                  <c:v>41.260838216643343</c:v>
                </c:pt>
                <c:pt idx="184">
                  <c:v>49.642918986643345</c:v>
                </c:pt>
                <c:pt idx="185">
                  <c:v>42.165727116641477</c:v>
                </c:pt>
                <c:pt idx="186">
                  <c:v>44.137358011716373</c:v>
                </c:pt>
                <c:pt idx="187">
                  <c:v>41.289462523716381</c:v>
                </c:pt>
                <c:pt idx="188">
                  <c:v>46.547876791718238</c:v>
                </c:pt>
                <c:pt idx="189">
                  <c:v>36.381198447716379</c:v>
                </c:pt>
                <c:pt idx="190">
                  <c:v>36.220912243718239</c:v>
                </c:pt>
                <c:pt idx="191">
                  <c:v>34.958879279718239</c:v>
                </c:pt>
                <c:pt idx="192">
                  <c:v>40.602532139716381</c:v>
                </c:pt>
                <c:pt idx="193">
                  <c:v>39.246824186815594</c:v>
                </c:pt>
                <c:pt idx="194">
                  <c:v>28.642151794815597</c:v>
                </c:pt>
                <c:pt idx="195">
                  <c:v>32.449437178815593</c:v>
                </c:pt>
                <c:pt idx="196">
                  <c:v>29.766949250813735</c:v>
                </c:pt>
                <c:pt idx="197">
                  <c:v>32.916627950815595</c:v>
                </c:pt>
                <c:pt idx="198">
                  <c:v>39.099709578817453</c:v>
                </c:pt>
                <c:pt idx="199">
                  <c:v>30.571841338813734</c:v>
                </c:pt>
                <c:pt idx="200">
                  <c:v>41.691236397653192</c:v>
                </c:pt>
                <c:pt idx="201">
                  <c:v>34.646901205653194</c:v>
                </c:pt>
                <c:pt idx="202">
                  <c:v>40.428434057653199</c:v>
                </c:pt>
                <c:pt idx="203">
                  <c:v>28.841690745655061</c:v>
                </c:pt>
                <c:pt idx="204">
                  <c:v>27.14175294765133</c:v>
                </c:pt>
                <c:pt idx="205">
                  <c:v>32.885672653653195</c:v>
                </c:pt>
                <c:pt idx="206">
                  <c:v>46.071194117655061</c:v>
                </c:pt>
                <c:pt idx="207">
                  <c:v>29.630021615292456</c:v>
                </c:pt>
                <c:pt idx="208">
                  <c:v>25.563808355296175</c:v>
                </c:pt>
                <c:pt idx="209">
                  <c:v>35.391128383292454</c:v>
                </c:pt>
                <c:pt idx="210">
                  <c:v>19.282172891294316</c:v>
                </c:pt>
                <c:pt idx="211">
                  <c:v>18.156129819294314</c:v>
                </c:pt>
                <c:pt idx="212">
                  <c:v>28.803266986435492</c:v>
                </c:pt>
                <c:pt idx="213">
                  <c:v>23.819633133292452</c:v>
                </c:pt>
                <c:pt idx="214">
                  <c:v>24.155151294324533</c:v>
                </c:pt>
                <c:pt idx="215">
                  <c:v>24.502741548322664</c:v>
                </c:pt>
                <c:pt idx="216">
                  <c:v>28.803266986435492</c:v>
                </c:pt>
                <c:pt idx="217">
                  <c:v>13.159823920322669</c:v>
                </c:pt>
                <c:pt idx="218">
                  <c:v>7.1812377363226698</c:v>
                </c:pt>
                <c:pt idx="219">
                  <c:v>8.1185563823245328</c:v>
                </c:pt>
                <c:pt idx="220">
                  <c:v>10.871763208322664</c:v>
                </c:pt>
                <c:pt idx="221">
                  <c:v>20.648786620394116</c:v>
                </c:pt>
                <c:pt idx="222">
                  <c:v>28.803266986435492</c:v>
                </c:pt>
                <c:pt idx="223">
                  <c:v>28.803266986435492</c:v>
                </c:pt>
                <c:pt idx="224">
                  <c:v>12.599754404394115</c:v>
                </c:pt>
                <c:pt idx="225">
                  <c:v>5.0360476023959784</c:v>
                </c:pt>
                <c:pt idx="226">
                  <c:v>21.666046580394113</c:v>
                </c:pt>
                <c:pt idx="227">
                  <c:v>17.970372188394112</c:v>
                </c:pt>
                <c:pt idx="228">
                  <c:v>11.188179630132851</c:v>
                </c:pt>
                <c:pt idx="229">
                  <c:v>7.9384117181347102</c:v>
                </c:pt>
                <c:pt idx="230">
                  <c:v>9.7740342381328524</c:v>
                </c:pt>
                <c:pt idx="231">
                  <c:v>1.0667203581328504</c:v>
                </c:pt>
                <c:pt idx="232">
                  <c:v>3.5535376941309877</c:v>
                </c:pt>
                <c:pt idx="233">
                  <c:v>4.9813734981347153</c:v>
                </c:pt>
                <c:pt idx="234">
                  <c:v>5.8243440341328458</c:v>
                </c:pt>
                <c:pt idx="235">
                  <c:v>4.6091382504418874</c:v>
                </c:pt>
                <c:pt idx="236">
                  <c:v>2.9597375264400254</c:v>
                </c:pt>
                <c:pt idx="237">
                  <c:v>1.843541032440029</c:v>
                </c:pt>
                <c:pt idx="238">
                  <c:v>5.8267309124418896</c:v>
                </c:pt>
                <c:pt idx="239">
                  <c:v>4.9173575944381662</c:v>
                </c:pt>
                <c:pt idx="240">
                  <c:v>4.016378514441894</c:v>
                </c:pt>
                <c:pt idx="241">
                  <c:v>3.7028108184390947</c:v>
                </c:pt>
                <c:pt idx="242">
                  <c:v>2.4336939225340322</c:v>
                </c:pt>
                <c:pt idx="243">
                  <c:v>7.9214282285340305</c:v>
                </c:pt>
                <c:pt idx="244">
                  <c:v>8.0697212285349664</c:v>
                </c:pt>
                <c:pt idx="245">
                  <c:v>2.3037371005331004</c:v>
                </c:pt>
                <c:pt idx="246">
                  <c:v>2.257930104535895</c:v>
                </c:pt>
                <c:pt idx="247">
                  <c:v>8.6116978425331041</c:v>
                </c:pt>
                <c:pt idx="248">
                  <c:v>12.310531754534036</c:v>
                </c:pt>
                <c:pt idx="249">
                  <c:v>13.944449399182115</c:v>
                </c:pt>
                <c:pt idx="250">
                  <c:v>7.5493202591811857</c:v>
                </c:pt>
                <c:pt idx="251">
                  <c:v>9.3960193591811834</c:v>
                </c:pt>
                <c:pt idx="252">
                  <c:v>7.8897993671830484</c:v>
                </c:pt>
                <c:pt idx="253">
                  <c:v>1.068560027180254</c:v>
                </c:pt>
                <c:pt idx="254">
                  <c:v>2.4958660811811861</c:v>
                </c:pt>
                <c:pt idx="255">
                  <c:v>7.113692349181183</c:v>
                </c:pt>
                <c:pt idx="256">
                  <c:v>12.498108670538379</c:v>
                </c:pt>
                <c:pt idx="257">
                  <c:v>6.7645505145355855</c:v>
                </c:pt>
                <c:pt idx="258">
                  <c:v>10.198750332538372</c:v>
                </c:pt>
                <c:pt idx="259">
                  <c:v>6.5070074045346482</c:v>
                </c:pt>
                <c:pt idx="260">
                  <c:v>5.2324443865365176</c:v>
                </c:pt>
                <c:pt idx="261">
                  <c:v>10.958338302537442</c:v>
                </c:pt>
                <c:pt idx="262">
                  <c:v>9.7324790045374474</c:v>
                </c:pt>
                <c:pt idx="263">
                  <c:v>13.338055306264454</c:v>
                </c:pt>
                <c:pt idx="264">
                  <c:v>16.765228846264456</c:v>
                </c:pt>
                <c:pt idx="265">
                  <c:v>17.646445842265383</c:v>
                </c:pt>
                <c:pt idx="266">
                  <c:v>9.763781318263522</c:v>
                </c:pt>
                <c:pt idx="267">
                  <c:v>6.1929172722663166</c:v>
                </c:pt>
                <c:pt idx="268">
                  <c:v>17.69576376333022</c:v>
                </c:pt>
                <c:pt idx="269">
                  <c:v>17.69576376333022</c:v>
                </c:pt>
                <c:pt idx="270">
                  <c:v>17.69576376333022</c:v>
                </c:pt>
                <c:pt idx="271">
                  <c:v>17.69576376333022</c:v>
                </c:pt>
                <c:pt idx="272">
                  <c:v>17.69576376333022</c:v>
                </c:pt>
                <c:pt idx="273">
                  <c:v>15.919595253264786</c:v>
                </c:pt>
                <c:pt idx="274">
                  <c:v>1.0574971092657142</c:v>
                </c:pt>
                <c:pt idx="275">
                  <c:v>6.8017746692666474</c:v>
                </c:pt>
                <c:pt idx="276">
                  <c:v>7.4549108792647818</c:v>
                </c:pt>
                <c:pt idx="277">
                  <c:v>9.4749125041668165</c:v>
                </c:pt>
                <c:pt idx="278">
                  <c:v>7.5681810981686795</c:v>
                </c:pt>
                <c:pt idx="279">
                  <c:v>4.8948287881677501</c:v>
                </c:pt>
                <c:pt idx="280">
                  <c:v>8.5982141721677507</c:v>
                </c:pt>
                <c:pt idx="281">
                  <c:v>9.1360089501677511</c:v>
                </c:pt>
                <c:pt idx="282">
                  <c:v>19.102409328166818</c:v>
                </c:pt>
                <c:pt idx="283">
                  <c:v>9.2524961541686785</c:v>
                </c:pt>
                <c:pt idx="284">
                  <c:v>17.113809906556309</c:v>
                </c:pt>
                <c:pt idx="285">
                  <c:v>22.281040209732421</c:v>
                </c:pt>
                <c:pt idx="286">
                  <c:v>20.034511860554449</c:v>
                </c:pt>
                <c:pt idx="287">
                  <c:v>3.6371299425572396</c:v>
                </c:pt>
                <c:pt idx="288">
                  <c:v>2.6742494705553765</c:v>
                </c:pt>
                <c:pt idx="289">
                  <c:v>22.281040209732421</c:v>
                </c:pt>
                <c:pt idx="290">
                  <c:v>22.281040209732421</c:v>
                </c:pt>
                <c:pt idx="291">
                  <c:v>22.281040209732421</c:v>
                </c:pt>
                <c:pt idx="292">
                  <c:v>22.281040209732421</c:v>
                </c:pt>
                <c:pt idx="293">
                  <c:v>6.5242940318261029</c:v>
                </c:pt>
                <c:pt idx="294">
                  <c:v>5.9345660678251697</c:v>
                </c:pt>
                <c:pt idx="295">
                  <c:v>2.0039890278251695</c:v>
                </c:pt>
                <c:pt idx="296">
                  <c:v>10.812123067824235</c:v>
                </c:pt>
                <c:pt idx="297">
                  <c:v>6.8628073918270314</c:v>
                </c:pt>
                <c:pt idx="298">
                  <c:v>21.66226604055921</c:v>
                </c:pt>
                <c:pt idx="299">
                  <c:v>22.281040209732421</c:v>
                </c:pt>
                <c:pt idx="300">
                  <c:v>19.632589916559212</c:v>
                </c:pt>
                <c:pt idx="301">
                  <c:v>13.274553664561074</c:v>
                </c:pt>
                <c:pt idx="302">
                  <c:v>11.291133864560143</c:v>
                </c:pt>
                <c:pt idx="303">
                  <c:v>22.281040209732421</c:v>
                </c:pt>
                <c:pt idx="304">
                  <c:v>14.768948360559211</c:v>
                </c:pt>
                <c:pt idx="305">
                  <c:v>6.2465913393767076</c:v>
                </c:pt>
                <c:pt idx="306">
                  <c:v>10.294657775379502</c:v>
                </c:pt>
                <c:pt idx="307">
                  <c:v>15.231506839375776</c:v>
                </c:pt>
                <c:pt idx="308">
                  <c:v>2.7791585433776382</c:v>
                </c:pt>
                <c:pt idx="309">
                  <c:v>3.1948578873776388</c:v>
                </c:pt>
                <c:pt idx="310">
                  <c:v>9.1765671673767066</c:v>
                </c:pt>
                <c:pt idx="311">
                  <c:v>11.670171503377638</c:v>
                </c:pt>
                <c:pt idx="312">
                  <c:v>10.974282968998283</c:v>
                </c:pt>
                <c:pt idx="313">
                  <c:v>12.436239417001078</c:v>
                </c:pt>
                <c:pt idx="314">
                  <c:v>8.7710066969982829</c:v>
                </c:pt>
                <c:pt idx="315">
                  <c:v>2.3492717330001471</c:v>
                </c:pt>
                <c:pt idx="316">
                  <c:v>1.2920262790001471</c:v>
                </c:pt>
                <c:pt idx="317">
                  <c:v>4.4865502089992155</c:v>
                </c:pt>
                <c:pt idx="318">
                  <c:v>9.1113559910001456</c:v>
                </c:pt>
                <c:pt idx="319">
                  <c:v>35.086366275212995</c:v>
                </c:pt>
                <c:pt idx="320">
                  <c:v>44.550149357058011</c:v>
                </c:pt>
                <c:pt idx="321">
                  <c:v>44.485241749213927</c:v>
                </c:pt>
                <c:pt idx="322">
                  <c:v>37.269568681213933</c:v>
                </c:pt>
                <c:pt idx="323">
                  <c:v>44.550149357058011</c:v>
                </c:pt>
                <c:pt idx="324">
                  <c:v>44.550149357058011</c:v>
                </c:pt>
                <c:pt idx="325">
                  <c:v>44.550149357058011</c:v>
                </c:pt>
                <c:pt idx="326">
                  <c:v>44.550149357058011</c:v>
                </c:pt>
                <c:pt idx="327">
                  <c:v>44.550149357058011</c:v>
                </c:pt>
                <c:pt idx="328">
                  <c:v>44.550149357058011</c:v>
                </c:pt>
                <c:pt idx="329">
                  <c:v>44.550149357058011</c:v>
                </c:pt>
                <c:pt idx="330">
                  <c:v>44.550149357058011</c:v>
                </c:pt>
                <c:pt idx="331">
                  <c:v>44.550149357058011</c:v>
                </c:pt>
                <c:pt idx="332">
                  <c:v>44.550149357058011</c:v>
                </c:pt>
                <c:pt idx="333">
                  <c:v>44.550149357058011</c:v>
                </c:pt>
                <c:pt idx="334">
                  <c:v>44.550149357058011</c:v>
                </c:pt>
                <c:pt idx="335">
                  <c:v>32.645414409750643</c:v>
                </c:pt>
                <c:pt idx="336">
                  <c:v>33.302213801749708</c:v>
                </c:pt>
                <c:pt idx="337">
                  <c:v>39.235533997751567</c:v>
                </c:pt>
                <c:pt idx="338">
                  <c:v>49.432187269750642</c:v>
                </c:pt>
                <c:pt idx="339">
                  <c:v>55.129035661749711</c:v>
                </c:pt>
                <c:pt idx="340">
                  <c:v>83.137557492553753</c:v>
                </c:pt>
                <c:pt idx="341">
                  <c:v>83.137557492553753</c:v>
                </c:pt>
                <c:pt idx="342">
                  <c:v>83.137557492553753</c:v>
                </c:pt>
                <c:pt idx="343">
                  <c:v>83.137557492553753</c:v>
                </c:pt>
                <c:pt idx="344">
                  <c:v>83.137557492553753</c:v>
                </c:pt>
                <c:pt idx="345">
                  <c:v>83.137557492553753</c:v>
                </c:pt>
                <c:pt idx="346">
                  <c:v>83.137557492553753</c:v>
                </c:pt>
                <c:pt idx="347">
                  <c:v>83.137557492553753</c:v>
                </c:pt>
                <c:pt idx="348">
                  <c:v>83.137557492553753</c:v>
                </c:pt>
                <c:pt idx="349">
                  <c:v>83.137557492553753</c:v>
                </c:pt>
                <c:pt idx="350">
                  <c:v>83.137557492553753</c:v>
                </c:pt>
                <c:pt idx="351">
                  <c:v>83.137557492553753</c:v>
                </c:pt>
                <c:pt idx="352">
                  <c:v>83.137557492553753</c:v>
                </c:pt>
                <c:pt idx="353">
                  <c:v>83.137557492553753</c:v>
                </c:pt>
                <c:pt idx="354">
                  <c:v>83.137557492553753</c:v>
                </c:pt>
                <c:pt idx="355">
                  <c:v>83.137557492553753</c:v>
                </c:pt>
                <c:pt idx="356">
                  <c:v>83.137557492553753</c:v>
                </c:pt>
                <c:pt idx="357">
                  <c:v>83.137557492553753</c:v>
                </c:pt>
                <c:pt idx="358">
                  <c:v>83.137557492553753</c:v>
                </c:pt>
                <c:pt idx="359">
                  <c:v>83.137557492553753</c:v>
                </c:pt>
                <c:pt idx="360">
                  <c:v>83.137557492553753</c:v>
                </c:pt>
                <c:pt idx="361">
                  <c:v>83.137557492553753</c:v>
                </c:pt>
                <c:pt idx="362">
                  <c:v>83.137557492553753</c:v>
                </c:pt>
                <c:pt idx="363">
                  <c:v>83.137557492553753</c:v>
                </c:pt>
                <c:pt idx="364">
                  <c:v>83.137557492553753</c:v>
                </c:pt>
                <c:pt idx="365">
                  <c:v>104.08859355090497</c:v>
                </c:pt>
                <c:pt idx="366">
                  <c:v>104.08859355090497</c:v>
                </c:pt>
                <c:pt idx="367">
                  <c:v>104.08859355090497</c:v>
                </c:pt>
                <c:pt idx="368">
                  <c:v>104.08859355090497</c:v>
                </c:pt>
                <c:pt idx="369">
                  <c:v>104.08859355090497</c:v>
                </c:pt>
                <c:pt idx="370">
                  <c:v>104.08859355090497</c:v>
                </c:pt>
                <c:pt idx="371">
                  <c:v>104.08859355090497</c:v>
                </c:pt>
                <c:pt idx="372">
                  <c:v>104.08859355090497</c:v>
                </c:pt>
                <c:pt idx="373">
                  <c:v>104.08859355090497</c:v>
                </c:pt>
                <c:pt idx="374">
                  <c:v>104.08859355090497</c:v>
                </c:pt>
                <c:pt idx="375">
                  <c:v>104.08859355090497</c:v>
                </c:pt>
                <c:pt idx="376">
                  <c:v>104.08859355090497</c:v>
                </c:pt>
                <c:pt idx="377">
                  <c:v>104.08859355090497</c:v>
                </c:pt>
                <c:pt idx="378">
                  <c:v>104.08859355090497</c:v>
                </c:pt>
                <c:pt idx="379">
                  <c:v>104.08859355090497</c:v>
                </c:pt>
                <c:pt idx="380">
                  <c:v>104.08859355090497</c:v>
                </c:pt>
                <c:pt idx="381">
                  <c:v>104.08859355090497</c:v>
                </c:pt>
                <c:pt idx="382">
                  <c:v>104.08859355090497</c:v>
                </c:pt>
                <c:pt idx="383">
                  <c:v>104.08859355090497</c:v>
                </c:pt>
                <c:pt idx="384">
                  <c:v>104.08859355090497</c:v>
                </c:pt>
                <c:pt idx="385">
                  <c:v>104.08859355090497</c:v>
                </c:pt>
                <c:pt idx="386">
                  <c:v>104.08859355090497</c:v>
                </c:pt>
                <c:pt idx="387">
                  <c:v>104.08859355090497</c:v>
                </c:pt>
                <c:pt idx="388">
                  <c:v>104.08859355090497</c:v>
                </c:pt>
                <c:pt idx="389">
                  <c:v>104.08859355090497</c:v>
                </c:pt>
                <c:pt idx="390">
                  <c:v>104.08859355090497</c:v>
                </c:pt>
                <c:pt idx="391">
                  <c:v>104.08859355090497</c:v>
                </c:pt>
                <c:pt idx="392">
                  <c:v>104.08859355090497</c:v>
                </c:pt>
                <c:pt idx="393">
                  <c:v>104.08859355090497</c:v>
                </c:pt>
                <c:pt idx="394">
                  <c:v>104.08859355090497</c:v>
                </c:pt>
                <c:pt idx="395">
                  <c:v>104.08859355090497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7-4152-9D24-00490E000A9C}"/>
                </c:ext>
              </c:extLst>
            </c:dLbl>
            <c:dLbl>
              <c:idx val="76"/>
              <c:layout>
                <c:manualLayout>
                  <c:x val="0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54-40F8-8094-8BBB96175E04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7-4152-9D24-00490E000A9C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7-4152-9D24-00490E000A9C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7-4152-9D24-00490E000A9C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F7-4152-9D24-00490E000A9C}"/>
                </c:ext>
              </c:extLst>
            </c:dLbl>
            <c:dLbl>
              <c:idx val="1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-8.923884514435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F7-4152-9D24-00490E000A9C}"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F7-4152-9D24-00490E000A9C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54-40F8-8094-8BBB96175E04}"/>
                </c:ext>
              </c:extLst>
            </c:dLbl>
            <c:dLbl>
              <c:idx val="257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54-40F8-8094-8BBB96175E04}"/>
                </c:ext>
              </c:extLst>
            </c:dLbl>
            <c:dLbl>
              <c:idx val="318"/>
              <c:layout>
                <c:manualLayout>
                  <c:x val="-1.8091361374943465E-3"/>
                  <c:y val="-4.724409448818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F7-4152-9D24-00490E000A9C}"/>
                </c:ext>
              </c:extLst>
            </c:dLbl>
            <c:dLbl>
              <c:idx val="349"/>
              <c:layout>
                <c:manualLayout>
                  <c:x val="-3.6182722749886929E-3"/>
                  <c:y val="-0.20472440944881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-5.4274084124830389E-3"/>
                  <c:y val="-0.18372703412073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101.95753277636452</c:v>
                </c:pt>
                <c:pt idx="45">
                  <c:v>120.59631724353227</c:v>
                </c:pt>
                <c:pt idx="75">
                  <c:v>0</c:v>
                </c:pt>
                <c:pt idx="76">
                  <c:v>120.04142913099631</c:v>
                </c:pt>
                <c:pt idx="104">
                  <c:v>132.90693384979679</c:v>
                </c:pt>
                <c:pt idx="105">
                  <c:v>0</c:v>
                </c:pt>
                <c:pt idx="106">
                  <c:v>0</c:v>
                </c:pt>
                <c:pt idx="134">
                  <c:v>0</c:v>
                </c:pt>
                <c:pt idx="135">
                  <c:v>128.77123560535</c:v>
                </c:pt>
                <c:pt idx="136">
                  <c:v>0</c:v>
                </c:pt>
                <c:pt idx="137">
                  <c:v>0</c:v>
                </c:pt>
                <c:pt idx="165">
                  <c:v>105.65373260469035</c:v>
                </c:pt>
                <c:pt idx="167">
                  <c:v>0</c:v>
                </c:pt>
                <c:pt idx="195">
                  <c:v>0</c:v>
                </c:pt>
                <c:pt idx="196">
                  <c:v>65.277965296213353</c:v>
                </c:pt>
                <c:pt idx="197">
                  <c:v>0</c:v>
                </c:pt>
                <c:pt idx="198">
                  <c:v>0</c:v>
                </c:pt>
                <c:pt idx="226">
                  <c:v>28.803266986435492</c:v>
                </c:pt>
                <c:pt idx="256">
                  <c:v>0</c:v>
                </c:pt>
                <c:pt idx="257">
                  <c:v>17.69576376333022</c:v>
                </c:pt>
                <c:pt idx="287">
                  <c:v>0</c:v>
                </c:pt>
                <c:pt idx="288">
                  <c:v>22.281040209732421</c:v>
                </c:pt>
                <c:pt idx="317">
                  <c:v>0</c:v>
                </c:pt>
                <c:pt idx="318">
                  <c:v>44.550149357058011</c:v>
                </c:pt>
                <c:pt idx="348">
                  <c:v>0</c:v>
                </c:pt>
                <c:pt idx="349">
                  <c:v>83.137557492553753</c:v>
                </c:pt>
                <c:pt idx="379">
                  <c:v>104.08859355090497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13456.058434449991</c:v>
                </c:pt>
                <c:pt idx="1">
                  <c:v>13020.290870750003</c:v>
                </c:pt>
                <c:pt idx="2">
                  <c:v>13213.723010049996</c:v>
                </c:pt>
                <c:pt idx="3">
                  <c:v>13690.625142599998</c:v>
                </c:pt>
                <c:pt idx="4">
                  <c:v>13853.30312085</c:v>
                </c:pt>
                <c:pt idx="5">
                  <c:v>14075.916087449999</c:v>
                </c:pt>
                <c:pt idx="6">
                  <c:v>13746.724281450002</c:v>
                </c:pt>
                <c:pt idx="7">
                  <c:v>12260.387398049996</c:v>
                </c:pt>
                <c:pt idx="8">
                  <c:v>10934.703078450004</c:v>
                </c:pt>
                <c:pt idx="9">
                  <c:v>10145.245921199999</c:v>
                </c:pt>
                <c:pt idx="10">
                  <c:v>9771.2920444499996</c:v>
                </c:pt>
                <c:pt idx="11">
                  <c:v>11172.260412899997</c:v>
                </c:pt>
                <c:pt idx="12">
                  <c:v>13395.083468899993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5331.3250531999984</c:v>
                </c:pt>
                <c:pt idx="1">
                  <c:v>5449.8113076999989</c:v>
                </c:pt>
                <c:pt idx="2">
                  <c:v>5542.2838559499978</c:v>
                </c:pt>
                <c:pt idx="3">
                  <c:v>5759.1679040999989</c:v>
                </c:pt>
                <c:pt idx="4">
                  <c:v>7055.2102049999985</c:v>
                </c:pt>
                <c:pt idx="5">
                  <c:v>7043.3783189999976</c:v>
                </c:pt>
                <c:pt idx="6">
                  <c:v>6538.4545967989416</c:v>
                </c:pt>
                <c:pt idx="7">
                  <c:v>5677.4335971347564</c:v>
                </c:pt>
                <c:pt idx="8">
                  <c:v>4963.102723832124</c:v>
                </c:pt>
                <c:pt idx="9">
                  <c:v>4679.6100847773832</c:v>
                </c:pt>
                <c:pt idx="10">
                  <c:v>4419.3227575624023</c:v>
                </c:pt>
                <c:pt idx="11">
                  <c:v>4800.2412517000002</c:v>
                </c:pt>
                <c:pt idx="12">
                  <c:v>5326.3089624999975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8645.3592049681756</c:v>
                </c:pt>
                <c:pt idx="1">
                  <c:v>9388.9296029958969</c:v>
                </c:pt>
                <c:pt idx="2">
                  <c:v>9889.1240943879329</c:v>
                </c:pt>
                <c:pt idx="3">
                  <c:v>10570.14772097053</c:v>
                </c:pt>
                <c:pt idx="4">
                  <c:v>11183.148309133439</c:v>
                </c:pt>
                <c:pt idx="5">
                  <c:v>11397.034267874862</c:v>
                </c:pt>
                <c:pt idx="6">
                  <c:v>10842.690741399472</c:v>
                </c:pt>
                <c:pt idx="7">
                  <c:v>9738.8161322836859</c:v>
                </c:pt>
                <c:pt idx="8">
                  <c:v>8674.1946441437685</c:v>
                </c:pt>
                <c:pt idx="9">
                  <c:v>7914.693031672703</c:v>
                </c:pt>
                <c:pt idx="10">
                  <c:v>7790.0287429473083</c:v>
                </c:pt>
                <c:pt idx="11">
                  <c:v>8146.8772984649422</c:v>
                </c:pt>
                <c:pt idx="12">
                  <c:v>8613.6806204130498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8172.2198288975142</c:v>
                </c:pt>
                <c:pt idx="1">
                  <c:v>8071.161100088786</c:v>
                </c:pt>
                <c:pt idx="2">
                  <c:v>8866.4553178436945</c:v>
                </c:pt>
                <c:pt idx="3">
                  <c:v>8992.1477604144093</c:v>
                </c:pt>
                <c:pt idx="4">
                  <c:v>9541.0680132165635</c:v>
                </c:pt>
                <c:pt idx="5">
                  <c:v>9882.0064054258182</c:v>
                </c:pt>
                <c:pt idx="6">
                  <c:v>9327.5746473861582</c:v>
                </c:pt>
                <c:pt idx="7">
                  <c:v>8160.8349135743274</c:v>
                </c:pt>
                <c:pt idx="8">
                  <c:v>7263.6708853984701</c:v>
                </c:pt>
                <c:pt idx="9">
                  <c:v>6466.33274064748</c:v>
                </c:pt>
                <c:pt idx="10">
                  <c:v>6358.0428308198152</c:v>
                </c:pt>
                <c:pt idx="11">
                  <c:v>7808.1870513850999</c:v>
                </c:pt>
                <c:pt idx="12">
                  <c:v>9451.9329261671392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243902439024390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6.8627450980392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0.111632700324224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203252032520324"/>
                  <c:y val="0.157178091709124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6260162601626016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943089430894309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4390243902439024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5365853658536586"/>
                  <c:y val="-6.372549019607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1.5</c:v>
                </c:pt>
                <c:pt idx="1">
                  <c:v>20.5</c:v>
                </c:pt>
                <c:pt idx="2">
                  <c:v>1.8</c:v>
                </c:pt>
                <c:pt idx="3">
                  <c:v>13</c:v>
                </c:pt>
                <c:pt idx="4">
                  <c:v>10.888816639832982</c:v>
                </c:pt>
                <c:pt idx="5">
                  <c:v>0.8</c:v>
                </c:pt>
                <c:pt idx="6">
                  <c:v>0.3</c:v>
                </c:pt>
                <c:pt idx="7">
                  <c:v>25.4</c:v>
                </c:pt>
                <c:pt idx="8">
                  <c:v>21.8</c:v>
                </c:pt>
                <c:pt idx="9">
                  <c:v>2.2999999999999998</c:v>
                </c:pt>
                <c:pt idx="10">
                  <c:v>0.3</c:v>
                </c:pt>
                <c:pt idx="11">
                  <c:v>1.4111833601670354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48.1</c:v>
                </c:pt>
                <c:pt idx="1">
                  <c:v>51.900000000000006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-9.1503267973856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30718954248365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48.488816639832976</c:v>
                </c:pt>
                <c:pt idx="1">
                  <c:v>51.511183360167031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13/12/2019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5609756097560981"/>
                  <c:y val="0.10457516339869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560975609756097"/>
                  <c:y val="-7.320261437908497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34.500000000000007</c:v>
                </c:pt>
                <c:pt idx="1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0813008130081301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5284552845528454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3414634146341465"/>
                  <c:y val="8.79337141680819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4461378913001716"/>
                  <c:y val="5.4258041274252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8292682926829273E-2"/>
                  <c:y val="0.23182131645309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9830266948338774"/>
                  <c:y val="0.128104575163398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6192049164586134"/>
                  <c:y val="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0.9</c:v>
                </c:pt>
                <c:pt idx="1">
                  <c:v>17.8</c:v>
                </c:pt>
                <c:pt idx="2">
                  <c:v>0.8</c:v>
                </c:pt>
                <c:pt idx="3">
                  <c:v>4.5999999999999996</c:v>
                </c:pt>
                <c:pt idx="4">
                  <c:v>9.7000000000000028</c:v>
                </c:pt>
                <c:pt idx="5">
                  <c:v>0.7</c:v>
                </c:pt>
                <c:pt idx="6">
                  <c:v>0.2</c:v>
                </c:pt>
                <c:pt idx="7">
                  <c:v>48.6</c:v>
                </c:pt>
                <c:pt idx="8">
                  <c:v>14.2</c:v>
                </c:pt>
                <c:pt idx="9">
                  <c:v>1.3</c:v>
                </c:pt>
                <c:pt idx="10">
                  <c:v>0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A-4337-AD86-D2D3C7BBF9BF}"/>
                </c:ext>
              </c:extLst>
            </c:dLbl>
            <c:dLbl>
              <c:idx val="11"/>
              <c:layout>
                <c:manualLayout>
                  <c:x val="-2.3999787238702532E-2"/>
                  <c:y val="5.1039175658598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DC-4CC3-81A3-F5A745FA67EF}"/>
                </c:ext>
              </c:extLst>
            </c:dLbl>
            <c:dLbl>
              <c:idx val="12"/>
              <c:layout>
                <c:manualLayout>
                  <c:x val="-2.7612178251870255E-2"/>
                  <c:y val="-3.5380577427821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37.4</c:v>
                </c:pt>
                <c:pt idx="1">
                  <c:v>39</c:v>
                </c:pt>
                <c:pt idx="2">
                  <c:v>37.499999999999993</c:v>
                </c:pt>
                <c:pt idx="3">
                  <c:v>43.4</c:v>
                </c:pt>
                <c:pt idx="4">
                  <c:v>42.199999999999996</c:v>
                </c:pt>
                <c:pt idx="5">
                  <c:v>43.4</c:v>
                </c:pt>
                <c:pt idx="6">
                  <c:v>34.9</c:v>
                </c:pt>
                <c:pt idx="7">
                  <c:v>31.099999999999998</c:v>
                </c:pt>
                <c:pt idx="8">
                  <c:v>28.7</c:v>
                </c:pt>
                <c:pt idx="9">
                  <c:v>33.099999999999994</c:v>
                </c:pt>
                <c:pt idx="10">
                  <c:v>31.5</c:v>
                </c:pt>
                <c:pt idx="11">
                  <c:v>50.599999999999987</c:v>
                </c:pt>
                <c:pt idx="12">
                  <c:v>51.499999999999993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2.2193591732118868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DC-4CC3-81A3-F5A745FA67EF}"/>
                </c:ext>
              </c:extLst>
            </c:dLbl>
            <c:dLbl>
              <c:idx val="12"/>
              <c:layout>
                <c:manualLayout>
                  <c:x val="-2.7612178251870255E-2"/>
                  <c:y val="3.457827030880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6C-40BC-8E87-40DA8302C2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62.6</c:v>
                </c:pt>
                <c:pt idx="1">
                  <c:v>61</c:v>
                </c:pt>
                <c:pt idx="2">
                  <c:v>62.500000000000007</c:v>
                </c:pt>
                <c:pt idx="3">
                  <c:v>56.6</c:v>
                </c:pt>
                <c:pt idx="4">
                  <c:v>57.800000000000004</c:v>
                </c:pt>
                <c:pt idx="5">
                  <c:v>56.6</c:v>
                </c:pt>
                <c:pt idx="6">
                  <c:v>65.099999999999994</c:v>
                </c:pt>
                <c:pt idx="7">
                  <c:v>68.900000000000006</c:v>
                </c:pt>
                <c:pt idx="8">
                  <c:v>71.3</c:v>
                </c:pt>
                <c:pt idx="9">
                  <c:v>66.900000000000006</c:v>
                </c:pt>
                <c:pt idx="10">
                  <c:v>68.5</c:v>
                </c:pt>
                <c:pt idx="11">
                  <c:v>49.400000000000013</c:v>
                </c:pt>
                <c:pt idx="12">
                  <c:v>48.500000000000007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4785038.4911200004</c:v>
                </c:pt>
                <c:pt idx="1">
                  <c:v>5171168.9287400004</c:v>
                </c:pt>
                <c:pt idx="2">
                  <c:v>3992779.7023900002</c:v>
                </c:pt>
                <c:pt idx="3">
                  <c:v>2586357.3615100002</c:v>
                </c:pt>
                <c:pt idx="4">
                  <c:v>2661507.1298699998</c:v>
                </c:pt>
                <c:pt idx="5">
                  <c:v>2763406.1785599999</c:v>
                </c:pt>
                <c:pt idx="6">
                  <c:v>3223676.05486</c:v>
                </c:pt>
                <c:pt idx="7">
                  <c:v>4157388.5418600002</c:v>
                </c:pt>
                <c:pt idx="8">
                  <c:v>3851868.6212499999</c:v>
                </c:pt>
                <c:pt idx="9">
                  <c:v>3351644.0921</c:v>
                </c:pt>
                <c:pt idx="10">
                  <c:v>3688617.4773300001</c:v>
                </c:pt>
                <c:pt idx="11">
                  <c:v>2901691.3188399998</c:v>
                </c:pt>
                <c:pt idx="12">
                  <c:v>2290911.10629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58.8</c:v>
                </c:pt>
                <c:pt idx="1">
                  <c:v>61.199999999999996</c:v>
                </c:pt>
                <c:pt idx="2">
                  <c:v>62.8</c:v>
                </c:pt>
                <c:pt idx="3">
                  <c:v>71</c:v>
                </c:pt>
                <c:pt idx="4">
                  <c:v>67.5</c:v>
                </c:pt>
                <c:pt idx="5">
                  <c:v>64.399999999999991</c:v>
                </c:pt>
                <c:pt idx="6">
                  <c:v>58.8</c:v>
                </c:pt>
                <c:pt idx="7">
                  <c:v>54.199999999999996</c:v>
                </c:pt>
                <c:pt idx="8">
                  <c:v>53</c:v>
                </c:pt>
                <c:pt idx="9">
                  <c:v>58.399999999999991</c:v>
                </c:pt>
                <c:pt idx="10">
                  <c:v>54.9</c:v>
                </c:pt>
                <c:pt idx="11">
                  <c:v>67.3</c:v>
                </c:pt>
                <c:pt idx="12">
                  <c:v>73.499999999999986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41.2</c:v>
                </c:pt>
                <c:pt idx="1">
                  <c:v>38.800000000000004</c:v>
                </c:pt>
                <c:pt idx="2">
                  <c:v>37.200000000000003</c:v>
                </c:pt>
                <c:pt idx="3">
                  <c:v>29</c:v>
                </c:pt>
                <c:pt idx="4">
                  <c:v>32.5</c:v>
                </c:pt>
                <c:pt idx="5">
                  <c:v>35.600000000000009</c:v>
                </c:pt>
                <c:pt idx="6">
                  <c:v>41.2</c:v>
                </c:pt>
                <c:pt idx="7">
                  <c:v>45.800000000000004</c:v>
                </c:pt>
                <c:pt idx="8">
                  <c:v>47</c:v>
                </c:pt>
                <c:pt idx="9">
                  <c:v>41.600000000000009</c:v>
                </c:pt>
                <c:pt idx="10">
                  <c:v>45.1</c:v>
                </c:pt>
                <c:pt idx="11">
                  <c:v>32.700000000000003</c:v>
                </c:pt>
                <c:pt idx="12">
                  <c:v>26.500000000000014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2486.4288326440001</c:v>
                </c:pt>
                <c:pt idx="1">
                  <c:v>2126.922141256</c:v>
                </c:pt>
                <c:pt idx="2">
                  <c:v>2483.1404345719998</c:v>
                </c:pt>
                <c:pt idx="3">
                  <c:v>2132.151119952</c:v>
                </c:pt>
                <c:pt idx="4">
                  <c:v>1924.9576321879999</c:v>
                </c:pt>
                <c:pt idx="5">
                  <c:v>1934.7271387759999</c:v>
                </c:pt>
                <c:pt idx="6">
                  <c:v>1626.0940129099999</c:v>
                </c:pt>
                <c:pt idx="7">
                  <c:v>1581.570384826</c:v>
                </c:pt>
                <c:pt idx="8">
                  <c:v>1254.440733828</c:v>
                </c:pt>
                <c:pt idx="9">
                  <c:v>1224.795245668</c:v>
                </c:pt>
                <c:pt idx="10">
                  <c:v>1119.19830946</c:v>
                </c:pt>
                <c:pt idx="11">
                  <c:v>2657.4414732999999</c:v>
                </c:pt>
                <c:pt idx="12">
                  <c:v>4626.2222297759999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4319.0333719999999</c:v>
                </c:pt>
                <c:pt idx="1">
                  <c:v>5970.6822620000003</c:v>
                </c:pt>
                <c:pt idx="2">
                  <c:v>3646.796961</c:v>
                </c:pt>
                <c:pt idx="3">
                  <c:v>4823.6493200000004</c:v>
                </c:pt>
                <c:pt idx="4">
                  <c:v>4595.9236090000004</c:v>
                </c:pt>
                <c:pt idx="5">
                  <c:v>4581.0172030000003</c:v>
                </c:pt>
                <c:pt idx="6">
                  <c:v>3212.2473199999999</c:v>
                </c:pt>
                <c:pt idx="7">
                  <c:v>3281.9046039999998</c:v>
                </c:pt>
                <c:pt idx="8">
                  <c:v>2731.9341749999999</c:v>
                </c:pt>
                <c:pt idx="9">
                  <c:v>3793.205336</c:v>
                </c:pt>
                <c:pt idx="10">
                  <c:v>3719.343633</c:v>
                </c:pt>
                <c:pt idx="11">
                  <c:v>7316.8681889999998</c:v>
                </c:pt>
                <c:pt idx="12">
                  <c:v>5394.242784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404.732145</c:v>
                </c:pt>
                <c:pt idx="1">
                  <c:v>482.13161500000001</c:v>
                </c:pt>
                <c:pt idx="2">
                  <c:v>604.07747800000004</c:v>
                </c:pt>
                <c:pt idx="3">
                  <c:v>775.97597499999995</c:v>
                </c:pt>
                <c:pt idx="4">
                  <c:v>667.67046800000003</c:v>
                </c:pt>
                <c:pt idx="5">
                  <c:v>897.52717800000005</c:v>
                </c:pt>
                <c:pt idx="6">
                  <c:v>895.42524700000001</c:v>
                </c:pt>
                <c:pt idx="7">
                  <c:v>958.50606300000004</c:v>
                </c:pt>
                <c:pt idx="8">
                  <c:v>972.51861699999995</c:v>
                </c:pt>
                <c:pt idx="9">
                  <c:v>826.34228099999996</c:v>
                </c:pt>
                <c:pt idx="10">
                  <c:v>758.14945899999998</c:v>
                </c:pt>
                <c:pt idx="11">
                  <c:v>497.89184699999998</c:v>
                </c:pt>
                <c:pt idx="12">
                  <c:v>487.55590599999999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109.57487399999999</c:v>
                </c:pt>
                <c:pt idx="1">
                  <c:v>166.15012899999999</c:v>
                </c:pt>
                <c:pt idx="2">
                  <c:v>261.97860300000002</c:v>
                </c:pt>
                <c:pt idx="3">
                  <c:v>477.846093</c:v>
                </c:pt>
                <c:pt idx="4">
                  <c:v>379.26881700000001</c:v>
                </c:pt>
                <c:pt idx="5">
                  <c:v>740.99772700000005</c:v>
                </c:pt>
                <c:pt idx="6">
                  <c:v>775.05760599999996</c:v>
                </c:pt>
                <c:pt idx="7">
                  <c:v>722.86748999999998</c:v>
                </c:pt>
                <c:pt idx="8">
                  <c:v>745.49877100000003</c:v>
                </c:pt>
                <c:pt idx="9">
                  <c:v>454.73186500000003</c:v>
                </c:pt>
                <c:pt idx="10">
                  <c:v>303.08525700000001</c:v>
                </c:pt>
                <c:pt idx="11">
                  <c:v>69.970612000000003</c:v>
                </c:pt>
                <c:pt idx="12">
                  <c:v>68.978292999999994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299.41570200000001</c:v>
                </c:pt>
                <c:pt idx="1">
                  <c:v>303.48312600000003</c:v>
                </c:pt>
                <c:pt idx="2">
                  <c:v>284.79867300000001</c:v>
                </c:pt>
                <c:pt idx="3">
                  <c:v>309.41373599999997</c:v>
                </c:pt>
                <c:pt idx="4">
                  <c:v>274.24882200000002</c:v>
                </c:pt>
                <c:pt idx="5">
                  <c:v>282.125969</c:v>
                </c:pt>
                <c:pt idx="6">
                  <c:v>285.594067</c:v>
                </c:pt>
                <c:pt idx="7">
                  <c:v>325.694455</c:v>
                </c:pt>
                <c:pt idx="8">
                  <c:v>320.61544400000002</c:v>
                </c:pt>
                <c:pt idx="9">
                  <c:v>301.51870000000002</c:v>
                </c:pt>
                <c:pt idx="10">
                  <c:v>309.88871</c:v>
                </c:pt>
                <c:pt idx="11">
                  <c:v>308.26278200000002</c:v>
                </c:pt>
                <c:pt idx="12">
                  <c:v>299.682208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69.912847999999997</c:v>
                </c:pt>
                <c:pt idx="1">
                  <c:v>63.503646000000003</c:v>
                </c:pt>
                <c:pt idx="2">
                  <c:v>61.891773000000001</c:v>
                </c:pt>
                <c:pt idx="3">
                  <c:v>67.360605500000005</c:v>
                </c:pt>
                <c:pt idx="4">
                  <c:v>64.179035999999996</c:v>
                </c:pt>
                <c:pt idx="5">
                  <c:v>36.450611000000002</c:v>
                </c:pt>
                <c:pt idx="6">
                  <c:v>62.621202500000003</c:v>
                </c:pt>
                <c:pt idx="7">
                  <c:v>65.608477500000006</c:v>
                </c:pt>
                <c:pt idx="8">
                  <c:v>66.150598000000002</c:v>
                </c:pt>
                <c:pt idx="9">
                  <c:v>63.723962499999999</c:v>
                </c:pt>
                <c:pt idx="10">
                  <c:v>61.976173000000003</c:v>
                </c:pt>
                <c:pt idx="11">
                  <c:v>60.149876499999998</c:v>
                </c:pt>
                <c:pt idx="12">
                  <c:v>65.337529000000004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0.13713</cdr:x>
      <cdr:y>0.09129</cdr:y>
    </cdr:from>
    <cdr:to>
      <cdr:x>0.13721</cdr:x>
      <cdr:y>0.75393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60050" y="279991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0.22585</cdr:x>
      <cdr:y>0.60548</cdr:y>
    </cdr:from>
    <cdr:to>
      <cdr:x>0.35647</cdr:x>
      <cdr:y>0.70024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121" y="1857030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28575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605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100,0%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19050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62100"/>
          <a:ext cx="261620" cy="18097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142874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699"/>
          <a:ext cx="252000" cy="1318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152400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81225"/>
          <a:ext cx="252000" cy="11189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2.670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22,2%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5.895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9.452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66675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200525"/>
          <a:ext cx="292100" cy="15030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10</xdr:col>
      <xdr:colOff>699025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0.93742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591300" y="361950"/>
          <a:ext cx="44005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Diciembre 2019</v>
      </c>
    </row>
    <row r="4" spans="2:15" s="139" customFormat="1" ht="20.25" customHeight="1">
      <c r="B4" s="138"/>
      <c r="C4" s="102" t="s">
        <v>68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79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 xml:space="preserve">Generación horaria el día de máxima generación de energía eólica peninsular
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5" zoomScaleNormal="100" workbookViewId="0">
      <selection activeCell="I21" sqref="I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Diciembre 2019</v>
      </c>
    </row>
    <row r="4" spans="3:27" ht="19.899999999999999" customHeight="1">
      <c r="C4" s="102" t="s">
        <v>68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2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2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F11" sqref="F11:I1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Diciembre 2019</v>
      </c>
    </row>
    <row r="4" spans="3:32" ht="19.899999999999999" customHeight="1">
      <c r="C4" s="102" t="s">
        <v>68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2" t="s">
        <v>25</v>
      </c>
      <c r="E7" s="114"/>
      <c r="F7" s="313" t="str">
        <f>Dat_01!A2</f>
        <v>Diciembre 2019</v>
      </c>
      <c r="G7" s="314"/>
      <c r="H7" s="315" t="s">
        <v>27</v>
      </c>
      <c r="I7" s="3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2"/>
      <c r="E8" s="115" t="s">
        <v>28</v>
      </c>
      <c r="F8" s="302">
        <v>18879</v>
      </c>
      <c r="G8" s="303" t="s">
        <v>633</v>
      </c>
      <c r="H8" s="116">
        <v>17553</v>
      </c>
      <c r="I8" s="117" t="s">
        <v>87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7">
        <v>71.599999999999994</v>
      </c>
      <c r="G9" s="298" t="s">
        <v>634</v>
      </c>
      <c r="H9" s="290">
        <v>75.900000000000006</v>
      </c>
      <c r="I9" s="291" t="s">
        <v>617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93"/>
      <c r="I10" s="295"/>
      <c r="J10" s="29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9"/>
      <c r="I11" s="29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H3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Diciembre 2019</v>
      </c>
    </row>
    <row r="4" spans="3:34" ht="19.899999999999999" customHeight="1">
      <c r="C4" s="102" t="s">
        <v>68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2" t="s">
        <v>67</v>
      </c>
      <c r="E7" s="4"/>
    </row>
    <row r="8" spans="3:34">
      <c r="C8" s="312"/>
      <c r="E8" s="4"/>
    </row>
    <row r="9" spans="3:34">
      <c r="C9" s="312"/>
      <c r="E9" s="4"/>
    </row>
    <row r="10" spans="3:34">
      <c r="C10" s="208">
        <f>DATE(MID(Dat_01!B215,7,4),MID(Dat_01!B215,4,2),MID(Dat_01!B215,1,2))</f>
        <v>43812</v>
      </c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I25" sqref="I2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Diciembre 2019</v>
      </c>
    </row>
    <row r="4" spans="2:22" ht="20.100000000000001" customHeight="1">
      <c r="B4" s="102" t="s">
        <v>580</v>
      </c>
      <c r="V4" s="54"/>
    </row>
    <row r="5" spans="2:22">
      <c r="V5" s="54"/>
    </row>
    <row r="6" spans="2:22">
      <c r="V6" s="54"/>
    </row>
    <row r="7" spans="2:22">
      <c r="B7" s="312" t="s">
        <v>26</v>
      </c>
      <c r="V7" s="54"/>
    </row>
    <row r="8" spans="2:22">
      <c r="B8" s="312"/>
      <c r="V8" s="54"/>
    </row>
    <row r="9" spans="2:22">
      <c r="B9" s="312"/>
      <c r="V9" s="54"/>
    </row>
    <row r="10" spans="2:22">
      <c r="B10" s="277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D35" sqref="D3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Diciembre 2019</v>
      </c>
    </row>
    <row r="4" spans="1:33" s="50" customFormat="1" ht="20.100000000000001" customHeight="1">
      <c r="A4"/>
      <c r="B4" s="102" t="s">
        <v>68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-44.022028578778922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H15" sqref="H15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Diciembre 2019</v>
      </c>
    </row>
    <row r="4" spans="2:18" s="74" customFormat="1" ht="20.25" customHeight="1">
      <c r="B4" s="73"/>
      <c r="C4" s="102" t="s">
        <v>68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12" t="s">
        <v>78</v>
      </c>
      <c r="D7" s="77"/>
      <c r="E7" s="78"/>
      <c r="P7" s="79"/>
      <c r="Q7" s="79"/>
      <c r="R7" s="79"/>
    </row>
    <row r="8" spans="2:18" s="74" customFormat="1" ht="12.75" customHeight="1">
      <c r="B8" s="73"/>
      <c r="C8" s="312"/>
      <c r="D8" s="77"/>
      <c r="E8" s="78"/>
      <c r="P8" s="80"/>
      <c r="Q8" s="80"/>
      <c r="R8" s="80"/>
    </row>
    <row r="9" spans="2:18" s="74" customFormat="1" ht="12.75" customHeight="1">
      <c r="B9" s="73"/>
      <c r="C9" s="312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08"/>
    </row>
    <row r="29" spans="2:9">
      <c r="E29" s="308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B160" zoomScaleNormal="100" workbookViewId="0">
      <selection activeCell="C193" sqref="C193:Z193"/>
    </sheetView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82</v>
      </c>
      <c r="C5" s="129">
        <f>Dat_01!B33</f>
        <v>3328.8900000000003</v>
      </c>
      <c r="D5" s="109">
        <f>ROUND(C5/$C$17*100,1)</f>
        <v>3.2</v>
      </c>
      <c r="E5" s="107"/>
      <c r="F5" s="108" t="s">
        <v>16</v>
      </c>
      <c r="G5" s="109">
        <f>SUM(D5:D10)</f>
        <v>48.1</v>
      </c>
    </row>
    <row r="6" spans="2:7">
      <c r="B6" s="108" t="s">
        <v>3</v>
      </c>
      <c r="C6" s="129">
        <f>Dat_01!B34</f>
        <v>7117.29</v>
      </c>
      <c r="D6" s="109">
        <f>ROUND(C6/$C$17*100,1)</f>
        <v>6.8</v>
      </c>
      <c r="E6" s="107"/>
      <c r="F6" s="215" t="s">
        <v>17</v>
      </c>
      <c r="G6" s="216">
        <f>SUM(D11:D16)</f>
        <v>51.900000000000006</v>
      </c>
    </row>
    <row r="7" spans="2:7">
      <c r="B7" s="108" t="s">
        <v>4</v>
      </c>
      <c r="C7" s="129">
        <f>Dat_01!B35</f>
        <v>9215.0450000000001</v>
      </c>
      <c r="D7" s="109">
        <f>ROUND(C7/$C$17*100,1)</f>
        <v>8.8000000000000007</v>
      </c>
      <c r="E7" s="107"/>
    </row>
    <row r="8" spans="2:7">
      <c r="B8" s="108" t="s">
        <v>11</v>
      </c>
      <c r="C8" s="129">
        <f>Dat_01!B36</f>
        <v>24561.86</v>
      </c>
      <c r="D8" s="109">
        <f>ROUND(C8/$C$17*100,1)</f>
        <v>23.5</v>
      </c>
      <c r="E8" s="107"/>
    </row>
    <row r="9" spans="2:7">
      <c r="B9" s="108" t="s">
        <v>9</v>
      </c>
      <c r="C9" s="129">
        <f>Dat_01!B37</f>
        <v>5677.7831999999999</v>
      </c>
      <c r="D9" s="109">
        <f>100-SUM(D5:D8,D10:D16)</f>
        <v>5.4000000000000057</v>
      </c>
      <c r="E9" s="107"/>
    </row>
    <row r="10" spans="2:7">
      <c r="B10" s="108" t="s">
        <v>71</v>
      </c>
      <c r="C10" s="129">
        <f>Dat_01!B38</f>
        <v>451.1275</v>
      </c>
      <c r="D10" s="109">
        <f>ROUND(C10/$C$17*100,1)</f>
        <v>0.4</v>
      </c>
      <c r="E10" s="107"/>
    </row>
    <row r="11" spans="2:7">
      <c r="B11" s="108" t="s">
        <v>70</v>
      </c>
      <c r="C11" s="129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29">
        <f>Dat_01!B40</f>
        <v>25309.529000000002</v>
      </c>
      <c r="D12" s="109">
        <f t="shared" ref="D12" si="0">ROUND(C12/$C$17*100,1)</f>
        <v>24.2</v>
      </c>
      <c r="E12" s="107"/>
    </row>
    <row r="13" spans="2:7">
      <c r="B13" s="108" t="s">
        <v>2</v>
      </c>
      <c r="C13" s="129">
        <f>Dat_01!B41</f>
        <v>17085.15323</v>
      </c>
      <c r="D13" s="109">
        <f>ROUND(C13/$C$17*100,1)</f>
        <v>16.3</v>
      </c>
      <c r="E13" s="107"/>
    </row>
    <row r="14" spans="2:7">
      <c r="B14" s="108" t="s">
        <v>6</v>
      </c>
      <c r="C14" s="129">
        <f>Dat_01!B42</f>
        <v>8454.1577600001256</v>
      </c>
      <c r="D14" s="109">
        <f>ROUND(C14/$C$17*100,1)</f>
        <v>8.1</v>
      </c>
      <c r="E14" s="107"/>
    </row>
    <row r="15" spans="2:7">
      <c r="B15" s="108" t="s">
        <v>7</v>
      </c>
      <c r="C15" s="129">
        <f>Dat_01!B43</f>
        <v>2304.0129999999999</v>
      </c>
      <c r="D15" s="109">
        <f>ROUND(C15/$C$17*100,1)</f>
        <v>2.2000000000000002</v>
      </c>
      <c r="E15" s="107"/>
    </row>
    <row r="16" spans="2:7">
      <c r="B16" s="108" t="s">
        <v>8</v>
      </c>
      <c r="C16" s="129">
        <f>Dat_01!B44</f>
        <v>1024.951</v>
      </c>
      <c r="D16" s="109">
        <f>ROUND(C16/$C$17*100,1)</f>
        <v>1</v>
      </c>
      <c r="E16" s="107"/>
    </row>
    <row r="17" spans="2:7">
      <c r="B17" s="110" t="s">
        <v>15</v>
      </c>
      <c r="C17" s="130">
        <f>SUM(C5:C16)</f>
        <v>104651.59119000012</v>
      </c>
      <c r="D17" s="111">
        <f>SUM(D5:D16)</f>
        <v>100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82</v>
      </c>
      <c r="C21" s="129">
        <f>Dat_01!B50</f>
        <v>318.75078227400002</v>
      </c>
      <c r="D21" s="109">
        <f>ROUND(C21/$C$33*100,1)</f>
        <v>1.5</v>
      </c>
      <c r="E21" s="107"/>
      <c r="F21" s="108" t="s">
        <v>16</v>
      </c>
      <c r="G21" s="109">
        <f>SUM(D21:D26)</f>
        <v>48.5</v>
      </c>
    </row>
    <row r="22" spans="2:7">
      <c r="B22" s="108" t="s">
        <v>3</v>
      </c>
      <c r="C22" s="129">
        <f>Dat_01!B51</f>
        <v>4350.070831</v>
      </c>
      <c r="D22" s="109">
        <f>ROUND(C22/$C$33*100,1)</f>
        <v>20.5</v>
      </c>
      <c r="E22" s="131"/>
      <c r="F22" s="215" t="s">
        <v>17</v>
      </c>
      <c r="G22" s="216">
        <f>SUM(D27:D32)</f>
        <v>51.499999999999993</v>
      </c>
    </row>
    <row r="23" spans="2:7">
      <c r="B23" s="108" t="s">
        <v>4</v>
      </c>
      <c r="C23" s="129">
        <f>Dat_01!B52</f>
        <v>374.11575099999999</v>
      </c>
      <c r="D23" s="109">
        <f>ROUND(C23/$C$33*100,1)</f>
        <v>1.8</v>
      </c>
      <c r="E23" s="131"/>
    </row>
    <row r="24" spans="2:7">
      <c r="B24" s="108" t="s">
        <v>11</v>
      </c>
      <c r="C24" s="129">
        <f>Dat_01!B53</f>
        <v>2755.641838</v>
      </c>
      <c r="D24" s="109">
        <f>ROUND(C24/$C$33*100,1)</f>
        <v>13</v>
      </c>
      <c r="E24" s="131"/>
    </row>
    <row r="25" spans="2:7">
      <c r="B25" s="108" t="s">
        <v>9</v>
      </c>
      <c r="C25" s="129">
        <f>Dat_01!B54</f>
        <v>2334.6439070000001</v>
      </c>
      <c r="D25" s="109">
        <f>100-SUM(D21:D24,D26:D32)</f>
        <v>10.900000000000006</v>
      </c>
      <c r="E25" s="131"/>
    </row>
    <row r="26" spans="2:7">
      <c r="B26" s="108" t="s">
        <v>71</v>
      </c>
      <c r="C26" s="129">
        <f>Dat_01!B55</f>
        <v>160.99247</v>
      </c>
      <c r="D26" s="109">
        <f t="shared" ref="D26:D32" si="1">ROUND(C26/$C$33*100,1)</f>
        <v>0.8</v>
      </c>
      <c r="E26" s="131"/>
    </row>
    <row r="27" spans="2:7">
      <c r="B27" s="108" t="s">
        <v>70</v>
      </c>
      <c r="C27" s="129">
        <f>Dat_01!B56</f>
        <v>65.337529000000004</v>
      </c>
      <c r="D27" s="109">
        <f t="shared" si="1"/>
        <v>0.3</v>
      </c>
      <c r="E27" s="131"/>
    </row>
    <row r="28" spans="2:7">
      <c r="B28" s="108" t="s">
        <v>5</v>
      </c>
      <c r="C28" s="129">
        <f>Dat_01!B57</f>
        <v>5394.242784</v>
      </c>
      <c r="D28" s="109">
        <f t="shared" si="1"/>
        <v>25.4</v>
      </c>
      <c r="E28" s="131"/>
    </row>
    <row r="29" spans="2:7">
      <c r="B29" s="108" t="s">
        <v>2</v>
      </c>
      <c r="C29" s="129">
        <f>Dat_01!B58</f>
        <v>4626.2222297759999</v>
      </c>
      <c r="D29" s="109">
        <f t="shared" si="1"/>
        <v>21.8</v>
      </c>
      <c r="E29" s="131"/>
    </row>
    <row r="30" spans="2:7">
      <c r="B30" s="108" t="s">
        <v>6</v>
      </c>
      <c r="C30" s="129">
        <f>Dat_01!B59</f>
        <v>487.55590599999999</v>
      </c>
      <c r="D30" s="109">
        <f t="shared" si="1"/>
        <v>2.2999999999999998</v>
      </c>
      <c r="E30" s="131"/>
    </row>
    <row r="31" spans="2:7">
      <c r="B31" s="108" t="s">
        <v>7</v>
      </c>
      <c r="C31" s="129">
        <f>Dat_01!B60</f>
        <v>68.978293000000008</v>
      </c>
      <c r="D31" s="109">
        <f t="shared" si="1"/>
        <v>0.3</v>
      </c>
      <c r="E31" s="131"/>
    </row>
    <row r="32" spans="2:7">
      <c r="B32" s="108" t="s">
        <v>8</v>
      </c>
      <c r="C32" s="129">
        <f>Dat_01!B61</f>
        <v>299.682208</v>
      </c>
      <c r="D32" s="109">
        <f t="shared" si="1"/>
        <v>1.4</v>
      </c>
      <c r="E32" s="131"/>
    </row>
    <row r="33" spans="2:6">
      <c r="B33" s="110" t="s">
        <v>15</v>
      </c>
      <c r="C33" s="130">
        <f>SUM(C21:C32)</f>
        <v>21236.234529050002</v>
      </c>
      <c r="D33" s="111">
        <f>SUM(D21:D32)</f>
        <v>99.999999999999986</v>
      </c>
    </row>
    <row r="34" spans="2:6">
      <c r="B34" s="151"/>
      <c r="C34" s="167"/>
      <c r="D34" s="167"/>
      <c r="E34" s="167"/>
      <c r="F34" s="167"/>
    </row>
    <row r="35" spans="2:6">
      <c r="B35" s="151" t="s">
        <v>537</v>
      </c>
      <c r="C35" s="167"/>
      <c r="D35" s="167"/>
      <c r="E35" s="167"/>
      <c r="F35" s="217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82</v>
      </c>
      <c r="C37" s="109">
        <f>Dat_01!B94</f>
        <v>0.9</v>
      </c>
      <c r="D37" s="107"/>
      <c r="E37" s="108" t="s">
        <v>16</v>
      </c>
      <c r="F37" s="109">
        <f>SUM(C37:C42)</f>
        <v>34.500000000000007</v>
      </c>
    </row>
    <row r="38" spans="2:6">
      <c r="B38" s="108" t="s">
        <v>3</v>
      </c>
      <c r="C38" s="109">
        <f>Dat_01!B95</f>
        <v>17.8</v>
      </c>
      <c r="D38" s="107"/>
      <c r="E38" s="215" t="s">
        <v>17</v>
      </c>
      <c r="F38" s="216">
        <f>SUM(C43:C48)</f>
        <v>65.5</v>
      </c>
    </row>
    <row r="39" spans="2:6">
      <c r="B39" s="108" t="s">
        <v>4</v>
      </c>
      <c r="C39" s="109">
        <f>Dat_01!B96</f>
        <v>0.8</v>
      </c>
      <c r="D39" s="107"/>
    </row>
    <row r="40" spans="2:6">
      <c r="B40" s="108" t="s">
        <v>11</v>
      </c>
      <c r="C40" s="109">
        <f>Dat_01!B97</f>
        <v>4.5999999999999996</v>
      </c>
      <c r="D40" s="107"/>
    </row>
    <row r="41" spans="2:6">
      <c r="B41" s="108" t="s">
        <v>9</v>
      </c>
      <c r="C41" s="109">
        <f>Dat_01!B98</f>
        <v>9.7000000000000028</v>
      </c>
      <c r="D41" s="107"/>
      <c r="E41" s="107"/>
      <c r="F41" s="107"/>
    </row>
    <row r="42" spans="2:6">
      <c r="B42" s="108" t="s">
        <v>71</v>
      </c>
      <c r="C42" s="109">
        <f>Dat_01!B99</f>
        <v>0.7</v>
      </c>
      <c r="D42" s="107"/>
      <c r="E42" s="107"/>
      <c r="F42" s="107"/>
    </row>
    <row r="43" spans="2:6">
      <c r="B43" s="108" t="s">
        <v>70</v>
      </c>
      <c r="C43" s="109">
        <f>Dat_01!B100</f>
        <v>0.2</v>
      </c>
      <c r="D43" s="107"/>
      <c r="E43" s="107"/>
      <c r="F43" s="107"/>
    </row>
    <row r="44" spans="2:6">
      <c r="B44" s="108" t="s">
        <v>5</v>
      </c>
      <c r="C44" s="109">
        <f>Dat_01!B101</f>
        <v>48.6</v>
      </c>
      <c r="D44" s="107"/>
      <c r="E44" s="107"/>
      <c r="F44" s="107"/>
    </row>
    <row r="45" spans="2:6">
      <c r="B45" s="108" t="s">
        <v>2</v>
      </c>
      <c r="C45" s="109">
        <f>Dat_01!B102</f>
        <v>14.2</v>
      </c>
      <c r="D45" s="107"/>
      <c r="E45" s="107"/>
      <c r="F45" s="107"/>
    </row>
    <row r="46" spans="2:6">
      <c r="B46" s="108" t="s">
        <v>6</v>
      </c>
      <c r="C46" s="109">
        <f>Dat_01!B103</f>
        <v>1.3</v>
      </c>
      <c r="D46" s="107"/>
      <c r="E46" s="107"/>
      <c r="F46" s="107"/>
    </row>
    <row r="47" spans="2:6">
      <c r="B47" s="108" t="s">
        <v>7</v>
      </c>
      <c r="C47" s="109">
        <f>Dat_01!B104</f>
        <v>0</v>
      </c>
      <c r="D47" s="107"/>
      <c r="E47" s="107"/>
      <c r="F47" s="107"/>
    </row>
    <row r="48" spans="2:6">
      <c r="B48" s="108" t="s">
        <v>8</v>
      </c>
      <c r="C48" s="109">
        <f>Dat_01!B105</f>
        <v>1.2</v>
      </c>
      <c r="D48" s="167"/>
      <c r="E48" s="167"/>
      <c r="F48" s="167"/>
    </row>
    <row r="49" spans="2:6">
      <c r="B49" s="110" t="s">
        <v>15</v>
      </c>
      <c r="C49" s="111">
        <f>SUM(C37:C48)</f>
        <v>100.00000000000001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141</v>
      </c>
      <c r="C51" s="167"/>
      <c r="D51" s="167"/>
      <c r="E51" s="167"/>
      <c r="F51" s="217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82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15" t="s">
        <v>17</v>
      </c>
      <c r="F54" s="216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71</v>
      </c>
      <c r="C58" s="109">
        <f>Dat_01!H99</f>
        <v>0.8</v>
      </c>
      <c r="D58" s="107"/>
      <c r="E58" s="107"/>
      <c r="F58" s="107"/>
    </row>
    <row r="59" spans="2:6">
      <c r="B59" s="108" t="s">
        <v>70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1"/>
      <c r="C66" s="167"/>
    </row>
    <row r="67" spans="2:16">
      <c r="B67" s="151" t="s">
        <v>62</v>
      </c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</row>
    <row r="68" spans="2:16">
      <c r="B68" s="219"/>
      <c r="C68" s="220" t="str">
        <f>Dat_01!B140</f>
        <v>D</v>
      </c>
      <c r="D68" s="220" t="str">
        <f>Dat_01!C140</f>
        <v>E</v>
      </c>
      <c r="E68" s="220" t="str">
        <f>Dat_01!D140</f>
        <v>F</v>
      </c>
      <c r="F68" s="220" t="str">
        <f>Dat_01!E140</f>
        <v>M</v>
      </c>
      <c r="G68" s="220" t="str">
        <f>Dat_01!F140</f>
        <v>A</v>
      </c>
      <c r="H68" s="220" t="str">
        <f>Dat_01!G140</f>
        <v>M</v>
      </c>
      <c r="I68" s="220" t="str">
        <f>Dat_01!H140</f>
        <v>J</v>
      </c>
      <c r="J68" s="220" t="str">
        <f>Dat_01!I140</f>
        <v>J</v>
      </c>
      <c r="K68" s="220" t="str">
        <f>Dat_01!J140</f>
        <v>A</v>
      </c>
      <c r="L68" s="220" t="str">
        <f>Dat_01!K140</f>
        <v>S</v>
      </c>
      <c r="M68" s="220" t="str">
        <f>Dat_01!L140</f>
        <v>O</v>
      </c>
      <c r="N68" s="220" t="str">
        <f>Dat_01!M140</f>
        <v>N</v>
      </c>
      <c r="O68" s="220" t="str">
        <f>Dat_01!N140</f>
        <v>D</v>
      </c>
      <c r="P68" s="221"/>
    </row>
    <row r="69" spans="2:16">
      <c r="B69" s="222" t="s">
        <v>2</v>
      </c>
      <c r="C69" s="223">
        <f>Dat_01!B142</f>
        <v>2486.4288326440001</v>
      </c>
      <c r="D69" s="223">
        <f>Dat_01!C142</f>
        <v>2126.922141256</v>
      </c>
      <c r="E69" s="223">
        <f>Dat_01!D142</f>
        <v>2483.1404345719998</v>
      </c>
      <c r="F69" s="223">
        <f>Dat_01!E142</f>
        <v>2132.151119952</v>
      </c>
      <c r="G69" s="223">
        <f>Dat_01!F142</f>
        <v>1924.9576321879999</v>
      </c>
      <c r="H69" s="223">
        <f>Dat_01!G142</f>
        <v>1934.7271387759999</v>
      </c>
      <c r="I69" s="223">
        <f>Dat_01!H142</f>
        <v>1626.0940129099999</v>
      </c>
      <c r="J69" s="223">
        <f>Dat_01!I142</f>
        <v>1581.570384826</v>
      </c>
      <c r="K69" s="223">
        <f>Dat_01!J142</f>
        <v>1254.440733828</v>
      </c>
      <c r="L69" s="223">
        <f>Dat_01!K142</f>
        <v>1224.795245668</v>
      </c>
      <c r="M69" s="223">
        <f>Dat_01!L142</f>
        <v>1119.19830946</v>
      </c>
      <c r="N69" s="223">
        <f>Dat_01!M142</f>
        <v>2657.4414732999999</v>
      </c>
      <c r="O69" s="223">
        <f>Dat_01!N142</f>
        <v>4626.2222297759999</v>
      </c>
    </row>
    <row r="70" spans="2:16">
      <c r="B70" s="222" t="s">
        <v>82</v>
      </c>
      <c r="C70" s="223">
        <f>Dat_01!B143</f>
        <v>132.478563576</v>
      </c>
      <c r="D70" s="223">
        <f>Dat_01!C143</f>
        <v>160.23613672600001</v>
      </c>
      <c r="E70" s="223">
        <f>Dat_01!D143</f>
        <v>184.627649926</v>
      </c>
      <c r="F70" s="223">
        <f>Dat_01!E143</f>
        <v>182.227465258</v>
      </c>
      <c r="G70" s="223">
        <f>Dat_01!F143</f>
        <v>129.46685282000001</v>
      </c>
      <c r="H70" s="223">
        <f>Dat_01!G143</f>
        <v>124.92970631599999</v>
      </c>
      <c r="I70" s="223">
        <f>Dat_01!H143</f>
        <v>54.725804748000002</v>
      </c>
      <c r="J70" s="223">
        <f>Dat_01!I143</f>
        <v>24.305235333999999</v>
      </c>
      <c r="K70" s="223">
        <f>Dat_01!J143</f>
        <v>70.640000060000006</v>
      </c>
      <c r="L70" s="223">
        <f>Dat_01!K143</f>
        <v>104.26472390000001</v>
      </c>
      <c r="M70" s="223">
        <f>Dat_01!L143</f>
        <v>116.03424181</v>
      </c>
      <c r="N70" s="223">
        <f>Dat_01!M143</f>
        <v>172.10635217000001</v>
      </c>
      <c r="O70" s="223">
        <f>Dat_01!N143</f>
        <v>318.75078227400002</v>
      </c>
    </row>
    <row r="71" spans="2:16">
      <c r="B71" s="222" t="s">
        <v>3</v>
      </c>
      <c r="C71" s="223">
        <f>Dat_01!B144</f>
        <v>4286.7606750000004</v>
      </c>
      <c r="D71" s="223">
        <f>Dat_01!C144</f>
        <v>5041.3888260000003</v>
      </c>
      <c r="E71" s="223">
        <f>Dat_01!D144</f>
        <v>4766.7856579999998</v>
      </c>
      <c r="F71" s="223">
        <f>Dat_01!E144</f>
        <v>5274.7472820000003</v>
      </c>
      <c r="G71" s="223">
        <f>Dat_01!F144</f>
        <v>4621.6629220000004</v>
      </c>
      <c r="H71" s="223">
        <f>Dat_01!G144</f>
        <v>3976.917465</v>
      </c>
      <c r="I71" s="223">
        <f>Dat_01!H144</f>
        <v>4647.8769560000001</v>
      </c>
      <c r="J71" s="223">
        <f>Dat_01!I144</f>
        <v>5123.1117279999999</v>
      </c>
      <c r="K71" s="223">
        <f>Dat_01!J144</f>
        <v>5068.1443870000003</v>
      </c>
      <c r="L71" s="223">
        <f>Dat_01!K144</f>
        <v>4995.5062809999999</v>
      </c>
      <c r="M71" s="223">
        <f>Dat_01!L144</f>
        <v>4530.6687620000002</v>
      </c>
      <c r="N71" s="223">
        <f>Dat_01!M144</f>
        <v>3427.5262950000001</v>
      </c>
      <c r="O71" s="223">
        <f>Dat_01!N144</f>
        <v>4350.070831</v>
      </c>
    </row>
    <row r="72" spans="2:16">
      <c r="B72" s="222" t="s">
        <v>4</v>
      </c>
      <c r="C72" s="223">
        <f>Dat_01!B145</f>
        <v>2845.2103820000002</v>
      </c>
      <c r="D72" s="223">
        <f>Dat_01!C145</f>
        <v>3075.0126260000002</v>
      </c>
      <c r="E72" s="223">
        <f>Dat_01!D145</f>
        <v>2246.7762189999999</v>
      </c>
      <c r="F72" s="223">
        <f>Dat_01!E145</f>
        <v>824.64084000000003</v>
      </c>
      <c r="G72" s="223">
        <f>Dat_01!F145</f>
        <v>722.92722700000002</v>
      </c>
      <c r="H72" s="223">
        <f>Dat_01!G145</f>
        <v>342.70616999999999</v>
      </c>
      <c r="I72" s="223">
        <f>Dat_01!H145</f>
        <v>416.30111399999998</v>
      </c>
      <c r="J72" s="223">
        <f>Dat_01!I145</f>
        <v>661.90379600000006</v>
      </c>
      <c r="K72" s="223">
        <f>Dat_01!J145</f>
        <v>341.39558</v>
      </c>
      <c r="L72" s="223">
        <f>Dat_01!K145</f>
        <v>443.18280800000002</v>
      </c>
      <c r="M72" s="223">
        <f>Dat_01!L145</f>
        <v>675.62506499999995</v>
      </c>
      <c r="N72" s="223">
        <f>Dat_01!M145</f>
        <v>548.229692</v>
      </c>
      <c r="O72" s="223">
        <f>Dat_01!N145</f>
        <v>374.11575099999999</v>
      </c>
    </row>
    <row r="73" spans="2:16">
      <c r="B73" s="222" t="s">
        <v>142</v>
      </c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</row>
    <row r="74" spans="2:16">
      <c r="B74" s="222" t="s">
        <v>143</v>
      </c>
      <c r="C74" s="223">
        <f>Dat_01!B146</f>
        <v>2896.6909179999998</v>
      </c>
      <c r="D74" s="223">
        <f>Dat_01!C146</f>
        <v>3198.741031</v>
      </c>
      <c r="E74" s="223">
        <f>Dat_01!D146</f>
        <v>2453.2141339999998</v>
      </c>
      <c r="F74" s="223">
        <f>Dat_01!E146</f>
        <v>2129.0058009999998</v>
      </c>
      <c r="G74" s="223">
        <f>Dat_01!F146</f>
        <v>2714.2505219999998</v>
      </c>
      <c r="H74" s="223">
        <f>Dat_01!G146</f>
        <v>3899.4977060000001</v>
      </c>
      <c r="I74" s="223">
        <f>Dat_01!H146</f>
        <v>5107.4552890000004</v>
      </c>
      <c r="J74" s="223">
        <f>Dat_01!I146</f>
        <v>6956.6277</v>
      </c>
      <c r="K74" s="223">
        <f>Dat_01!J146</f>
        <v>7016.5746319999998</v>
      </c>
      <c r="L74" s="223">
        <f>Dat_01!K146</f>
        <v>5427.2651390000001</v>
      </c>
      <c r="M74" s="223">
        <f>Dat_01!L146</f>
        <v>5623.0261039999996</v>
      </c>
      <c r="N74" s="223">
        <f>Dat_01!M146</f>
        <v>3859.056505</v>
      </c>
      <c r="O74" s="223">
        <f>Dat_01!N146</f>
        <v>2755.641838</v>
      </c>
    </row>
    <row r="75" spans="2:16">
      <c r="B75" s="222" t="s">
        <v>5</v>
      </c>
      <c r="C75" s="223">
        <f>Dat_01!B147</f>
        <v>4319.0333719999999</v>
      </c>
      <c r="D75" s="223">
        <f>Dat_01!C147</f>
        <v>5970.6822620000003</v>
      </c>
      <c r="E75" s="223">
        <f>Dat_01!D147</f>
        <v>3646.796961</v>
      </c>
      <c r="F75" s="223">
        <f>Dat_01!E147</f>
        <v>4823.6493200000004</v>
      </c>
      <c r="G75" s="223">
        <f>Dat_01!F147</f>
        <v>4595.9236090000004</v>
      </c>
      <c r="H75" s="223">
        <f>Dat_01!G147</f>
        <v>4581.0172030000003</v>
      </c>
      <c r="I75" s="223">
        <f>Dat_01!H147</f>
        <v>3212.2473199999999</v>
      </c>
      <c r="J75" s="223">
        <f>Dat_01!I147</f>
        <v>3281.9046039999998</v>
      </c>
      <c r="K75" s="223">
        <f>Dat_01!J147</f>
        <v>2731.9341749999999</v>
      </c>
      <c r="L75" s="223">
        <f>Dat_01!K147</f>
        <v>3793.205336</v>
      </c>
      <c r="M75" s="223">
        <f>Dat_01!L147</f>
        <v>3719.343633</v>
      </c>
      <c r="N75" s="223">
        <f>Dat_01!M147</f>
        <v>7316.8681889999998</v>
      </c>
      <c r="O75" s="223">
        <f>Dat_01!N147</f>
        <v>5394.242784</v>
      </c>
    </row>
    <row r="76" spans="2:16">
      <c r="B76" s="222" t="s">
        <v>144</v>
      </c>
      <c r="C76" s="223">
        <f>Dat_01!B148</f>
        <v>404.732145</v>
      </c>
      <c r="D76" s="223">
        <f>Dat_01!C148</f>
        <v>482.13161500000001</v>
      </c>
      <c r="E76" s="223">
        <f>Dat_01!D148</f>
        <v>604.07747800000004</v>
      </c>
      <c r="F76" s="223">
        <f>Dat_01!E148</f>
        <v>775.97597499999995</v>
      </c>
      <c r="G76" s="223">
        <f>Dat_01!F148</f>
        <v>667.67046800000003</v>
      </c>
      <c r="H76" s="223">
        <f>Dat_01!G148</f>
        <v>897.52717800000005</v>
      </c>
      <c r="I76" s="223">
        <f>Dat_01!H148</f>
        <v>895.42524700000001</v>
      </c>
      <c r="J76" s="223">
        <f>Dat_01!I148</f>
        <v>958.50606300000004</v>
      </c>
      <c r="K76" s="223">
        <f>Dat_01!J148</f>
        <v>972.51861699999995</v>
      </c>
      <c r="L76" s="223">
        <f>Dat_01!K148</f>
        <v>826.34228099999996</v>
      </c>
      <c r="M76" s="223">
        <f>Dat_01!L148</f>
        <v>758.14945899999998</v>
      </c>
      <c r="N76" s="223">
        <f>Dat_01!M148</f>
        <v>497.89184699999998</v>
      </c>
      <c r="O76" s="223">
        <f>Dat_01!N148</f>
        <v>487.55590599999999</v>
      </c>
    </row>
    <row r="77" spans="2:16">
      <c r="B77" s="222" t="s">
        <v>145</v>
      </c>
      <c r="C77" s="223">
        <f>Dat_01!B149</f>
        <v>109.57487399999999</v>
      </c>
      <c r="D77" s="223">
        <f>Dat_01!C149</f>
        <v>166.15012899999999</v>
      </c>
      <c r="E77" s="223">
        <f>Dat_01!D149</f>
        <v>261.97860300000002</v>
      </c>
      <c r="F77" s="223">
        <f>Dat_01!E149</f>
        <v>477.846093</v>
      </c>
      <c r="G77" s="223">
        <f>Dat_01!F149</f>
        <v>379.26881700000001</v>
      </c>
      <c r="H77" s="223">
        <f>Dat_01!G149</f>
        <v>740.99772700000005</v>
      </c>
      <c r="I77" s="223">
        <f>Dat_01!H149</f>
        <v>775.05760599999996</v>
      </c>
      <c r="J77" s="223">
        <f>Dat_01!I149</f>
        <v>722.86748999999998</v>
      </c>
      <c r="K77" s="223">
        <f>Dat_01!J149</f>
        <v>745.49877100000003</v>
      </c>
      <c r="L77" s="223">
        <f>Dat_01!K149</f>
        <v>454.73186500000003</v>
      </c>
      <c r="M77" s="223">
        <f>Dat_01!L149</f>
        <v>303.08525700000001</v>
      </c>
      <c r="N77" s="223">
        <f>Dat_01!M149</f>
        <v>69.970612000000003</v>
      </c>
      <c r="O77" s="223">
        <f>Dat_01!N149</f>
        <v>68.978292999999994</v>
      </c>
    </row>
    <row r="78" spans="2:16">
      <c r="B78" s="222" t="s">
        <v>9</v>
      </c>
      <c r="C78" s="223">
        <f>Dat_01!B151</f>
        <v>2529.9413220000001</v>
      </c>
      <c r="D78" s="223">
        <f>Dat_01!C151</f>
        <v>2671.4589550000001</v>
      </c>
      <c r="E78" s="223">
        <f>Dat_01!D151</f>
        <v>2391.3661729999999</v>
      </c>
      <c r="F78" s="223">
        <f>Dat_01!E151</f>
        <v>2591.305206</v>
      </c>
      <c r="G78" s="223">
        <f>Dat_01!F151</f>
        <v>2489.5731639999999</v>
      </c>
      <c r="H78" s="223">
        <f>Dat_01!G151</f>
        <v>2544.8537660000002</v>
      </c>
      <c r="I78" s="223">
        <f>Dat_01!H151</f>
        <v>2419.8174090000002</v>
      </c>
      <c r="J78" s="223">
        <f>Dat_01!I151</f>
        <v>2457.5535610000002</v>
      </c>
      <c r="K78" s="223">
        <f>Dat_01!J151</f>
        <v>2354.265065</v>
      </c>
      <c r="L78" s="223">
        <f>Dat_01!K151</f>
        <v>2352.8584179999998</v>
      </c>
      <c r="M78" s="223">
        <f>Dat_01!L151</f>
        <v>2483.371537</v>
      </c>
      <c r="N78" s="223">
        <f>Dat_01!M151</f>
        <v>2465.2001190000001</v>
      </c>
      <c r="O78" s="223">
        <f>Dat_01!N151</f>
        <v>2334.6439070000001</v>
      </c>
    </row>
    <row r="79" spans="2:16">
      <c r="B79" s="222" t="s">
        <v>146</v>
      </c>
      <c r="C79" s="223">
        <f>Dat_01!B152</f>
        <v>190.76081500000001</v>
      </c>
      <c r="D79" s="223">
        <f>Dat_01!C152</f>
        <v>196.595054</v>
      </c>
      <c r="E79" s="223">
        <f>Dat_01!D152</f>
        <v>180.749244</v>
      </c>
      <c r="F79" s="223">
        <f>Dat_01!E152</f>
        <v>200.77951049999999</v>
      </c>
      <c r="G79" s="223">
        <f>Dat_01!F152</f>
        <v>175.342614</v>
      </c>
      <c r="H79" s="223">
        <f>Dat_01!G152</f>
        <v>154.68218999999999</v>
      </c>
      <c r="I79" s="223">
        <f>Dat_01!H152</f>
        <v>156.89450450000001</v>
      </c>
      <c r="J79" s="223">
        <f>Dat_01!I152</f>
        <v>161.3076265</v>
      </c>
      <c r="K79" s="223">
        <f>Dat_01!J152</f>
        <v>182.311137</v>
      </c>
      <c r="L79" s="223">
        <f>Dat_01!K152</f>
        <v>188.01692750000001</v>
      </c>
      <c r="M79" s="223">
        <f>Dat_01!L152</f>
        <v>169.37619900000001</v>
      </c>
      <c r="N79" s="223">
        <f>Dat_01!M152</f>
        <v>144.5833825</v>
      </c>
      <c r="O79" s="223">
        <f>Dat_01!N152</f>
        <v>160.99247</v>
      </c>
    </row>
    <row r="80" spans="2:16">
      <c r="B80" s="222" t="s">
        <v>147</v>
      </c>
      <c r="C80" s="223">
        <f>Dat_01!B153</f>
        <v>69.912847999999997</v>
      </c>
      <c r="D80" s="223">
        <f>Dat_01!C153</f>
        <v>63.503646000000003</v>
      </c>
      <c r="E80" s="223">
        <f>Dat_01!D153</f>
        <v>61.891773000000001</v>
      </c>
      <c r="F80" s="223">
        <f>Dat_01!E153</f>
        <v>67.360605500000005</v>
      </c>
      <c r="G80" s="223">
        <f>Dat_01!F153</f>
        <v>64.179035999999996</v>
      </c>
      <c r="H80" s="223">
        <f>Dat_01!G153</f>
        <v>36.450611000000002</v>
      </c>
      <c r="I80" s="223">
        <f>Dat_01!H153</f>
        <v>62.621202500000003</v>
      </c>
      <c r="J80" s="223">
        <f>Dat_01!I153</f>
        <v>65.608477500000006</v>
      </c>
      <c r="K80" s="223">
        <f>Dat_01!J153</f>
        <v>66.150598000000002</v>
      </c>
      <c r="L80" s="223">
        <f>Dat_01!K153</f>
        <v>63.723962499999999</v>
      </c>
      <c r="M80" s="223">
        <f>Dat_01!L153</f>
        <v>61.976173000000003</v>
      </c>
      <c r="N80" s="223">
        <f>Dat_01!M153</f>
        <v>60.149876499999998</v>
      </c>
      <c r="O80" s="223">
        <f>Dat_01!N153</f>
        <v>65.337529000000004</v>
      </c>
    </row>
    <row r="81" spans="2:15">
      <c r="B81" s="222" t="s">
        <v>148</v>
      </c>
      <c r="C81" s="223">
        <f>Dat_01!B150</f>
        <v>299.41570200000001</v>
      </c>
      <c r="D81" s="223">
        <f>Dat_01!C150</f>
        <v>303.48312600000003</v>
      </c>
      <c r="E81" s="223">
        <f>Dat_01!D150</f>
        <v>284.79867300000001</v>
      </c>
      <c r="F81" s="223">
        <f>Dat_01!E150</f>
        <v>309.41373599999997</v>
      </c>
      <c r="G81" s="223">
        <f>Dat_01!F150</f>
        <v>274.24882200000002</v>
      </c>
      <c r="H81" s="223">
        <f>Dat_01!G150</f>
        <v>282.125969</v>
      </c>
      <c r="I81" s="223">
        <f>Dat_01!H150</f>
        <v>285.594067</v>
      </c>
      <c r="J81" s="223">
        <f>Dat_01!I150</f>
        <v>325.694455</v>
      </c>
      <c r="K81" s="223">
        <f>Dat_01!J150</f>
        <v>320.61544400000002</v>
      </c>
      <c r="L81" s="223">
        <f>Dat_01!K150</f>
        <v>301.51870000000002</v>
      </c>
      <c r="M81" s="223">
        <f>Dat_01!L150</f>
        <v>309.88871</v>
      </c>
      <c r="N81" s="223">
        <f>Dat_01!M150</f>
        <v>308.26278200000002</v>
      </c>
      <c r="O81" s="223">
        <f>Dat_01!N150</f>
        <v>299.682208</v>
      </c>
    </row>
    <row r="82" spans="2:15">
      <c r="B82" s="222" t="s">
        <v>149</v>
      </c>
      <c r="C82" s="223">
        <f>Dat_01!B154</f>
        <v>20570.940449220001</v>
      </c>
      <c r="D82" s="223">
        <f>Dat_01!C154</f>
        <v>23456.305547982003</v>
      </c>
      <c r="E82" s="223">
        <f>Dat_01!D154</f>
        <v>19566.203000497997</v>
      </c>
      <c r="F82" s="223">
        <f>Dat_01!E154</f>
        <v>19789.102954209997</v>
      </c>
      <c r="G82" s="223">
        <f>Dat_01!F154</f>
        <v>18759.471686008004</v>
      </c>
      <c r="H82" s="223">
        <f>Dat_01!G154</f>
        <v>19516.432830092002</v>
      </c>
      <c r="I82" s="223">
        <f>Dat_01!H154</f>
        <v>19660.110532657996</v>
      </c>
      <c r="J82" s="223">
        <f>Dat_01!I154</f>
        <v>22320.961121160006</v>
      </c>
      <c r="K82" s="223">
        <f>Dat_01!J154</f>
        <v>21124.489139887999</v>
      </c>
      <c r="L82" s="223">
        <f>Dat_01!K154</f>
        <v>20175.411687568005</v>
      </c>
      <c r="M82" s="223">
        <f>Dat_01!L154</f>
        <v>19869.743450269994</v>
      </c>
      <c r="N82" s="223">
        <f>Dat_01!M154</f>
        <v>21527.287125470004</v>
      </c>
      <c r="O82" s="223">
        <f>Dat_01!N154</f>
        <v>21236.234529050002</v>
      </c>
    </row>
    <row r="83" spans="2:15">
      <c r="B83" s="222" t="s">
        <v>150</v>
      </c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</row>
    <row r="84" spans="2:15">
      <c r="B84" s="222" t="s">
        <v>151</v>
      </c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</row>
    <row r="85" spans="2:15">
      <c r="B85" s="222" t="s">
        <v>152</v>
      </c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</row>
    <row r="86" spans="2:15">
      <c r="B86" s="224" t="s">
        <v>153</v>
      </c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</row>
    <row r="88" spans="2:15">
      <c r="B88" s="226" t="s">
        <v>17</v>
      </c>
      <c r="C88" s="227">
        <f t="shared" ref="C88:O88" si="2">SUM(C69,C75:C77,C80:C81)</f>
        <v>7689.097773644</v>
      </c>
      <c r="D88" s="227">
        <f t="shared" si="2"/>
        <v>9112.8729192559986</v>
      </c>
      <c r="E88" s="227">
        <f t="shared" si="2"/>
        <v>7342.6839225720014</v>
      </c>
      <c r="F88" s="227">
        <f t="shared" si="2"/>
        <v>8586.3968494520013</v>
      </c>
      <c r="G88" s="227">
        <f t="shared" si="2"/>
        <v>7906.2483841880003</v>
      </c>
      <c r="H88" s="227">
        <f t="shared" si="2"/>
        <v>8472.8458267760016</v>
      </c>
      <c r="I88" s="227">
        <f t="shared" si="2"/>
        <v>6857.0394554100012</v>
      </c>
      <c r="J88" s="227">
        <f t="shared" si="2"/>
        <v>6936.1514743259986</v>
      </c>
      <c r="K88" s="227">
        <f t="shared" si="2"/>
        <v>6091.1583388280005</v>
      </c>
      <c r="L88" s="227">
        <f t="shared" si="2"/>
        <v>6664.3173901680002</v>
      </c>
      <c r="M88" s="227">
        <f t="shared" si="2"/>
        <v>6271.6415414600006</v>
      </c>
      <c r="N88" s="227">
        <f t="shared" si="2"/>
        <v>10910.5847798</v>
      </c>
      <c r="O88" s="227">
        <f t="shared" si="2"/>
        <v>10942.018949776</v>
      </c>
    </row>
    <row r="89" spans="2:15">
      <c r="B89" s="224" t="s">
        <v>16</v>
      </c>
      <c r="C89" s="225">
        <f t="shared" ref="C89:O89" si="3">SUM(C70:C74,C78:C79)</f>
        <v>12881.842675576001</v>
      </c>
      <c r="D89" s="225">
        <f t="shared" si="3"/>
        <v>14343.432628725999</v>
      </c>
      <c r="E89" s="225">
        <f t="shared" si="3"/>
        <v>12223.519077926001</v>
      </c>
      <c r="F89" s="225">
        <f t="shared" si="3"/>
        <v>11202.706104757999</v>
      </c>
      <c r="G89" s="225">
        <f t="shared" si="3"/>
        <v>10853.223301819999</v>
      </c>
      <c r="H89" s="225">
        <f t="shared" si="3"/>
        <v>11043.587003315999</v>
      </c>
      <c r="I89" s="225">
        <f t="shared" si="3"/>
        <v>12803.071077248002</v>
      </c>
      <c r="J89" s="225">
        <f t="shared" si="3"/>
        <v>15384.809646833999</v>
      </c>
      <c r="K89" s="225">
        <f t="shared" si="3"/>
        <v>15033.330801060001</v>
      </c>
      <c r="L89" s="225">
        <f t="shared" si="3"/>
        <v>13511.094297399999</v>
      </c>
      <c r="M89" s="225">
        <f t="shared" si="3"/>
        <v>13598.101908809998</v>
      </c>
      <c r="N89" s="225">
        <f t="shared" si="3"/>
        <v>10616.702345670001</v>
      </c>
      <c r="O89" s="225">
        <f t="shared" si="3"/>
        <v>10294.215579274</v>
      </c>
    </row>
    <row r="91" spans="2:15">
      <c r="B91" s="226" t="s">
        <v>17</v>
      </c>
      <c r="C91" s="228">
        <f>SUM(ROUND(C69/SUM(C88:C89)*100,1),ROUND(C75/SUM(C88:C89)*100,1),ROUND(C76/SUM(C88:C89)*100,1),ROUND(C77/SUM(C88:C89)*100,1),ROUND(C80/SUM(C88:C89)*100,1),ROUND(C81/SUM(C88:C89)*100,1))</f>
        <v>37.4</v>
      </c>
      <c r="D91" s="228">
        <f t="shared" ref="D91:N91" si="4">SUM(ROUND(D69/SUM(D88:D89)*100,1),ROUND(D75/SUM(D88:D89)*100,1),ROUND(D76/SUM(D88:D89)*100,1),ROUND(D77/SUM(D88:D89)*100,1),ROUND(D80/SUM(D88:D89)*100,1),ROUND(D81/SUM(D88:D89)*100,1))</f>
        <v>39</v>
      </c>
      <c r="E91" s="228">
        <f t="shared" si="4"/>
        <v>37.499999999999993</v>
      </c>
      <c r="F91" s="228">
        <f t="shared" si="4"/>
        <v>43.4</v>
      </c>
      <c r="G91" s="228">
        <f t="shared" si="4"/>
        <v>42.199999999999996</v>
      </c>
      <c r="H91" s="228">
        <f t="shared" si="4"/>
        <v>43.4</v>
      </c>
      <c r="I91" s="228">
        <f t="shared" si="4"/>
        <v>34.9</v>
      </c>
      <c r="J91" s="228">
        <f t="shared" si="4"/>
        <v>31.099999999999998</v>
      </c>
      <c r="K91" s="228">
        <f t="shared" si="4"/>
        <v>28.7</v>
      </c>
      <c r="L91" s="228">
        <f t="shared" si="4"/>
        <v>33.1</v>
      </c>
      <c r="M91" s="228">
        <f t="shared" si="4"/>
        <v>31.5</v>
      </c>
      <c r="N91" s="228">
        <f t="shared" si="4"/>
        <v>50.599999999999987</v>
      </c>
      <c r="O91" s="228">
        <f>SUM(ROUND(O69/SUM(O88:O89)*100,1),ROUND(O75/SUM(O88:O89)*100,1),ROUND(O76/SUM(O88:O89)*100,1),ROUND(O77/SUM(O88:O89)*100,1),ROUND(O80/SUM(O88:O89)*100,1),ROUND(O81/SUM(O88:O89)*100,1))</f>
        <v>51.499999999999993</v>
      </c>
    </row>
    <row r="92" spans="2:15">
      <c r="B92" s="224" t="s">
        <v>16</v>
      </c>
      <c r="C92" s="229">
        <f t="shared" ref="C92:O92" si="5">100-C91</f>
        <v>62.6</v>
      </c>
      <c r="D92" s="229">
        <f t="shared" si="5"/>
        <v>61</v>
      </c>
      <c r="E92" s="229">
        <f t="shared" si="5"/>
        <v>62.500000000000007</v>
      </c>
      <c r="F92" s="229">
        <f t="shared" si="5"/>
        <v>56.6</v>
      </c>
      <c r="G92" s="229">
        <f t="shared" si="5"/>
        <v>57.800000000000004</v>
      </c>
      <c r="H92" s="229">
        <f t="shared" si="5"/>
        <v>56.6</v>
      </c>
      <c r="I92" s="229">
        <f t="shared" si="5"/>
        <v>65.099999999999994</v>
      </c>
      <c r="J92" s="229">
        <f t="shared" si="5"/>
        <v>68.900000000000006</v>
      </c>
      <c r="K92" s="229">
        <f t="shared" si="5"/>
        <v>71.3</v>
      </c>
      <c r="L92" s="229">
        <f t="shared" si="5"/>
        <v>66.900000000000006</v>
      </c>
      <c r="M92" s="229">
        <f t="shared" si="5"/>
        <v>68.5</v>
      </c>
      <c r="N92" s="229">
        <f t="shared" si="5"/>
        <v>49.400000000000013</v>
      </c>
      <c r="O92" s="229">
        <f t="shared" si="5"/>
        <v>48.500000000000007</v>
      </c>
    </row>
    <row r="94" spans="2:15">
      <c r="B94" s="168" t="s">
        <v>85</v>
      </c>
    </row>
    <row r="95" spans="2:15">
      <c r="B95" s="168" t="s">
        <v>86</v>
      </c>
    </row>
    <row r="97" spans="2:16">
      <c r="B97" s="151" t="s">
        <v>154</v>
      </c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</row>
    <row r="98" spans="2:16">
      <c r="B98" s="219"/>
      <c r="C98" s="220" t="str">
        <f>Dat_01!B140</f>
        <v>D</v>
      </c>
      <c r="D98" s="220" t="str">
        <f>Dat_01!C140</f>
        <v>E</v>
      </c>
      <c r="E98" s="220" t="str">
        <f>Dat_01!D140</f>
        <v>F</v>
      </c>
      <c r="F98" s="220" t="str">
        <f>Dat_01!E140</f>
        <v>M</v>
      </c>
      <c r="G98" s="220" t="str">
        <f>Dat_01!F140</f>
        <v>A</v>
      </c>
      <c r="H98" s="220" t="str">
        <f>Dat_01!G140</f>
        <v>M</v>
      </c>
      <c r="I98" s="220" t="str">
        <f>Dat_01!H140</f>
        <v>J</v>
      </c>
      <c r="J98" s="220" t="str">
        <f>Dat_01!I140</f>
        <v>J</v>
      </c>
      <c r="K98" s="220" t="str">
        <f>Dat_01!J140</f>
        <v>A</v>
      </c>
      <c r="L98" s="220" t="str">
        <f>Dat_01!K140</f>
        <v>S</v>
      </c>
      <c r="M98" s="220" t="str">
        <f>Dat_01!L140</f>
        <v>O</v>
      </c>
      <c r="N98" s="220" t="str">
        <f>Dat_01!M140</f>
        <v>N</v>
      </c>
      <c r="O98" s="220" t="str">
        <f>Dat_01!N140</f>
        <v>D</v>
      </c>
      <c r="P98" s="221"/>
    </row>
    <row r="99" spans="2:16">
      <c r="B99" s="222" t="s">
        <v>2</v>
      </c>
      <c r="C99" s="223">
        <f>C69</f>
        <v>2486.4288326440001</v>
      </c>
      <c r="D99" s="223">
        <f t="shared" ref="D99:O99" si="6">D69</f>
        <v>2126.922141256</v>
      </c>
      <c r="E99" s="223">
        <f t="shared" si="6"/>
        <v>2483.1404345719998</v>
      </c>
      <c r="F99" s="223">
        <f t="shared" si="6"/>
        <v>2132.151119952</v>
      </c>
      <c r="G99" s="223">
        <f t="shared" si="6"/>
        <v>1924.9576321879999</v>
      </c>
      <c r="H99" s="223">
        <f t="shared" si="6"/>
        <v>1934.7271387759999</v>
      </c>
      <c r="I99" s="223">
        <f t="shared" si="6"/>
        <v>1626.0940129099999</v>
      </c>
      <c r="J99" s="223">
        <f t="shared" si="6"/>
        <v>1581.570384826</v>
      </c>
      <c r="K99" s="223">
        <f t="shared" si="6"/>
        <v>1254.440733828</v>
      </c>
      <c r="L99" s="223">
        <f t="shared" si="6"/>
        <v>1224.795245668</v>
      </c>
      <c r="M99" s="223">
        <f t="shared" si="6"/>
        <v>1119.19830946</v>
      </c>
      <c r="N99" s="223">
        <f t="shared" si="6"/>
        <v>2657.4414732999999</v>
      </c>
      <c r="O99" s="223">
        <f t="shared" si="6"/>
        <v>4626.2222297759999</v>
      </c>
    </row>
    <row r="100" spans="2:16">
      <c r="B100" s="222" t="s">
        <v>82</v>
      </c>
      <c r="C100" s="223">
        <f t="shared" ref="C100:O112" si="7">C70</f>
        <v>132.478563576</v>
      </c>
      <c r="D100" s="223">
        <f t="shared" si="7"/>
        <v>160.23613672600001</v>
      </c>
      <c r="E100" s="223">
        <f t="shared" si="7"/>
        <v>184.627649926</v>
      </c>
      <c r="F100" s="223">
        <f t="shared" si="7"/>
        <v>182.227465258</v>
      </c>
      <c r="G100" s="223">
        <f t="shared" si="7"/>
        <v>129.46685282000001</v>
      </c>
      <c r="H100" s="223">
        <f t="shared" si="7"/>
        <v>124.92970631599999</v>
      </c>
      <c r="I100" s="223">
        <f t="shared" si="7"/>
        <v>54.725804748000002</v>
      </c>
      <c r="J100" s="223">
        <f t="shared" si="7"/>
        <v>24.305235333999999</v>
      </c>
      <c r="K100" s="223">
        <f t="shared" si="7"/>
        <v>70.640000060000006</v>
      </c>
      <c r="L100" s="223">
        <f t="shared" si="7"/>
        <v>104.26472390000001</v>
      </c>
      <c r="M100" s="223">
        <f t="shared" si="7"/>
        <v>116.03424181</v>
      </c>
      <c r="N100" s="223">
        <f t="shared" si="7"/>
        <v>172.10635217000001</v>
      </c>
      <c r="O100" s="223">
        <f t="shared" si="7"/>
        <v>318.75078227400002</v>
      </c>
    </row>
    <row r="101" spans="2:16">
      <c r="B101" s="222" t="s">
        <v>3</v>
      </c>
      <c r="C101" s="223">
        <f t="shared" si="7"/>
        <v>4286.7606750000004</v>
      </c>
      <c r="D101" s="223">
        <f t="shared" si="7"/>
        <v>5041.3888260000003</v>
      </c>
      <c r="E101" s="223">
        <f t="shared" si="7"/>
        <v>4766.7856579999998</v>
      </c>
      <c r="F101" s="223">
        <f t="shared" si="7"/>
        <v>5274.7472820000003</v>
      </c>
      <c r="G101" s="223">
        <f t="shared" si="7"/>
        <v>4621.6629220000004</v>
      </c>
      <c r="H101" s="223">
        <f t="shared" si="7"/>
        <v>3976.917465</v>
      </c>
      <c r="I101" s="223">
        <f t="shared" si="7"/>
        <v>4647.8769560000001</v>
      </c>
      <c r="J101" s="223">
        <f t="shared" si="7"/>
        <v>5123.1117279999999</v>
      </c>
      <c r="K101" s="223">
        <f t="shared" si="7"/>
        <v>5068.1443870000003</v>
      </c>
      <c r="L101" s="223">
        <f t="shared" si="7"/>
        <v>4995.5062809999999</v>
      </c>
      <c r="M101" s="223">
        <f t="shared" si="7"/>
        <v>4530.6687620000002</v>
      </c>
      <c r="N101" s="223">
        <f t="shared" si="7"/>
        <v>3427.5262950000001</v>
      </c>
      <c r="O101" s="223">
        <f t="shared" si="7"/>
        <v>4350.070831</v>
      </c>
    </row>
    <row r="102" spans="2:16">
      <c r="B102" s="222" t="s">
        <v>4</v>
      </c>
      <c r="C102" s="223">
        <f t="shared" si="7"/>
        <v>2845.2103820000002</v>
      </c>
      <c r="D102" s="223">
        <f t="shared" si="7"/>
        <v>3075.0126260000002</v>
      </c>
      <c r="E102" s="223">
        <f t="shared" si="7"/>
        <v>2246.7762189999999</v>
      </c>
      <c r="F102" s="223">
        <f t="shared" si="7"/>
        <v>824.64084000000003</v>
      </c>
      <c r="G102" s="223">
        <f t="shared" si="7"/>
        <v>722.92722700000002</v>
      </c>
      <c r="H102" s="223">
        <f t="shared" si="7"/>
        <v>342.70616999999999</v>
      </c>
      <c r="I102" s="223">
        <f t="shared" si="7"/>
        <v>416.30111399999998</v>
      </c>
      <c r="J102" s="223">
        <f t="shared" si="7"/>
        <v>661.90379600000006</v>
      </c>
      <c r="K102" s="223">
        <f t="shared" si="7"/>
        <v>341.39558</v>
      </c>
      <c r="L102" s="223">
        <f t="shared" si="7"/>
        <v>443.18280800000002</v>
      </c>
      <c r="M102" s="223">
        <f t="shared" si="7"/>
        <v>675.62506499999995</v>
      </c>
      <c r="N102" s="223">
        <f t="shared" si="7"/>
        <v>548.229692</v>
      </c>
      <c r="O102" s="223">
        <f t="shared" si="7"/>
        <v>374.11575099999999</v>
      </c>
    </row>
    <row r="103" spans="2:16">
      <c r="B103" s="222" t="s">
        <v>142</v>
      </c>
      <c r="C103" s="223">
        <f t="shared" si="7"/>
        <v>0</v>
      </c>
      <c r="D103" s="223">
        <f t="shared" si="7"/>
        <v>0</v>
      </c>
      <c r="E103" s="223">
        <f t="shared" si="7"/>
        <v>0</v>
      </c>
      <c r="F103" s="223">
        <f t="shared" si="7"/>
        <v>0</v>
      </c>
      <c r="G103" s="223">
        <f t="shared" si="7"/>
        <v>0</v>
      </c>
      <c r="H103" s="223">
        <f t="shared" si="7"/>
        <v>0</v>
      </c>
      <c r="I103" s="223">
        <f t="shared" si="7"/>
        <v>0</v>
      </c>
      <c r="J103" s="223">
        <f t="shared" si="7"/>
        <v>0</v>
      </c>
      <c r="K103" s="223">
        <f t="shared" si="7"/>
        <v>0</v>
      </c>
      <c r="L103" s="223">
        <f t="shared" si="7"/>
        <v>0</v>
      </c>
      <c r="M103" s="223">
        <f t="shared" si="7"/>
        <v>0</v>
      </c>
      <c r="N103" s="223">
        <f t="shared" si="7"/>
        <v>0</v>
      </c>
      <c r="O103" s="223">
        <f t="shared" si="7"/>
        <v>0</v>
      </c>
    </row>
    <row r="104" spans="2:16">
      <c r="B104" s="222" t="s">
        <v>143</v>
      </c>
      <c r="C104" s="223">
        <f t="shared" si="7"/>
        <v>2896.6909179999998</v>
      </c>
      <c r="D104" s="223">
        <f t="shared" si="7"/>
        <v>3198.741031</v>
      </c>
      <c r="E104" s="223">
        <f t="shared" si="7"/>
        <v>2453.2141339999998</v>
      </c>
      <c r="F104" s="223">
        <f t="shared" si="7"/>
        <v>2129.0058009999998</v>
      </c>
      <c r="G104" s="223">
        <f t="shared" si="7"/>
        <v>2714.2505219999998</v>
      </c>
      <c r="H104" s="223">
        <f t="shared" si="7"/>
        <v>3899.4977060000001</v>
      </c>
      <c r="I104" s="223">
        <f t="shared" si="7"/>
        <v>5107.4552890000004</v>
      </c>
      <c r="J104" s="223">
        <f t="shared" si="7"/>
        <v>6956.6277</v>
      </c>
      <c r="K104" s="223">
        <f t="shared" si="7"/>
        <v>7016.5746319999998</v>
      </c>
      <c r="L104" s="223">
        <f t="shared" si="7"/>
        <v>5427.2651390000001</v>
      </c>
      <c r="M104" s="223">
        <f t="shared" si="7"/>
        <v>5623.0261039999996</v>
      </c>
      <c r="N104" s="223">
        <f t="shared" si="7"/>
        <v>3859.056505</v>
      </c>
      <c r="O104" s="223">
        <f t="shared" si="7"/>
        <v>2755.641838</v>
      </c>
    </row>
    <row r="105" spans="2:16">
      <c r="B105" s="222" t="s">
        <v>5</v>
      </c>
      <c r="C105" s="223">
        <f t="shared" si="7"/>
        <v>4319.0333719999999</v>
      </c>
      <c r="D105" s="223">
        <f t="shared" si="7"/>
        <v>5970.6822620000003</v>
      </c>
      <c r="E105" s="223">
        <f t="shared" si="7"/>
        <v>3646.796961</v>
      </c>
      <c r="F105" s="223">
        <f t="shared" si="7"/>
        <v>4823.6493200000004</v>
      </c>
      <c r="G105" s="223">
        <f t="shared" si="7"/>
        <v>4595.9236090000004</v>
      </c>
      <c r="H105" s="223">
        <f t="shared" si="7"/>
        <v>4581.0172030000003</v>
      </c>
      <c r="I105" s="223">
        <f t="shared" si="7"/>
        <v>3212.2473199999999</v>
      </c>
      <c r="J105" s="223">
        <f t="shared" si="7"/>
        <v>3281.9046039999998</v>
      </c>
      <c r="K105" s="223">
        <f t="shared" si="7"/>
        <v>2731.9341749999999</v>
      </c>
      <c r="L105" s="223">
        <f t="shared" si="7"/>
        <v>3793.205336</v>
      </c>
      <c r="M105" s="223">
        <f t="shared" si="7"/>
        <v>3719.343633</v>
      </c>
      <c r="N105" s="223">
        <f t="shared" si="7"/>
        <v>7316.8681889999998</v>
      </c>
      <c r="O105" s="223">
        <f t="shared" si="7"/>
        <v>5394.242784</v>
      </c>
    </row>
    <row r="106" spans="2:16">
      <c r="B106" s="222" t="s">
        <v>144</v>
      </c>
      <c r="C106" s="223">
        <f t="shared" si="7"/>
        <v>404.732145</v>
      </c>
      <c r="D106" s="223">
        <f t="shared" si="7"/>
        <v>482.13161500000001</v>
      </c>
      <c r="E106" s="223">
        <f t="shared" si="7"/>
        <v>604.07747800000004</v>
      </c>
      <c r="F106" s="223">
        <f t="shared" si="7"/>
        <v>775.97597499999995</v>
      </c>
      <c r="G106" s="223">
        <f t="shared" si="7"/>
        <v>667.67046800000003</v>
      </c>
      <c r="H106" s="223">
        <f t="shared" si="7"/>
        <v>897.52717800000005</v>
      </c>
      <c r="I106" s="223">
        <f t="shared" si="7"/>
        <v>895.42524700000001</v>
      </c>
      <c r="J106" s="223">
        <f t="shared" si="7"/>
        <v>958.50606300000004</v>
      </c>
      <c r="K106" s="223">
        <f t="shared" si="7"/>
        <v>972.51861699999995</v>
      </c>
      <c r="L106" s="223">
        <f t="shared" si="7"/>
        <v>826.34228099999996</v>
      </c>
      <c r="M106" s="223">
        <f t="shared" si="7"/>
        <v>758.14945899999998</v>
      </c>
      <c r="N106" s="223">
        <f t="shared" si="7"/>
        <v>497.89184699999998</v>
      </c>
      <c r="O106" s="223">
        <f t="shared" si="7"/>
        <v>487.55590599999999</v>
      </c>
    </row>
    <row r="107" spans="2:16">
      <c r="B107" s="222" t="s">
        <v>145</v>
      </c>
      <c r="C107" s="223">
        <f t="shared" si="7"/>
        <v>109.57487399999999</v>
      </c>
      <c r="D107" s="223">
        <f t="shared" si="7"/>
        <v>166.15012899999999</v>
      </c>
      <c r="E107" s="223">
        <f t="shared" si="7"/>
        <v>261.97860300000002</v>
      </c>
      <c r="F107" s="223">
        <f t="shared" si="7"/>
        <v>477.846093</v>
      </c>
      <c r="G107" s="223">
        <f t="shared" si="7"/>
        <v>379.26881700000001</v>
      </c>
      <c r="H107" s="223">
        <f t="shared" si="7"/>
        <v>740.99772700000005</v>
      </c>
      <c r="I107" s="223">
        <f t="shared" si="7"/>
        <v>775.05760599999996</v>
      </c>
      <c r="J107" s="223">
        <f t="shared" si="7"/>
        <v>722.86748999999998</v>
      </c>
      <c r="K107" s="223">
        <f t="shared" si="7"/>
        <v>745.49877100000003</v>
      </c>
      <c r="L107" s="223">
        <f t="shared" si="7"/>
        <v>454.73186500000003</v>
      </c>
      <c r="M107" s="223">
        <f t="shared" si="7"/>
        <v>303.08525700000001</v>
      </c>
      <c r="N107" s="223">
        <f t="shared" si="7"/>
        <v>69.970612000000003</v>
      </c>
      <c r="O107" s="223">
        <f t="shared" si="7"/>
        <v>68.978292999999994</v>
      </c>
    </row>
    <row r="108" spans="2:16">
      <c r="B108" s="222" t="s">
        <v>9</v>
      </c>
      <c r="C108" s="223">
        <f t="shared" si="7"/>
        <v>2529.9413220000001</v>
      </c>
      <c r="D108" s="223">
        <f t="shared" si="7"/>
        <v>2671.4589550000001</v>
      </c>
      <c r="E108" s="223">
        <f t="shared" si="7"/>
        <v>2391.3661729999999</v>
      </c>
      <c r="F108" s="223">
        <f t="shared" si="7"/>
        <v>2591.305206</v>
      </c>
      <c r="G108" s="223">
        <f t="shared" si="7"/>
        <v>2489.5731639999999</v>
      </c>
      <c r="H108" s="223">
        <f t="shared" si="7"/>
        <v>2544.8537660000002</v>
      </c>
      <c r="I108" s="223">
        <f t="shared" si="7"/>
        <v>2419.8174090000002</v>
      </c>
      <c r="J108" s="223">
        <f t="shared" si="7"/>
        <v>2457.5535610000002</v>
      </c>
      <c r="K108" s="223">
        <f t="shared" si="7"/>
        <v>2354.265065</v>
      </c>
      <c r="L108" s="223">
        <f t="shared" si="7"/>
        <v>2352.8584179999998</v>
      </c>
      <c r="M108" s="223">
        <f t="shared" si="7"/>
        <v>2483.371537</v>
      </c>
      <c r="N108" s="223">
        <f t="shared" si="7"/>
        <v>2465.2001190000001</v>
      </c>
      <c r="O108" s="223">
        <f t="shared" si="7"/>
        <v>2334.6439070000001</v>
      </c>
    </row>
    <row r="109" spans="2:16">
      <c r="B109" s="222" t="s">
        <v>146</v>
      </c>
      <c r="C109" s="223">
        <f t="shared" si="7"/>
        <v>190.76081500000001</v>
      </c>
      <c r="D109" s="223">
        <f t="shared" si="7"/>
        <v>196.595054</v>
      </c>
      <c r="E109" s="223">
        <f t="shared" si="7"/>
        <v>180.749244</v>
      </c>
      <c r="F109" s="223">
        <f t="shared" si="7"/>
        <v>200.77951049999999</v>
      </c>
      <c r="G109" s="223">
        <f t="shared" si="7"/>
        <v>175.342614</v>
      </c>
      <c r="H109" s="223">
        <f t="shared" si="7"/>
        <v>154.68218999999999</v>
      </c>
      <c r="I109" s="223">
        <f t="shared" si="7"/>
        <v>156.89450450000001</v>
      </c>
      <c r="J109" s="223">
        <f t="shared" si="7"/>
        <v>161.3076265</v>
      </c>
      <c r="K109" s="223">
        <f t="shared" si="7"/>
        <v>182.311137</v>
      </c>
      <c r="L109" s="223">
        <f t="shared" si="7"/>
        <v>188.01692750000001</v>
      </c>
      <c r="M109" s="223">
        <f t="shared" si="7"/>
        <v>169.37619900000001</v>
      </c>
      <c r="N109" s="223">
        <f t="shared" si="7"/>
        <v>144.5833825</v>
      </c>
      <c r="O109" s="223">
        <f t="shared" si="7"/>
        <v>160.99247</v>
      </c>
    </row>
    <row r="110" spans="2:16">
      <c r="B110" s="222" t="s">
        <v>147</v>
      </c>
      <c r="C110" s="223">
        <f t="shared" si="7"/>
        <v>69.912847999999997</v>
      </c>
      <c r="D110" s="223">
        <f t="shared" si="7"/>
        <v>63.503646000000003</v>
      </c>
      <c r="E110" s="223">
        <f t="shared" si="7"/>
        <v>61.891773000000001</v>
      </c>
      <c r="F110" s="223">
        <f t="shared" si="7"/>
        <v>67.360605500000005</v>
      </c>
      <c r="G110" s="223">
        <f t="shared" si="7"/>
        <v>64.179035999999996</v>
      </c>
      <c r="H110" s="223">
        <f t="shared" si="7"/>
        <v>36.450611000000002</v>
      </c>
      <c r="I110" s="223">
        <f t="shared" si="7"/>
        <v>62.621202500000003</v>
      </c>
      <c r="J110" s="223">
        <f t="shared" si="7"/>
        <v>65.608477500000006</v>
      </c>
      <c r="K110" s="223">
        <f t="shared" si="7"/>
        <v>66.150598000000002</v>
      </c>
      <c r="L110" s="223">
        <f t="shared" si="7"/>
        <v>63.723962499999999</v>
      </c>
      <c r="M110" s="223">
        <f t="shared" si="7"/>
        <v>61.976173000000003</v>
      </c>
      <c r="N110" s="223">
        <f t="shared" si="7"/>
        <v>60.149876499999998</v>
      </c>
      <c r="O110" s="223">
        <f t="shared" si="7"/>
        <v>65.337529000000004</v>
      </c>
    </row>
    <row r="111" spans="2:16">
      <c r="B111" s="222" t="s">
        <v>148</v>
      </c>
      <c r="C111" s="223">
        <f t="shared" si="7"/>
        <v>299.41570200000001</v>
      </c>
      <c r="D111" s="223">
        <f t="shared" si="7"/>
        <v>303.48312600000003</v>
      </c>
      <c r="E111" s="223">
        <f t="shared" si="7"/>
        <v>284.79867300000001</v>
      </c>
      <c r="F111" s="223">
        <f t="shared" si="7"/>
        <v>309.41373599999997</v>
      </c>
      <c r="G111" s="223">
        <f t="shared" si="7"/>
        <v>274.24882200000002</v>
      </c>
      <c r="H111" s="223">
        <f t="shared" si="7"/>
        <v>282.125969</v>
      </c>
      <c r="I111" s="223">
        <f t="shared" si="7"/>
        <v>285.594067</v>
      </c>
      <c r="J111" s="223">
        <f t="shared" si="7"/>
        <v>325.694455</v>
      </c>
      <c r="K111" s="223">
        <f t="shared" si="7"/>
        <v>320.61544400000002</v>
      </c>
      <c r="L111" s="223">
        <f t="shared" si="7"/>
        <v>301.51870000000002</v>
      </c>
      <c r="M111" s="223">
        <f t="shared" si="7"/>
        <v>309.88871</v>
      </c>
      <c r="N111" s="223">
        <f t="shared" si="7"/>
        <v>308.26278200000002</v>
      </c>
      <c r="O111" s="223">
        <f t="shared" si="7"/>
        <v>299.682208</v>
      </c>
    </row>
    <row r="112" spans="2:16">
      <c r="B112" s="222" t="s">
        <v>149</v>
      </c>
      <c r="C112" s="223">
        <f t="shared" si="7"/>
        <v>20570.940449220001</v>
      </c>
      <c r="D112" s="223">
        <f t="shared" si="7"/>
        <v>23456.305547982003</v>
      </c>
      <c r="E112" s="223">
        <f t="shared" si="7"/>
        <v>19566.203000497997</v>
      </c>
      <c r="F112" s="223">
        <f t="shared" si="7"/>
        <v>19789.102954209997</v>
      </c>
      <c r="G112" s="223">
        <f t="shared" si="7"/>
        <v>18759.471686008004</v>
      </c>
      <c r="H112" s="223">
        <f t="shared" si="7"/>
        <v>19516.432830092002</v>
      </c>
      <c r="I112" s="223">
        <f t="shared" si="7"/>
        <v>19660.110532657996</v>
      </c>
      <c r="J112" s="223">
        <f t="shared" si="7"/>
        <v>22320.961121160006</v>
      </c>
      <c r="K112" s="223">
        <f t="shared" si="7"/>
        <v>21124.489139887999</v>
      </c>
      <c r="L112" s="223">
        <f t="shared" si="7"/>
        <v>20175.411687568005</v>
      </c>
      <c r="M112" s="223">
        <f t="shared" si="7"/>
        <v>19869.743450269994</v>
      </c>
      <c r="N112" s="223">
        <f t="shared" si="7"/>
        <v>21527.287125470004</v>
      </c>
      <c r="O112" s="223">
        <f t="shared" si="7"/>
        <v>21236.234529050002</v>
      </c>
    </row>
    <row r="113" spans="2:18">
      <c r="B113" s="222" t="s">
        <v>150</v>
      </c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</row>
    <row r="114" spans="2:18">
      <c r="B114" s="222" t="s">
        <v>151</v>
      </c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</row>
    <row r="115" spans="2:18">
      <c r="B115" s="222" t="s">
        <v>152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</row>
    <row r="116" spans="2:18">
      <c r="B116" s="224" t="s">
        <v>153</v>
      </c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</row>
    <row r="118" spans="2:18">
      <c r="B118" s="226" t="s">
        <v>606</v>
      </c>
      <c r="C118" s="227">
        <f>SUM(C99:C101,C105:C107,C110:C111)</f>
        <v>12108.337012220001</v>
      </c>
      <c r="D118" s="227">
        <f t="shared" ref="D118:O118" si="8">SUM(D99:D101,D105:D107,D110:D111)</f>
        <v>14314.497881981999</v>
      </c>
      <c r="E118" s="227">
        <f t="shared" si="8"/>
        <v>12294.097230497997</v>
      </c>
      <c r="F118" s="227">
        <f t="shared" si="8"/>
        <v>14043.371596710002</v>
      </c>
      <c r="G118" s="227">
        <f t="shared" si="8"/>
        <v>12657.378159008</v>
      </c>
      <c r="H118" s="227">
        <f t="shared" si="8"/>
        <v>12574.692998092001</v>
      </c>
      <c r="I118" s="227">
        <f t="shared" si="8"/>
        <v>11559.642216157999</v>
      </c>
      <c r="J118" s="227">
        <f t="shared" si="8"/>
        <v>12083.568437660002</v>
      </c>
      <c r="K118" s="227">
        <f t="shared" si="8"/>
        <v>11229.942725888002</v>
      </c>
      <c r="L118" s="227">
        <f t="shared" si="8"/>
        <v>11764.088395068</v>
      </c>
      <c r="M118" s="227">
        <f t="shared" si="8"/>
        <v>10918.34454527</v>
      </c>
      <c r="N118" s="227">
        <f t="shared" si="8"/>
        <v>14510.217426969999</v>
      </c>
      <c r="O118" s="227">
        <f t="shared" si="8"/>
        <v>15610.84056305</v>
      </c>
    </row>
    <row r="119" spans="2:18">
      <c r="B119" s="224" t="s">
        <v>607</v>
      </c>
      <c r="C119" s="225">
        <f>SUM(C102:C104,C108:C109)</f>
        <v>8462.6034369999998</v>
      </c>
      <c r="D119" s="225">
        <f t="shared" ref="D119:O119" si="9">SUM(D102:D104,D108:D109)</f>
        <v>9141.8076659999988</v>
      </c>
      <c r="E119" s="225">
        <f t="shared" si="9"/>
        <v>7272.1057699999992</v>
      </c>
      <c r="F119" s="225">
        <f t="shared" si="9"/>
        <v>5745.7313574999998</v>
      </c>
      <c r="G119" s="225">
        <f t="shared" si="9"/>
        <v>6102.093527</v>
      </c>
      <c r="H119" s="225">
        <f t="shared" si="9"/>
        <v>6941.7398320000011</v>
      </c>
      <c r="I119" s="225">
        <f t="shared" si="9"/>
        <v>8100.4683165000006</v>
      </c>
      <c r="J119" s="225">
        <f t="shared" si="9"/>
        <v>10237.3926835</v>
      </c>
      <c r="K119" s="225">
        <f t="shared" si="9"/>
        <v>9894.5464140000004</v>
      </c>
      <c r="L119" s="225">
        <f t="shared" si="9"/>
        <v>8411.3232925000011</v>
      </c>
      <c r="M119" s="225">
        <f t="shared" si="9"/>
        <v>8951.398905</v>
      </c>
      <c r="N119" s="225">
        <f t="shared" si="9"/>
        <v>7017.0696985000004</v>
      </c>
      <c r="O119" s="225">
        <f t="shared" si="9"/>
        <v>5625.3939660000005</v>
      </c>
      <c r="R119" s="230"/>
    </row>
    <row r="121" spans="2:18">
      <c r="B121" s="226" t="s">
        <v>605</v>
      </c>
      <c r="C121" s="228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58.8</v>
      </c>
      <c r="D121" s="228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61.199999999999996</v>
      </c>
      <c r="E121" s="228">
        <f t="shared" si="10"/>
        <v>62.8</v>
      </c>
      <c r="F121" s="228">
        <f t="shared" si="10"/>
        <v>71</v>
      </c>
      <c r="G121" s="228">
        <f t="shared" si="10"/>
        <v>67.5</v>
      </c>
      <c r="H121" s="228">
        <f t="shared" si="10"/>
        <v>64.400000000000006</v>
      </c>
      <c r="I121" s="228">
        <f t="shared" si="10"/>
        <v>58.8</v>
      </c>
      <c r="J121" s="228">
        <f t="shared" si="10"/>
        <v>54.199999999999996</v>
      </c>
      <c r="K121" s="228">
        <f t="shared" si="10"/>
        <v>53</v>
      </c>
      <c r="L121" s="228">
        <f t="shared" si="10"/>
        <v>58.4</v>
      </c>
      <c r="M121" s="228">
        <f t="shared" si="10"/>
        <v>54.9</v>
      </c>
      <c r="N121" s="228">
        <f t="shared" si="10"/>
        <v>67.3</v>
      </c>
      <c r="O121" s="228">
        <f t="shared" si="10"/>
        <v>73.499999999999986</v>
      </c>
    </row>
    <row r="122" spans="2:18">
      <c r="B122" s="224" t="s">
        <v>608</v>
      </c>
      <c r="C122" s="229">
        <f t="shared" ref="C122" si="11">100-C121</f>
        <v>41.2</v>
      </c>
      <c r="D122" s="229">
        <f t="shared" ref="D122:O122" si="12">100-D121</f>
        <v>38.800000000000004</v>
      </c>
      <c r="E122" s="229">
        <f t="shared" si="12"/>
        <v>37.200000000000003</v>
      </c>
      <c r="F122" s="229">
        <f t="shared" si="12"/>
        <v>29</v>
      </c>
      <c r="G122" s="229">
        <f t="shared" si="12"/>
        <v>32.5</v>
      </c>
      <c r="H122" s="229">
        <f t="shared" si="12"/>
        <v>35.599999999999994</v>
      </c>
      <c r="I122" s="229">
        <f t="shared" si="12"/>
        <v>41.2</v>
      </c>
      <c r="J122" s="229">
        <f t="shared" si="12"/>
        <v>45.800000000000004</v>
      </c>
      <c r="K122" s="229">
        <f t="shared" si="12"/>
        <v>47</v>
      </c>
      <c r="L122" s="229">
        <f t="shared" si="12"/>
        <v>41.6</v>
      </c>
      <c r="M122" s="229">
        <f t="shared" si="12"/>
        <v>45.1</v>
      </c>
      <c r="N122" s="229">
        <f t="shared" si="12"/>
        <v>32.700000000000003</v>
      </c>
      <c r="O122" s="229">
        <f t="shared" si="12"/>
        <v>26.500000000000014</v>
      </c>
    </row>
    <row r="124" spans="2:18">
      <c r="B124" s="151" t="s">
        <v>155</v>
      </c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</row>
    <row r="125" spans="2:18">
      <c r="B125" s="219"/>
      <c r="C125" s="220" t="str">
        <f>Dat_01!B140</f>
        <v>D</v>
      </c>
      <c r="D125" s="220" t="str">
        <f>Dat_01!C140</f>
        <v>E</v>
      </c>
      <c r="E125" s="220" t="str">
        <f>Dat_01!D140</f>
        <v>F</v>
      </c>
      <c r="F125" s="220" t="str">
        <f>Dat_01!E140</f>
        <v>M</v>
      </c>
      <c r="G125" s="220" t="str">
        <f>Dat_01!F140</f>
        <v>A</v>
      </c>
      <c r="H125" s="220" t="str">
        <f>Dat_01!G140</f>
        <v>M</v>
      </c>
      <c r="I125" s="220" t="str">
        <f>Dat_01!H140</f>
        <v>J</v>
      </c>
      <c r="J125" s="220" t="str">
        <f>Dat_01!I140</f>
        <v>J</v>
      </c>
      <c r="K125" s="220" t="str">
        <f>Dat_01!J140</f>
        <v>A</v>
      </c>
      <c r="L125" s="220" t="str">
        <f>Dat_01!K140</f>
        <v>S</v>
      </c>
      <c r="M125" s="220" t="str">
        <f>Dat_01!L140</f>
        <v>O</v>
      </c>
      <c r="N125" s="220" t="str">
        <f>Dat_01!M140</f>
        <v>N</v>
      </c>
      <c r="O125" s="220" t="str">
        <f>Dat_01!N140</f>
        <v>D</v>
      </c>
    </row>
    <row r="126" spans="2:18">
      <c r="B126" s="222" t="s">
        <v>2</v>
      </c>
      <c r="C126" s="223">
        <f>C69</f>
        <v>2486.4288326440001</v>
      </c>
      <c r="D126" s="223">
        <f t="shared" ref="D126:O126" si="13">D69</f>
        <v>2126.922141256</v>
      </c>
      <c r="E126" s="223">
        <f t="shared" si="13"/>
        <v>2483.1404345719998</v>
      </c>
      <c r="F126" s="223">
        <f t="shared" si="13"/>
        <v>2132.151119952</v>
      </c>
      <c r="G126" s="223">
        <f t="shared" si="13"/>
        <v>1924.9576321879999</v>
      </c>
      <c r="H126" s="223">
        <f t="shared" si="13"/>
        <v>1934.7271387759999</v>
      </c>
      <c r="I126" s="223">
        <f t="shared" si="13"/>
        <v>1626.0940129099999</v>
      </c>
      <c r="J126" s="223">
        <f t="shared" si="13"/>
        <v>1581.570384826</v>
      </c>
      <c r="K126" s="223">
        <f t="shared" si="13"/>
        <v>1254.440733828</v>
      </c>
      <c r="L126" s="223">
        <f t="shared" si="13"/>
        <v>1224.795245668</v>
      </c>
      <c r="M126" s="223">
        <f t="shared" si="13"/>
        <v>1119.19830946</v>
      </c>
      <c r="N126" s="223">
        <f t="shared" si="13"/>
        <v>2657.4414732999999</v>
      </c>
      <c r="O126" s="223">
        <f t="shared" si="13"/>
        <v>4626.2222297759999</v>
      </c>
      <c r="P126" s="232"/>
    </row>
    <row r="127" spans="2:18">
      <c r="B127" s="222" t="s">
        <v>82</v>
      </c>
      <c r="C127" s="223">
        <f t="shared" ref="C127:O139" si="14">C70</f>
        <v>132.478563576</v>
      </c>
      <c r="D127" s="223">
        <f t="shared" si="14"/>
        <v>160.23613672600001</v>
      </c>
      <c r="E127" s="223">
        <f t="shared" si="14"/>
        <v>184.627649926</v>
      </c>
      <c r="F127" s="223">
        <f t="shared" si="14"/>
        <v>182.227465258</v>
      </c>
      <c r="G127" s="223">
        <f t="shared" si="14"/>
        <v>129.46685282000001</v>
      </c>
      <c r="H127" s="223">
        <f t="shared" si="14"/>
        <v>124.92970631599999</v>
      </c>
      <c r="I127" s="223">
        <f t="shared" si="14"/>
        <v>54.725804748000002</v>
      </c>
      <c r="J127" s="223">
        <f t="shared" si="14"/>
        <v>24.305235333999999</v>
      </c>
      <c r="K127" s="223">
        <f t="shared" si="14"/>
        <v>70.640000060000006</v>
      </c>
      <c r="L127" s="223">
        <f t="shared" si="14"/>
        <v>104.26472390000001</v>
      </c>
      <c r="M127" s="223">
        <f t="shared" si="14"/>
        <v>116.03424181</v>
      </c>
      <c r="N127" s="223">
        <f t="shared" si="14"/>
        <v>172.10635217000001</v>
      </c>
      <c r="O127" s="223">
        <f t="shared" si="14"/>
        <v>318.75078227400002</v>
      </c>
    </row>
    <row r="128" spans="2:18">
      <c r="B128" s="222" t="s">
        <v>3</v>
      </c>
      <c r="C128" s="223">
        <f t="shared" si="14"/>
        <v>4286.7606750000004</v>
      </c>
      <c r="D128" s="223">
        <f t="shared" si="14"/>
        <v>5041.3888260000003</v>
      </c>
      <c r="E128" s="223">
        <f t="shared" si="14"/>
        <v>4766.7856579999998</v>
      </c>
      <c r="F128" s="223">
        <f t="shared" si="14"/>
        <v>5274.7472820000003</v>
      </c>
      <c r="G128" s="223">
        <f t="shared" si="14"/>
        <v>4621.6629220000004</v>
      </c>
      <c r="H128" s="223">
        <f t="shared" si="14"/>
        <v>3976.917465</v>
      </c>
      <c r="I128" s="223">
        <f t="shared" si="14"/>
        <v>4647.8769560000001</v>
      </c>
      <c r="J128" s="223">
        <f t="shared" si="14"/>
        <v>5123.1117279999999</v>
      </c>
      <c r="K128" s="223">
        <f t="shared" si="14"/>
        <v>5068.1443870000003</v>
      </c>
      <c r="L128" s="223">
        <f t="shared" si="14"/>
        <v>4995.5062809999999</v>
      </c>
      <c r="M128" s="223">
        <f t="shared" si="14"/>
        <v>4530.6687620000002</v>
      </c>
      <c r="N128" s="223">
        <f t="shared" si="14"/>
        <v>3427.5262950000001</v>
      </c>
      <c r="O128" s="223">
        <f t="shared" si="14"/>
        <v>4350.070831</v>
      </c>
    </row>
    <row r="129" spans="2:15">
      <c r="B129" s="222" t="s">
        <v>4</v>
      </c>
      <c r="C129" s="223">
        <f t="shared" si="14"/>
        <v>2845.2103820000002</v>
      </c>
      <c r="D129" s="223">
        <f t="shared" si="14"/>
        <v>3075.0126260000002</v>
      </c>
      <c r="E129" s="223">
        <f t="shared" si="14"/>
        <v>2246.7762189999999</v>
      </c>
      <c r="F129" s="223">
        <f t="shared" si="14"/>
        <v>824.64084000000003</v>
      </c>
      <c r="G129" s="223">
        <f t="shared" si="14"/>
        <v>722.92722700000002</v>
      </c>
      <c r="H129" s="223">
        <f t="shared" si="14"/>
        <v>342.70616999999999</v>
      </c>
      <c r="I129" s="223">
        <f t="shared" si="14"/>
        <v>416.30111399999998</v>
      </c>
      <c r="J129" s="223">
        <f t="shared" si="14"/>
        <v>661.90379600000006</v>
      </c>
      <c r="K129" s="223">
        <f t="shared" si="14"/>
        <v>341.39558</v>
      </c>
      <c r="L129" s="223">
        <f t="shared" si="14"/>
        <v>443.18280800000002</v>
      </c>
      <c r="M129" s="223">
        <f t="shared" si="14"/>
        <v>675.62506499999995</v>
      </c>
      <c r="N129" s="223">
        <f t="shared" si="14"/>
        <v>548.229692</v>
      </c>
      <c r="O129" s="223">
        <f t="shared" si="14"/>
        <v>374.11575099999999</v>
      </c>
    </row>
    <row r="130" spans="2:15">
      <c r="B130" s="222" t="s">
        <v>142</v>
      </c>
      <c r="C130" s="223">
        <f t="shared" si="14"/>
        <v>0</v>
      </c>
      <c r="D130" s="223">
        <f t="shared" si="14"/>
        <v>0</v>
      </c>
      <c r="E130" s="223">
        <f t="shared" si="14"/>
        <v>0</v>
      </c>
      <c r="F130" s="223">
        <f t="shared" si="14"/>
        <v>0</v>
      </c>
      <c r="G130" s="223">
        <f t="shared" si="14"/>
        <v>0</v>
      </c>
      <c r="H130" s="223">
        <f t="shared" si="14"/>
        <v>0</v>
      </c>
      <c r="I130" s="223">
        <f t="shared" si="14"/>
        <v>0</v>
      </c>
      <c r="J130" s="223">
        <f t="shared" si="14"/>
        <v>0</v>
      </c>
      <c r="K130" s="223">
        <f t="shared" si="14"/>
        <v>0</v>
      </c>
      <c r="L130" s="223">
        <f t="shared" si="14"/>
        <v>0</v>
      </c>
      <c r="M130" s="223">
        <f t="shared" si="14"/>
        <v>0</v>
      </c>
      <c r="N130" s="223">
        <f t="shared" si="14"/>
        <v>0</v>
      </c>
      <c r="O130" s="223">
        <f t="shared" si="14"/>
        <v>0</v>
      </c>
    </row>
    <row r="131" spans="2:15">
      <c r="B131" s="222" t="s">
        <v>143</v>
      </c>
      <c r="C131" s="223">
        <f t="shared" si="14"/>
        <v>2896.6909179999998</v>
      </c>
      <c r="D131" s="223">
        <f t="shared" si="14"/>
        <v>3198.741031</v>
      </c>
      <c r="E131" s="223">
        <f t="shared" si="14"/>
        <v>2453.2141339999998</v>
      </c>
      <c r="F131" s="223">
        <f t="shared" si="14"/>
        <v>2129.0058009999998</v>
      </c>
      <c r="G131" s="223">
        <f t="shared" si="14"/>
        <v>2714.2505219999998</v>
      </c>
      <c r="H131" s="223">
        <f t="shared" si="14"/>
        <v>3899.4977060000001</v>
      </c>
      <c r="I131" s="223">
        <f t="shared" si="14"/>
        <v>5107.4552890000004</v>
      </c>
      <c r="J131" s="223">
        <f t="shared" si="14"/>
        <v>6956.6277</v>
      </c>
      <c r="K131" s="223">
        <f t="shared" si="14"/>
        <v>7016.5746319999998</v>
      </c>
      <c r="L131" s="223">
        <f t="shared" si="14"/>
        <v>5427.2651390000001</v>
      </c>
      <c r="M131" s="223">
        <f t="shared" si="14"/>
        <v>5623.0261039999996</v>
      </c>
      <c r="N131" s="223">
        <f t="shared" si="14"/>
        <v>3859.056505</v>
      </c>
      <c r="O131" s="223">
        <f t="shared" si="14"/>
        <v>2755.641838</v>
      </c>
    </row>
    <row r="132" spans="2:15">
      <c r="B132" s="222" t="s">
        <v>5</v>
      </c>
      <c r="C132" s="223">
        <f t="shared" si="14"/>
        <v>4319.0333719999999</v>
      </c>
      <c r="D132" s="223">
        <f t="shared" si="14"/>
        <v>5970.6822620000003</v>
      </c>
      <c r="E132" s="223">
        <f t="shared" si="14"/>
        <v>3646.796961</v>
      </c>
      <c r="F132" s="223">
        <f t="shared" si="14"/>
        <v>4823.6493200000004</v>
      </c>
      <c r="G132" s="223">
        <f t="shared" si="14"/>
        <v>4595.9236090000004</v>
      </c>
      <c r="H132" s="223">
        <f t="shared" si="14"/>
        <v>4581.0172030000003</v>
      </c>
      <c r="I132" s="223">
        <f t="shared" si="14"/>
        <v>3212.2473199999999</v>
      </c>
      <c r="J132" s="223">
        <f t="shared" si="14"/>
        <v>3281.9046039999998</v>
      </c>
      <c r="K132" s="223">
        <f t="shared" si="14"/>
        <v>2731.9341749999999</v>
      </c>
      <c r="L132" s="223">
        <f t="shared" si="14"/>
        <v>3793.205336</v>
      </c>
      <c r="M132" s="223">
        <f t="shared" si="14"/>
        <v>3719.343633</v>
      </c>
      <c r="N132" s="223">
        <f t="shared" si="14"/>
        <v>7316.8681889999998</v>
      </c>
      <c r="O132" s="223">
        <f t="shared" si="14"/>
        <v>5394.242784</v>
      </c>
    </row>
    <row r="133" spans="2:15">
      <c r="B133" s="222" t="s">
        <v>144</v>
      </c>
      <c r="C133" s="223">
        <f t="shared" si="14"/>
        <v>404.732145</v>
      </c>
      <c r="D133" s="223">
        <f t="shared" si="14"/>
        <v>482.13161500000001</v>
      </c>
      <c r="E133" s="223">
        <f t="shared" si="14"/>
        <v>604.07747800000004</v>
      </c>
      <c r="F133" s="223">
        <f t="shared" si="14"/>
        <v>775.97597499999995</v>
      </c>
      <c r="G133" s="223">
        <f t="shared" si="14"/>
        <v>667.67046800000003</v>
      </c>
      <c r="H133" s="223">
        <f t="shared" si="14"/>
        <v>897.52717800000005</v>
      </c>
      <c r="I133" s="223">
        <f t="shared" si="14"/>
        <v>895.42524700000001</v>
      </c>
      <c r="J133" s="223">
        <f t="shared" si="14"/>
        <v>958.50606300000004</v>
      </c>
      <c r="K133" s="223">
        <f t="shared" si="14"/>
        <v>972.51861699999995</v>
      </c>
      <c r="L133" s="223">
        <f t="shared" si="14"/>
        <v>826.34228099999996</v>
      </c>
      <c r="M133" s="223">
        <f t="shared" si="14"/>
        <v>758.14945899999998</v>
      </c>
      <c r="N133" s="223">
        <f t="shared" si="14"/>
        <v>497.89184699999998</v>
      </c>
      <c r="O133" s="223">
        <f t="shared" si="14"/>
        <v>487.55590599999999</v>
      </c>
    </row>
    <row r="134" spans="2:15">
      <c r="B134" s="222" t="s">
        <v>145</v>
      </c>
      <c r="C134" s="223">
        <f t="shared" si="14"/>
        <v>109.57487399999999</v>
      </c>
      <c r="D134" s="223">
        <f t="shared" si="14"/>
        <v>166.15012899999999</v>
      </c>
      <c r="E134" s="223">
        <f t="shared" si="14"/>
        <v>261.97860300000002</v>
      </c>
      <c r="F134" s="223">
        <f t="shared" si="14"/>
        <v>477.846093</v>
      </c>
      <c r="G134" s="223">
        <f t="shared" si="14"/>
        <v>379.26881700000001</v>
      </c>
      <c r="H134" s="223">
        <f t="shared" si="14"/>
        <v>740.99772700000005</v>
      </c>
      <c r="I134" s="223">
        <f t="shared" si="14"/>
        <v>775.05760599999996</v>
      </c>
      <c r="J134" s="223">
        <f t="shared" si="14"/>
        <v>722.86748999999998</v>
      </c>
      <c r="K134" s="223">
        <f t="shared" si="14"/>
        <v>745.49877100000003</v>
      </c>
      <c r="L134" s="223">
        <f t="shared" si="14"/>
        <v>454.73186500000003</v>
      </c>
      <c r="M134" s="223">
        <f t="shared" si="14"/>
        <v>303.08525700000001</v>
      </c>
      <c r="N134" s="223">
        <f t="shared" si="14"/>
        <v>69.970612000000003</v>
      </c>
      <c r="O134" s="223">
        <f t="shared" si="14"/>
        <v>68.978292999999994</v>
      </c>
    </row>
    <row r="135" spans="2:15">
      <c r="B135" s="222" t="s">
        <v>9</v>
      </c>
      <c r="C135" s="223">
        <f t="shared" si="14"/>
        <v>2529.9413220000001</v>
      </c>
      <c r="D135" s="223">
        <f t="shared" si="14"/>
        <v>2671.4589550000001</v>
      </c>
      <c r="E135" s="223">
        <f t="shared" si="14"/>
        <v>2391.3661729999999</v>
      </c>
      <c r="F135" s="223">
        <f t="shared" si="14"/>
        <v>2591.305206</v>
      </c>
      <c r="G135" s="223">
        <f t="shared" si="14"/>
        <v>2489.5731639999999</v>
      </c>
      <c r="H135" s="223">
        <f t="shared" si="14"/>
        <v>2544.8537660000002</v>
      </c>
      <c r="I135" s="223">
        <f t="shared" si="14"/>
        <v>2419.8174090000002</v>
      </c>
      <c r="J135" s="223">
        <f t="shared" si="14"/>
        <v>2457.5535610000002</v>
      </c>
      <c r="K135" s="223">
        <f t="shared" si="14"/>
        <v>2354.265065</v>
      </c>
      <c r="L135" s="223">
        <f t="shared" si="14"/>
        <v>2352.8584179999998</v>
      </c>
      <c r="M135" s="223">
        <f t="shared" si="14"/>
        <v>2483.371537</v>
      </c>
      <c r="N135" s="223">
        <f t="shared" si="14"/>
        <v>2465.2001190000001</v>
      </c>
      <c r="O135" s="223">
        <f t="shared" si="14"/>
        <v>2334.6439070000001</v>
      </c>
    </row>
    <row r="136" spans="2:15">
      <c r="B136" s="222" t="s">
        <v>146</v>
      </c>
      <c r="C136" s="223">
        <f t="shared" si="14"/>
        <v>190.76081500000001</v>
      </c>
      <c r="D136" s="223">
        <f t="shared" si="14"/>
        <v>196.595054</v>
      </c>
      <c r="E136" s="223">
        <f t="shared" si="14"/>
        <v>180.749244</v>
      </c>
      <c r="F136" s="223">
        <f t="shared" si="14"/>
        <v>200.77951049999999</v>
      </c>
      <c r="G136" s="223">
        <f t="shared" si="14"/>
        <v>175.342614</v>
      </c>
      <c r="H136" s="223">
        <f t="shared" si="14"/>
        <v>154.68218999999999</v>
      </c>
      <c r="I136" s="223">
        <f t="shared" si="14"/>
        <v>156.89450450000001</v>
      </c>
      <c r="J136" s="223">
        <f t="shared" si="14"/>
        <v>161.3076265</v>
      </c>
      <c r="K136" s="223">
        <f t="shared" si="14"/>
        <v>182.311137</v>
      </c>
      <c r="L136" s="223">
        <f t="shared" si="14"/>
        <v>188.01692750000001</v>
      </c>
      <c r="M136" s="223">
        <f t="shared" si="14"/>
        <v>169.37619900000001</v>
      </c>
      <c r="N136" s="223">
        <f t="shared" si="14"/>
        <v>144.5833825</v>
      </c>
      <c r="O136" s="223">
        <f t="shared" si="14"/>
        <v>160.99247</v>
      </c>
    </row>
    <row r="137" spans="2:15">
      <c r="B137" s="222" t="s">
        <v>147</v>
      </c>
      <c r="C137" s="223">
        <f t="shared" si="14"/>
        <v>69.912847999999997</v>
      </c>
      <c r="D137" s="223">
        <f t="shared" si="14"/>
        <v>63.503646000000003</v>
      </c>
      <c r="E137" s="223">
        <f t="shared" si="14"/>
        <v>61.891773000000001</v>
      </c>
      <c r="F137" s="223">
        <f t="shared" si="14"/>
        <v>67.360605500000005</v>
      </c>
      <c r="G137" s="223">
        <f t="shared" si="14"/>
        <v>64.179035999999996</v>
      </c>
      <c r="H137" s="223">
        <f t="shared" si="14"/>
        <v>36.450611000000002</v>
      </c>
      <c r="I137" s="223">
        <f t="shared" si="14"/>
        <v>62.621202500000003</v>
      </c>
      <c r="J137" s="223">
        <f t="shared" si="14"/>
        <v>65.608477500000006</v>
      </c>
      <c r="K137" s="223">
        <f t="shared" si="14"/>
        <v>66.150598000000002</v>
      </c>
      <c r="L137" s="223">
        <f t="shared" si="14"/>
        <v>63.723962499999999</v>
      </c>
      <c r="M137" s="223">
        <f t="shared" si="14"/>
        <v>61.976173000000003</v>
      </c>
      <c r="N137" s="223">
        <f t="shared" si="14"/>
        <v>60.149876499999998</v>
      </c>
      <c r="O137" s="223">
        <f t="shared" si="14"/>
        <v>65.337529000000004</v>
      </c>
    </row>
    <row r="138" spans="2:15">
      <c r="B138" s="222" t="s">
        <v>148</v>
      </c>
      <c r="C138" s="223">
        <f t="shared" si="14"/>
        <v>299.41570200000001</v>
      </c>
      <c r="D138" s="223">
        <f t="shared" si="14"/>
        <v>303.48312600000003</v>
      </c>
      <c r="E138" s="223">
        <f t="shared" si="14"/>
        <v>284.79867300000001</v>
      </c>
      <c r="F138" s="223">
        <f t="shared" si="14"/>
        <v>309.41373599999997</v>
      </c>
      <c r="G138" s="223">
        <f t="shared" si="14"/>
        <v>274.24882200000002</v>
      </c>
      <c r="H138" s="223">
        <f t="shared" si="14"/>
        <v>282.125969</v>
      </c>
      <c r="I138" s="223">
        <f t="shared" si="14"/>
        <v>285.594067</v>
      </c>
      <c r="J138" s="223">
        <f t="shared" si="14"/>
        <v>325.694455</v>
      </c>
      <c r="K138" s="223">
        <f t="shared" si="14"/>
        <v>320.61544400000002</v>
      </c>
      <c r="L138" s="223">
        <f t="shared" si="14"/>
        <v>301.51870000000002</v>
      </c>
      <c r="M138" s="223">
        <f t="shared" si="14"/>
        <v>309.88871</v>
      </c>
      <c r="N138" s="223">
        <f t="shared" si="14"/>
        <v>308.26278200000002</v>
      </c>
      <c r="O138" s="223">
        <f t="shared" si="14"/>
        <v>299.682208</v>
      </c>
    </row>
    <row r="139" spans="2:15">
      <c r="B139" s="222" t="s">
        <v>149</v>
      </c>
      <c r="C139" s="223">
        <f t="shared" si="14"/>
        <v>20570.940449220001</v>
      </c>
      <c r="D139" s="223">
        <f t="shared" si="14"/>
        <v>23456.305547982003</v>
      </c>
      <c r="E139" s="223">
        <f t="shared" si="14"/>
        <v>19566.203000497997</v>
      </c>
      <c r="F139" s="223">
        <f t="shared" si="14"/>
        <v>19789.102954209997</v>
      </c>
      <c r="G139" s="223">
        <f t="shared" si="14"/>
        <v>18759.471686008004</v>
      </c>
      <c r="H139" s="223">
        <f t="shared" si="14"/>
        <v>19516.432830092002</v>
      </c>
      <c r="I139" s="223">
        <f t="shared" si="14"/>
        <v>19660.110532657996</v>
      </c>
      <c r="J139" s="223">
        <f t="shared" si="14"/>
        <v>22320.961121160006</v>
      </c>
      <c r="K139" s="223">
        <f t="shared" si="14"/>
        <v>21124.489139887999</v>
      </c>
      <c r="L139" s="223">
        <f t="shared" si="14"/>
        <v>20175.411687568005</v>
      </c>
      <c r="M139" s="223">
        <f t="shared" si="14"/>
        <v>19869.743450269994</v>
      </c>
      <c r="N139" s="223">
        <f t="shared" si="14"/>
        <v>21527.287125470004</v>
      </c>
      <c r="O139" s="223">
        <f t="shared" si="14"/>
        <v>21236.234529050002</v>
      </c>
    </row>
    <row r="140" spans="2:15">
      <c r="B140" s="222" t="s">
        <v>150</v>
      </c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</row>
    <row r="141" spans="2:15">
      <c r="B141" s="222" t="s">
        <v>151</v>
      </c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</row>
    <row r="142" spans="2:15">
      <c r="B142" s="222" t="s">
        <v>152</v>
      </c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</row>
    <row r="143" spans="2:15">
      <c r="B143" s="224" t="s">
        <v>153</v>
      </c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</row>
    <row r="145" spans="2:15">
      <c r="B145" s="226" t="s">
        <v>17</v>
      </c>
      <c r="C145" s="227">
        <f>SUM(C126,C132:C134,C137:C138)</f>
        <v>7689.097773644</v>
      </c>
      <c r="D145" s="227">
        <f t="shared" ref="D145:N145" si="15">SUM(D126,D132:D134,D137:D138)</f>
        <v>9112.8729192559986</v>
      </c>
      <c r="E145" s="227">
        <f t="shared" si="15"/>
        <v>7342.6839225720014</v>
      </c>
      <c r="F145" s="227">
        <f t="shared" si="15"/>
        <v>8586.3968494520013</v>
      </c>
      <c r="G145" s="227">
        <f t="shared" si="15"/>
        <v>7906.2483841880003</v>
      </c>
      <c r="H145" s="227">
        <f t="shared" si="15"/>
        <v>8472.8458267760016</v>
      </c>
      <c r="I145" s="227">
        <f t="shared" si="15"/>
        <v>6857.0394554100012</v>
      </c>
      <c r="J145" s="227">
        <f t="shared" si="15"/>
        <v>6936.1514743259986</v>
      </c>
      <c r="K145" s="227">
        <f t="shared" si="15"/>
        <v>6091.1583388280005</v>
      </c>
      <c r="L145" s="227">
        <f t="shared" si="15"/>
        <v>6664.3173901680002</v>
      </c>
      <c r="M145" s="227">
        <f t="shared" si="15"/>
        <v>6271.6415414600006</v>
      </c>
      <c r="N145" s="227">
        <f t="shared" si="15"/>
        <v>10910.5847798</v>
      </c>
      <c r="O145" s="227">
        <f>SUM(O126,O132:O134,O137:O138)</f>
        <v>10942.018949776</v>
      </c>
    </row>
    <row r="146" spans="2:15">
      <c r="B146" s="224" t="s">
        <v>16</v>
      </c>
      <c r="C146" s="225">
        <f>SUM(C127:C131,C135:C136)</f>
        <v>12881.842675576001</v>
      </c>
      <c r="D146" s="225">
        <f t="shared" ref="D146:O146" si="16">SUM(D127:D131,D135:D136)</f>
        <v>14343.432628725999</v>
      </c>
      <c r="E146" s="225">
        <f t="shared" si="16"/>
        <v>12223.519077926001</v>
      </c>
      <c r="F146" s="225">
        <f t="shared" si="16"/>
        <v>11202.706104757999</v>
      </c>
      <c r="G146" s="225">
        <f t="shared" si="16"/>
        <v>10853.223301819999</v>
      </c>
      <c r="H146" s="225">
        <f t="shared" si="16"/>
        <v>11043.587003315999</v>
      </c>
      <c r="I146" s="225">
        <f t="shared" si="16"/>
        <v>12803.071077248002</v>
      </c>
      <c r="J146" s="225">
        <f t="shared" si="16"/>
        <v>15384.809646833999</v>
      </c>
      <c r="K146" s="225">
        <f t="shared" si="16"/>
        <v>15033.330801060001</v>
      </c>
      <c r="L146" s="225">
        <f t="shared" si="16"/>
        <v>13511.094297399999</v>
      </c>
      <c r="M146" s="225">
        <f t="shared" si="16"/>
        <v>13598.101908809998</v>
      </c>
      <c r="N146" s="225">
        <f t="shared" si="16"/>
        <v>10616.702345670001</v>
      </c>
      <c r="O146" s="225">
        <f t="shared" si="16"/>
        <v>10294.215579274</v>
      </c>
    </row>
    <row r="148" spans="2:15">
      <c r="B148" s="226" t="s">
        <v>17</v>
      </c>
      <c r="C148" s="228">
        <f t="shared" ref="C148:N148" si="17">SUM(ROUND(C126/SUM(C145:C146)*100,1),ROUND(C132/SUM(C145:C146)*100,1),ROUND(C133/SUM(C145:C146)*100,1),ROUND(C134/SUM(C145:C146)*100,1),ROUND(C137/SUM(C145:C146)*100,1),ROUND(C138/SUM(C145:C146)*100,1))</f>
        <v>37.4</v>
      </c>
      <c r="D148" s="228">
        <f t="shared" si="17"/>
        <v>39</v>
      </c>
      <c r="E148" s="228">
        <f t="shared" si="17"/>
        <v>37.499999999999993</v>
      </c>
      <c r="F148" s="228">
        <f t="shared" si="17"/>
        <v>43.4</v>
      </c>
      <c r="G148" s="228">
        <f t="shared" si="17"/>
        <v>42.199999999999996</v>
      </c>
      <c r="H148" s="228">
        <f t="shared" si="17"/>
        <v>43.4</v>
      </c>
      <c r="I148" s="228">
        <f t="shared" si="17"/>
        <v>34.9</v>
      </c>
      <c r="J148" s="228">
        <f t="shared" si="17"/>
        <v>31.099999999999998</v>
      </c>
      <c r="K148" s="228">
        <f t="shared" si="17"/>
        <v>28.7</v>
      </c>
      <c r="L148" s="228">
        <f t="shared" si="17"/>
        <v>33.1</v>
      </c>
      <c r="M148" s="228">
        <f t="shared" si="17"/>
        <v>31.5</v>
      </c>
      <c r="N148" s="228">
        <f t="shared" si="17"/>
        <v>50.599999999999987</v>
      </c>
      <c r="O148" s="228">
        <f>SUM(ROUND(O126/SUM(O145:O146)*100,1),ROUND(O132/SUM(O145:O146)*100,1),ROUND(O133/SUM(O145:O146)*100,1),ROUND(O134/SUM(O145:O146)*100,1),ROUND(O137/SUM(O145:O146)*100,1),ROUND(O138/SUM(O145:O146)*100,1))</f>
        <v>51.499999999999993</v>
      </c>
    </row>
    <row r="149" spans="2:15">
      <c r="B149" s="224" t="s">
        <v>16</v>
      </c>
      <c r="C149" s="229">
        <f t="shared" ref="C149:N149" si="18">100-C148</f>
        <v>62.6</v>
      </c>
      <c r="D149" s="229">
        <f t="shared" si="18"/>
        <v>61</v>
      </c>
      <c r="E149" s="229">
        <f t="shared" si="18"/>
        <v>62.500000000000007</v>
      </c>
      <c r="F149" s="229">
        <f t="shared" si="18"/>
        <v>56.6</v>
      </c>
      <c r="G149" s="229">
        <f t="shared" si="18"/>
        <v>57.800000000000004</v>
      </c>
      <c r="H149" s="229">
        <f t="shared" si="18"/>
        <v>56.6</v>
      </c>
      <c r="I149" s="229">
        <f t="shared" si="18"/>
        <v>65.099999999999994</v>
      </c>
      <c r="J149" s="229">
        <f t="shared" si="18"/>
        <v>68.900000000000006</v>
      </c>
      <c r="K149" s="229">
        <f t="shared" si="18"/>
        <v>71.3</v>
      </c>
      <c r="L149" s="229">
        <f t="shared" si="18"/>
        <v>66.900000000000006</v>
      </c>
      <c r="M149" s="229">
        <f t="shared" si="18"/>
        <v>68.5</v>
      </c>
      <c r="N149" s="229">
        <f t="shared" si="18"/>
        <v>49.400000000000013</v>
      </c>
      <c r="O149" s="229">
        <f t="shared" ref="O149" si="19">100-O148</f>
        <v>48.500000000000007</v>
      </c>
    </row>
    <row r="153" spans="2:15">
      <c r="B153" s="151" t="s">
        <v>24</v>
      </c>
    </row>
    <row r="154" spans="2:15">
      <c r="B154" s="226"/>
      <c r="C154" s="226"/>
      <c r="D154" s="316" t="s">
        <v>22</v>
      </c>
      <c r="E154" s="316" t="s">
        <v>23</v>
      </c>
    </row>
    <row r="155" spans="2:15">
      <c r="B155" s="224" t="s">
        <v>156</v>
      </c>
      <c r="C155" s="224" t="s">
        <v>157</v>
      </c>
      <c r="D155" s="317"/>
      <c r="E155" s="317"/>
    </row>
    <row r="156" spans="2:15">
      <c r="B156" s="233">
        <f>DATE(YEAR(Dat_01!B$2),MONTH(Dat_01!B$2),Dat_01!A180)</f>
        <v>43800</v>
      </c>
      <c r="C156" s="222">
        <f>Dat_01!A180</f>
        <v>1</v>
      </c>
      <c r="D156" s="234">
        <f>Dat_01!W180</f>
        <v>121.40765300000001</v>
      </c>
      <c r="E156" s="235">
        <f>Dat_01!V180</f>
        <v>21.1391050554051</v>
      </c>
    </row>
    <row r="157" spans="2:15">
      <c r="B157" s="233">
        <f>DATE(YEAR(Dat_01!B$2),MONTH(Dat_01!B$2),Dat_01!A181)</f>
        <v>43801</v>
      </c>
      <c r="C157" s="222">
        <f>Dat_01!A181</f>
        <v>2</v>
      </c>
      <c r="D157" s="234">
        <f>Dat_01!W181</f>
        <v>258.667485</v>
      </c>
      <c r="E157" s="235">
        <f>Dat_01!V181</f>
        <v>35.077620013757738</v>
      </c>
    </row>
    <row r="158" spans="2:15">
      <c r="B158" s="233">
        <f>DATE(YEAR(Dat_01!B$2),MONTH(Dat_01!B$2),Dat_01!A182)</f>
        <v>43802</v>
      </c>
      <c r="C158" s="222">
        <f>Dat_01!A182</f>
        <v>3</v>
      </c>
      <c r="D158" s="234">
        <f>Dat_01!W182</f>
        <v>171.021649</v>
      </c>
      <c r="E158" s="235">
        <f>Dat_01!V182</f>
        <v>22.863263296425082</v>
      </c>
    </row>
    <row r="159" spans="2:15">
      <c r="B159" s="233">
        <f>DATE(YEAR(Dat_01!B$2),MONTH(Dat_01!B$2),Dat_01!A183)</f>
        <v>43803</v>
      </c>
      <c r="C159" s="222">
        <f>Dat_01!A183</f>
        <v>4</v>
      </c>
      <c r="D159" s="234">
        <f>Dat_01!W183</f>
        <v>135.94273999999999</v>
      </c>
      <c r="E159" s="235">
        <f>Dat_01!V183</f>
        <v>18.157116230888903</v>
      </c>
    </row>
    <row r="160" spans="2:15">
      <c r="B160" s="233">
        <f>DATE(YEAR(Dat_01!B$2),MONTH(Dat_01!B$2),Dat_01!A184)</f>
        <v>43804</v>
      </c>
      <c r="C160" s="222">
        <f>Dat_01!A184</f>
        <v>5</v>
      </c>
      <c r="D160" s="234">
        <f>Dat_01!W184</f>
        <v>170.417788</v>
      </c>
      <c r="E160" s="235">
        <f>Dat_01!V184</f>
        <v>22.821374507366208</v>
      </c>
    </row>
    <row r="161" spans="2:5">
      <c r="B161" s="233">
        <f>DATE(YEAR(Dat_01!B$2),MONTH(Dat_01!B$2),Dat_01!A185)</f>
        <v>43805</v>
      </c>
      <c r="C161" s="222">
        <f>Dat_01!A185</f>
        <v>6</v>
      </c>
      <c r="D161" s="234">
        <f>Dat_01!W185</f>
        <v>48.835720000000002</v>
      </c>
      <c r="E161" s="235">
        <f>Dat_01!V185</f>
        <v>7.7385760778648338</v>
      </c>
    </row>
    <row r="162" spans="2:5">
      <c r="B162" s="233">
        <f>DATE(YEAR(Dat_01!B$2),MONTH(Dat_01!B$2),Dat_01!A186)</f>
        <v>43806</v>
      </c>
      <c r="C162" s="222">
        <f>Dat_01!A186</f>
        <v>7</v>
      </c>
      <c r="D162" s="234">
        <f>Dat_01!W186</f>
        <v>36.269493000000004</v>
      </c>
      <c r="E162" s="235">
        <f>Dat_01!V186</f>
        <v>5.9991324011844736</v>
      </c>
    </row>
    <row r="163" spans="2:5">
      <c r="B163" s="233">
        <f>DATE(YEAR(Dat_01!B$2),MONTH(Dat_01!B$2),Dat_01!A187)</f>
        <v>43807</v>
      </c>
      <c r="C163" s="222">
        <f>Dat_01!A187</f>
        <v>8</v>
      </c>
      <c r="D163" s="234">
        <f>Dat_01!W187</f>
        <v>120.54356900000001</v>
      </c>
      <c r="E163" s="235">
        <f>Dat_01!V187</f>
        <v>19.784050337799624</v>
      </c>
    </row>
    <row r="164" spans="2:5">
      <c r="B164" s="233">
        <f>DATE(YEAR(Dat_01!B$2),MONTH(Dat_01!B$2),Dat_01!A188)</f>
        <v>43808</v>
      </c>
      <c r="C164" s="222">
        <f>Dat_01!A188</f>
        <v>9</v>
      </c>
      <c r="D164" s="234">
        <f>Dat_01!W188</f>
        <v>204.61987400000001</v>
      </c>
      <c r="E164" s="235">
        <f>Dat_01!V188</f>
        <v>28.050946208678962</v>
      </c>
    </row>
    <row r="165" spans="2:5">
      <c r="B165" s="233">
        <f>DATE(YEAR(Dat_01!B$2),MONTH(Dat_01!B$2),Dat_01!A189)</f>
        <v>43809</v>
      </c>
      <c r="C165" s="222">
        <f>Dat_01!A189</f>
        <v>10</v>
      </c>
      <c r="D165" s="234">
        <f>Dat_01!W189</f>
        <v>158.38587100000001</v>
      </c>
      <c r="E165" s="235">
        <f>Dat_01!V189</f>
        <v>20.722680446632811</v>
      </c>
    </row>
    <row r="166" spans="2:5">
      <c r="B166" s="233">
        <f>DATE(YEAR(Dat_01!B$2),MONTH(Dat_01!B$2),Dat_01!A190)</f>
        <v>43810</v>
      </c>
      <c r="C166" s="222">
        <f>Dat_01!A190</f>
        <v>11</v>
      </c>
      <c r="D166" s="234">
        <f>Dat_01!W190</f>
        <v>249.89770899999999</v>
      </c>
      <c r="E166" s="235">
        <f>Dat_01!V190</f>
        <v>31.862078083648189</v>
      </c>
    </row>
    <row r="167" spans="2:5">
      <c r="B167" s="233">
        <f>DATE(YEAR(Dat_01!B$2),MONTH(Dat_01!B$2),Dat_01!A191)</f>
        <v>43811</v>
      </c>
      <c r="C167" s="222">
        <f>Dat_01!A191</f>
        <v>12</v>
      </c>
      <c r="D167" s="234">
        <f>Dat_01!W191</f>
        <v>374.38168199999996</v>
      </c>
      <c r="E167" s="235">
        <f>Dat_01!V191</f>
        <v>45.357717611470292</v>
      </c>
    </row>
    <row r="168" spans="2:5">
      <c r="B168" s="233">
        <f>DATE(YEAR(Dat_01!B$2),MONTH(Dat_01!B$2),Dat_01!A192)</f>
        <v>43812</v>
      </c>
      <c r="C168" s="222">
        <f>Dat_01!A192</f>
        <v>13</v>
      </c>
      <c r="D168" s="234">
        <f>Dat_01!W192</f>
        <v>396.89754200000004</v>
      </c>
      <c r="E168" s="235">
        <f>Dat_01!V192</f>
        <v>48.628360057983919</v>
      </c>
    </row>
    <row r="169" spans="2:5">
      <c r="B169" s="233">
        <f>DATE(YEAR(Dat_01!B$2),MONTH(Dat_01!B$2),Dat_01!A193)</f>
        <v>43813</v>
      </c>
      <c r="C169" s="222">
        <f>Dat_01!A193</f>
        <v>14</v>
      </c>
      <c r="D169" s="234">
        <f>Dat_01!W193</f>
        <v>305.27396500000003</v>
      </c>
      <c r="E169" s="235">
        <f>Dat_01!V193</f>
        <v>42.551869436938567</v>
      </c>
    </row>
    <row r="170" spans="2:5">
      <c r="B170" s="233">
        <f>DATE(YEAR(Dat_01!B$2),MONTH(Dat_01!B$2),Dat_01!A194)</f>
        <v>43814</v>
      </c>
      <c r="C170" s="222">
        <f>Dat_01!A194</f>
        <v>15</v>
      </c>
      <c r="D170" s="234">
        <f>Dat_01!W194</f>
        <v>189.43809200000001</v>
      </c>
      <c r="E170" s="235">
        <f>Dat_01!V194</f>
        <v>30.372052996678256</v>
      </c>
    </row>
    <row r="171" spans="2:5">
      <c r="B171" s="233">
        <f>DATE(YEAR(Dat_01!B$2),MONTH(Dat_01!B$2),Dat_01!A195)</f>
        <v>43815</v>
      </c>
      <c r="C171" s="222">
        <f>Dat_01!A195</f>
        <v>16</v>
      </c>
      <c r="D171" s="234">
        <f>Dat_01!W195</f>
        <v>250.930824</v>
      </c>
      <c r="E171" s="235">
        <f>Dat_01!V195</f>
        <v>33.143680481111808</v>
      </c>
    </row>
    <row r="172" spans="2:5">
      <c r="B172" s="233">
        <f>DATE(YEAR(Dat_01!B$2),MONTH(Dat_01!B$2),Dat_01!A196)</f>
        <v>43816</v>
      </c>
      <c r="C172" s="222">
        <f>Dat_01!A196</f>
        <v>17</v>
      </c>
      <c r="D172" s="234">
        <f>Dat_01!W196</f>
        <v>112.16932700000001</v>
      </c>
      <c r="E172" s="235">
        <f>Dat_01!V196</f>
        <v>16.294307546962639</v>
      </c>
    </row>
    <row r="173" spans="2:5">
      <c r="B173" s="233">
        <f>DATE(YEAR(Dat_01!B$2),MONTH(Dat_01!B$2),Dat_01!A197)</f>
        <v>43817</v>
      </c>
      <c r="C173" s="222">
        <f>Dat_01!A197</f>
        <v>18</v>
      </c>
      <c r="D173" s="234">
        <f>Dat_01!W197</f>
        <v>201.433224</v>
      </c>
      <c r="E173" s="235">
        <f>Dat_01!V197</f>
        <v>27.034075620380094</v>
      </c>
    </row>
    <row r="174" spans="2:5">
      <c r="B174" s="233">
        <f>DATE(YEAR(Dat_01!B$2),MONTH(Dat_01!B$2),Dat_01!A198)</f>
        <v>43818</v>
      </c>
      <c r="C174" s="222">
        <f>Dat_01!A198</f>
        <v>19</v>
      </c>
      <c r="D174" s="234">
        <f>Dat_01!W198</f>
        <v>312.23938400000003</v>
      </c>
      <c r="E174" s="235">
        <f>Dat_01!V198</f>
        <v>40.678248301295071</v>
      </c>
    </row>
    <row r="175" spans="2:5">
      <c r="B175" s="233">
        <f>DATE(YEAR(Dat_01!B$2),MONTH(Dat_01!B$2),Dat_01!A199)</f>
        <v>43819</v>
      </c>
      <c r="C175" s="222">
        <f>Dat_01!A199</f>
        <v>20</v>
      </c>
      <c r="D175" s="234">
        <f>Dat_01!W199</f>
        <v>307.53519399999999</v>
      </c>
      <c r="E175" s="235">
        <f>Dat_01!V199</f>
        <v>40.415577272445688</v>
      </c>
    </row>
    <row r="176" spans="2:5">
      <c r="B176" s="233">
        <f>DATE(YEAR(Dat_01!B$2),MONTH(Dat_01!B$2),Dat_01!A200)</f>
        <v>43820</v>
      </c>
      <c r="C176" s="222">
        <f>Dat_01!A200</f>
        <v>21</v>
      </c>
      <c r="D176" s="234">
        <f>Dat_01!W200</f>
        <v>236.26341699999998</v>
      </c>
      <c r="E176" s="235">
        <f>Dat_01!V200</f>
        <v>35.767129130441369</v>
      </c>
    </row>
    <row r="177" spans="2:27">
      <c r="B177" s="233">
        <f>DATE(YEAR(Dat_01!B$2),MONTH(Dat_01!B$2),Dat_01!A201)</f>
        <v>43821</v>
      </c>
      <c r="C177" s="222">
        <f>Dat_01!A201</f>
        <v>22</v>
      </c>
      <c r="D177" s="234">
        <f>Dat_01!W201</f>
        <v>235.06615900000003</v>
      </c>
      <c r="E177" s="235">
        <f>Dat_01!V201</f>
        <v>36.828992231143879</v>
      </c>
    </row>
    <row r="178" spans="2:27">
      <c r="B178" s="233">
        <f>DATE(YEAR(Dat_01!B$2),MONTH(Dat_01!B$2),Dat_01!A202)</f>
        <v>43822</v>
      </c>
      <c r="C178" s="222">
        <f>Dat_01!A202</f>
        <v>23</v>
      </c>
      <c r="D178" s="234">
        <f>Dat_01!W202</f>
        <v>209.914142</v>
      </c>
      <c r="E178" s="235">
        <f>Dat_01!V202</f>
        <v>30.32527003285103</v>
      </c>
    </row>
    <row r="179" spans="2:27">
      <c r="B179" s="233">
        <f>DATE(YEAR(Dat_01!B$2),MONTH(Dat_01!B$2),Dat_01!A203)</f>
        <v>43823</v>
      </c>
      <c r="C179" s="222">
        <f>Dat_01!A203</f>
        <v>24</v>
      </c>
      <c r="D179" s="234">
        <f>Dat_01!W203</f>
        <v>119.250525</v>
      </c>
      <c r="E179" s="235">
        <f>Dat_01!V203</f>
        <v>19.745911033503042</v>
      </c>
    </row>
    <row r="180" spans="2:27">
      <c r="B180" s="233">
        <f>DATE(YEAR(Dat_01!B$2),MONTH(Dat_01!B$2),Dat_01!A204)</f>
        <v>43824</v>
      </c>
      <c r="C180" s="222">
        <f>Dat_01!A204</f>
        <v>25</v>
      </c>
      <c r="D180" s="234">
        <f>Dat_01!W204</f>
        <v>87.960003999999998</v>
      </c>
      <c r="E180" s="235">
        <f>Dat_01!V204</f>
        <v>15.278724932168398</v>
      </c>
    </row>
    <row r="181" spans="2:27">
      <c r="B181" s="233">
        <f>DATE(YEAR(Dat_01!B$2),MONTH(Dat_01!B$2),Dat_01!A205)</f>
        <v>43825</v>
      </c>
      <c r="C181" s="222">
        <f>Dat_01!A205</f>
        <v>26</v>
      </c>
      <c r="D181" s="234">
        <f>Dat_01!W205</f>
        <v>112.09146700000001</v>
      </c>
      <c r="E181" s="235">
        <f>Dat_01!V205</f>
        <v>17.655979964818798</v>
      </c>
    </row>
    <row r="182" spans="2:27">
      <c r="B182" s="233">
        <f>DATE(YEAR(Dat_01!B$2),MONTH(Dat_01!B$2),Dat_01!A206)</f>
        <v>43826</v>
      </c>
      <c r="C182" s="222">
        <f>Dat_01!A206</f>
        <v>27</v>
      </c>
      <c r="D182" s="234">
        <f>Dat_01!W206</f>
        <v>68.791200000000003</v>
      </c>
      <c r="E182" s="235">
        <f>Dat_01!V206</f>
        <v>10.797358082775622</v>
      </c>
    </row>
    <row r="183" spans="2:27">
      <c r="B183" s="233">
        <f>DATE(YEAR(Dat_01!B$2),MONTH(Dat_01!B$2),Dat_01!A207)</f>
        <v>43827</v>
      </c>
      <c r="C183" s="222">
        <f>Dat_01!A207</f>
        <v>28</v>
      </c>
      <c r="D183" s="234">
        <f>Dat_01!W207</f>
        <v>58.381529</v>
      </c>
      <c r="E183" s="235">
        <f>Dat_01!V207</f>
        <v>9.5487026444879355</v>
      </c>
    </row>
    <row r="184" spans="2:27">
      <c r="B184" s="233">
        <f>DATE(YEAR(Dat_01!B$2),MONTH(Dat_01!B$2),Dat_01!A208)</f>
        <v>43828</v>
      </c>
      <c r="C184" s="222">
        <f>Dat_01!A208</f>
        <v>29</v>
      </c>
      <c r="D184" s="234">
        <f>Dat_01!W208</f>
        <v>51.105222999999995</v>
      </c>
      <c r="E184" s="235">
        <f>Dat_01!V208</f>
        <v>8.6497489981749727</v>
      </c>
    </row>
    <row r="185" spans="2:27">
      <c r="B185" s="233">
        <f>DATE(YEAR(Dat_01!B$2),MONTH(Dat_01!B$2),Dat_01!A209)</f>
        <v>43829</v>
      </c>
      <c r="C185" s="222">
        <f>Dat_01!A209</f>
        <v>30</v>
      </c>
      <c r="D185" s="234">
        <f>Dat_01!W209</f>
        <v>48.096262000000003</v>
      </c>
      <c r="E185" s="235">
        <f>Dat_01!V209</f>
        <v>7.8792749752677205</v>
      </c>
    </row>
    <row r="186" spans="2:27">
      <c r="B186" s="233">
        <f>DATE(YEAR(Dat_01!B$2),MONTH(Dat_01!B$2),Dat_01!A210)</f>
        <v>43830</v>
      </c>
      <c r="C186" s="222">
        <f>Dat_01!A210</f>
        <v>31</v>
      </c>
      <c r="D186" s="234">
        <f>Dat_01!W210</f>
        <v>41.014071000000001</v>
      </c>
      <c r="E186" s="235">
        <f>Dat_01!V210</f>
        <v>6.8258052047349649</v>
      </c>
    </row>
    <row r="187" spans="2:27">
      <c r="B187" s="236"/>
      <c r="C187" s="222"/>
      <c r="D187" s="234"/>
      <c r="E187" s="234"/>
    </row>
    <row r="188" spans="2:27">
      <c r="B188" s="222"/>
      <c r="C188" s="222"/>
      <c r="D188" s="222"/>
      <c r="E188" s="222"/>
    </row>
    <row r="189" spans="2:27">
      <c r="B189" s="224" t="s">
        <v>158</v>
      </c>
      <c r="C189" s="224"/>
      <c r="D189" s="237">
        <f>MAX(D156:D186)</f>
        <v>396.89754200000004</v>
      </c>
      <c r="E189" s="238">
        <f>VLOOKUP(D189,D156:E186,2)</f>
        <v>6.8258052047349649</v>
      </c>
    </row>
    <row r="191" spans="2:27">
      <c r="B191" s="151" t="s">
        <v>159</v>
      </c>
    </row>
    <row r="192" spans="2:27">
      <c r="B192" s="239"/>
      <c r="C192" s="240">
        <v>1</v>
      </c>
      <c r="D192" s="240">
        <v>2</v>
      </c>
      <c r="E192" s="240">
        <v>3</v>
      </c>
      <c r="F192" s="240">
        <v>4</v>
      </c>
      <c r="G192" s="240">
        <v>5</v>
      </c>
      <c r="H192" s="240">
        <v>6</v>
      </c>
      <c r="I192" s="240">
        <v>7</v>
      </c>
      <c r="J192" s="240">
        <v>8</v>
      </c>
      <c r="K192" s="240">
        <v>9</v>
      </c>
      <c r="L192" s="240">
        <v>10</v>
      </c>
      <c r="M192" s="240">
        <v>11</v>
      </c>
      <c r="N192" s="240">
        <v>12</v>
      </c>
      <c r="O192" s="240">
        <v>13</v>
      </c>
      <c r="P192" s="240">
        <v>14</v>
      </c>
      <c r="Q192" s="240">
        <v>15</v>
      </c>
      <c r="R192" s="240">
        <v>16</v>
      </c>
      <c r="S192" s="240">
        <v>17</v>
      </c>
      <c r="T192" s="240">
        <v>18</v>
      </c>
      <c r="U192" s="240">
        <v>19</v>
      </c>
      <c r="V192" s="240">
        <v>20</v>
      </c>
      <c r="W192" s="240">
        <v>21</v>
      </c>
      <c r="X192" s="240">
        <v>22</v>
      </c>
      <c r="Y192" s="240">
        <v>23</v>
      </c>
      <c r="Z192" s="240">
        <v>24</v>
      </c>
      <c r="AA192" s="241" t="s">
        <v>15</v>
      </c>
    </row>
    <row r="193" spans="2:27">
      <c r="B193" s="222" t="s">
        <v>5</v>
      </c>
      <c r="C193" s="223">
        <v>9.1643000000000008</v>
      </c>
      <c r="D193" s="223">
        <v>8.7952999999999992</v>
      </c>
      <c r="E193" s="223">
        <v>8.8308</v>
      </c>
      <c r="F193" s="223">
        <v>8.5412999999999997</v>
      </c>
      <c r="G193" s="223">
        <v>8.3774999999999995</v>
      </c>
      <c r="H193" s="223">
        <v>8.2622</v>
      </c>
      <c r="I193" s="223">
        <v>8.3582999999999998</v>
      </c>
      <c r="J193" s="223">
        <v>8.2825000000000006</v>
      </c>
      <c r="K193" s="223">
        <v>7.7236000000000002</v>
      </c>
      <c r="L193" s="223">
        <v>7.4927000000000001</v>
      </c>
      <c r="M193" s="223">
        <v>7.0507</v>
      </c>
      <c r="N193" s="223">
        <v>6.7298999999999998</v>
      </c>
      <c r="O193" s="223">
        <v>5.7401</v>
      </c>
      <c r="P193" s="223">
        <v>5.3799000000000001</v>
      </c>
      <c r="Q193" s="223">
        <v>4.9191000000000003</v>
      </c>
      <c r="R193" s="223">
        <v>5.3954000000000004</v>
      </c>
      <c r="S193" s="223">
        <v>5.3757000000000001</v>
      </c>
      <c r="T193" s="223">
        <v>5.6306000000000003</v>
      </c>
      <c r="U193" s="223">
        <v>5.8331</v>
      </c>
      <c r="V193" s="223">
        <v>6.3666999999999998</v>
      </c>
      <c r="W193" s="223">
        <v>6.7653999999999996</v>
      </c>
      <c r="X193" s="223">
        <v>6.9931999999999999</v>
      </c>
      <c r="Y193" s="223">
        <v>7.2034000000000002</v>
      </c>
      <c r="Z193" s="223">
        <v>7.3064</v>
      </c>
      <c r="AA193" s="223">
        <f t="shared" ref="AA193:AA194" si="20">SUM(C193:Z193)</f>
        <v>170.5181</v>
      </c>
    </row>
    <row r="194" spans="2:27">
      <c r="B194" s="222" t="s">
        <v>10</v>
      </c>
      <c r="C194" s="223">
        <v>25.1279</v>
      </c>
      <c r="D194" s="223">
        <v>24.4297</v>
      </c>
      <c r="E194" s="223">
        <v>23.810600000000001</v>
      </c>
      <c r="F194" s="223">
        <v>23.1861</v>
      </c>
      <c r="G194" s="223">
        <v>22.812899999999999</v>
      </c>
      <c r="H194" s="223">
        <v>22.671399999999998</v>
      </c>
      <c r="I194" s="223">
        <v>22.881699999999999</v>
      </c>
      <c r="J194" s="223">
        <v>22.9634</v>
      </c>
      <c r="K194" s="223">
        <v>23.478000000000002</v>
      </c>
      <c r="L194" s="223">
        <v>24.83</v>
      </c>
      <c r="M194" s="223">
        <v>25.264600000000002</v>
      </c>
      <c r="N194" s="223">
        <v>26.226400000000002</v>
      </c>
      <c r="O194" s="223">
        <v>26.419699999999999</v>
      </c>
      <c r="P194" s="223">
        <v>26.6785</v>
      </c>
      <c r="Q194" s="223">
        <v>26.776900000000001</v>
      </c>
      <c r="R194" s="223">
        <v>26.777999999999999</v>
      </c>
      <c r="S194" s="223">
        <v>26.0596</v>
      </c>
      <c r="T194" s="223">
        <v>25.779599999999999</v>
      </c>
      <c r="U194" s="223">
        <v>26.1708</v>
      </c>
      <c r="V194" s="223">
        <v>27.240100000000002</v>
      </c>
      <c r="W194" s="223">
        <v>27.512499999999999</v>
      </c>
      <c r="X194" s="223">
        <v>27.726400000000002</v>
      </c>
      <c r="Y194" s="223">
        <v>27.232600000000001</v>
      </c>
      <c r="Z194" s="223">
        <v>25.386600000000001</v>
      </c>
      <c r="AA194" s="223">
        <f t="shared" si="20"/>
        <v>607.44400000000019</v>
      </c>
    </row>
    <row r="195" spans="2:27"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</row>
    <row r="196" spans="2:27"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</row>
    <row r="197" spans="2:27">
      <c r="B197" s="224" t="s">
        <v>137</v>
      </c>
      <c r="C197" s="242">
        <f>C193/C194*100</f>
        <v>36.470616326871728</v>
      </c>
      <c r="D197" s="242">
        <f t="shared" ref="D197:AA197" si="21">D193/D194*100</f>
        <v>36.002488773910443</v>
      </c>
      <c r="E197" s="242">
        <f t="shared" si="21"/>
        <v>37.087683636699623</v>
      </c>
      <c r="F197" s="242">
        <f t="shared" si="21"/>
        <v>36.838019330547176</v>
      </c>
      <c r="G197" s="242">
        <f t="shared" si="21"/>
        <v>36.722643767342163</v>
      </c>
      <c r="H197" s="242">
        <f t="shared" si="21"/>
        <v>36.443272140229546</v>
      </c>
      <c r="I197" s="242">
        <f t="shared" si="21"/>
        <v>36.528317389005188</v>
      </c>
      <c r="J197" s="242">
        <f t="shared" si="21"/>
        <v>36.068265152372909</v>
      </c>
      <c r="K197" s="242">
        <f t="shared" si="21"/>
        <v>32.897180339040801</v>
      </c>
      <c r="L197" s="242">
        <f t="shared" si="21"/>
        <v>30.175996778091026</v>
      </c>
      <c r="M197" s="242">
        <f t="shared" si="21"/>
        <v>27.90742778433064</v>
      </c>
      <c r="N197" s="242">
        <f t="shared" si="21"/>
        <v>25.660784552969524</v>
      </c>
      <c r="O197" s="242">
        <f t="shared" si="21"/>
        <v>21.726590385204979</v>
      </c>
      <c r="P197" s="242">
        <f t="shared" si="21"/>
        <v>20.165676481061528</v>
      </c>
      <c r="Q197" s="242">
        <f t="shared" si="21"/>
        <v>18.370685180136611</v>
      </c>
      <c r="R197" s="242">
        <f t="shared" si="21"/>
        <v>20.148629471954592</v>
      </c>
      <c r="S197" s="242">
        <f t="shared" si="21"/>
        <v>20.62848240187877</v>
      </c>
      <c r="T197" s="242">
        <f t="shared" si="21"/>
        <v>21.841300873558943</v>
      </c>
      <c r="U197" s="242">
        <f t="shared" si="21"/>
        <v>22.288581166796583</v>
      </c>
      <c r="V197" s="242">
        <f t="shared" si="21"/>
        <v>23.372528000998528</v>
      </c>
      <c r="W197" s="242">
        <f t="shared" si="21"/>
        <v>24.590277146751475</v>
      </c>
      <c r="X197" s="242">
        <f t="shared" si="21"/>
        <v>25.222170927347221</v>
      </c>
      <c r="Y197" s="242">
        <f t="shared" si="21"/>
        <v>26.451385471824214</v>
      </c>
      <c r="Z197" s="242">
        <f t="shared" si="21"/>
        <v>28.780537764017232</v>
      </c>
      <c r="AA197" s="242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G1" zoomScale="85" zoomScaleNormal="85" workbookViewId="0">
      <selection activeCell="T22" sqref="T22"/>
    </sheetView>
  </sheetViews>
  <sheetFormatPr baseColWidth="10" defaultRowHeight="12.75"/>
  <cols>
    <col min="1" max="1" width="17.5703125" customWidth="1"/>
    <col min="2" max="235" width="14.7109375" customWidth="1"/>
  </cols>
  <sheetData>
    <row r="1" spans="1:13">
      <c r="A1" s="186" t="s">
        <v>30</v>
      </c>
      <c r="B1" s="186" t="s">
        <v>111</v>
      </c>
    </row>
    <row r="2" spans="1:13">
      <c r="A2" s="180" t="s">
        <v>618</v>
      </c>
      <c r="B2" s="180" t="s">
        <v>619</v>
      </c>
    </row>
    <row r="3" spans="1:13">
      <c r="A3" s="296"/>
      <c r="B3" s="180"/>
    </row>
    <row r="4" spans="1:13">
      <c r="A4" s="177" t="s">
        <v>30</v>
      </c>
      <c r="B4" s="318" t="s">
        <v>618</v>
      </c>
      <c r="C4" s="319"/>
      <c r="D4" s="319"/>
      <c r="E4" s="319"/>
      <c r="F4" s="319"/>
      <c r="G4" s="319"/>
      <c r="H4" s="319"/>
      <c r="I4" s="319"/>
      <c r="J4" s="319"/>
      <c r="L4" s="177" t="s">
        <v>30</v>
      </c>
      <c r="M4" s="292" t="s">
        <v>618</v>
      </c>
    </row>
    <row r="5" spans="1:13">
      <c r="A5" s="177" t="s">
        <v>108</v>
      </c>
      <c r="B5" s="320" t="s">
        <v>101</v>
      </c>
      <c r="C5" s="321"/>
      <c r="D5" s="321"/>
      <c r="E5" s="321"/>
      <c r="F5" s="321"/>
      <c r="G5" s="321"/>
      <c r="H5" s="321"/>
      <c r="I5" s="321"/>
      <c r="J5" s="321"/>
      <c r="L5" s="186" t="s">
        <v>108</v>
      </c>
      <c r="M5" s="178" t="s">
        <v>101</v>
      </c>
    </row>
    <row r="6" spans="1:13">
      <c r="A6" s="177" t="s">
        <v>109</v>
      </c>
      <c r="B6" s="178" t="s">
        <v>102</v>
      </c>
      <c r="C6" s="178" t="s">
        <v>603</v>
      </c>
      <c r="D6" s="178" t="s">
        <v>103</v>
      </c>
      <c r="E6" s="178" t="s">
        <v>104</v>
      </c>
      <c r="F6" s="178" t="s">
        <v>589</v>
      </c>
      <c r="G6" s="178" t="s">
        <v>105</v>
      </c>
      <c r="H6" s="178" t="s">
        <v>106</v>
      </c>
      <c r="I6" s="178" t="s">
        <v>604</v>
      </c>
      <c r="J6" s="178" t="s">
        <v>107</v>
      </c>
      <c r="L6" s="177" t="s">
        <v>109</v>
      </c>
      <c r="M6" s="178" t="s">
        <v>610</v>
      </c>
    </row>
    <row r="7" spans="1:13">
      <c r="A7" s="177" t="s">
        <v>110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110</v>
      </c>
      <c r="M7" s="179"/>
    </row>
    <row r="8" spans="1:13">
      <c r="A8" s="180" t="s">
        <v>2</v>
      </c>
      <c r="B8" s="211">
        <v>4626222.2297759997</v>
      </c>
      <c r="C8" s="211">
        <v>2486428.8326440002</v>
      </c>
      <c r="D8" s="182">
        <v>0.86058903799999997</v>
      </c>
      <c r="E8" s="211">
        <v>24691660.856511999</v>
      </c>
      <c r="F8" s="211">
        <v>34113964.229872003</v>
      </c>
      <c r="G8" s="182">
        <v>-0.27620077539999999</v>
      </c>
      <c r="H8" s="211">
        <v>24691660.856511999</v>
      </c>
      <c r="I8" s="211">
        <v>34113964.229872003</v>
      </c>
      <c r="J8" s="182">
        <v>-0.27620077539999999</v>
      </c>
      <c r="L8" s="180" t="s">
        <v>2</v>
      </c>
      <c r="M8" s="181">
        <v>17085.15323</v>
      </c>
    </row>
    <row r="9" spans="1:13">
      <c r="A9" s="180" t="s">
        <v>82</v>
      </c>
      <c r="B9" s="211">
        <v>318750.782274</v>
      </c>
      <c r="C9" s="211">
        <v>132478.56357599999</v>
      </c>
      <c r="D9" s="182">
        <v>1.4060555433999999</v>
      </c>
      <c r="E9" s="211">
        <v>1642314.9513419999</v>
      </c>
      <c r="F9" s="211">
        <v>1993996.0086940001</v>
      </c>
      <c r="G9" s="182">
        <v>-0.1763699906</v>
      </c>
      <c r="H9" s="211">
        <v>1642314.9513419999</v>
      </c>
      <c r="I9" s="211">
        <v>1993996.0086940001</v>
      </c>
      <c r="J9" s="182">
        <v>-0.1763699906</v>
      </c>
      <c r="L9" s="180" t="s">
        <v>82</v>
      </c>
      <c r="M9" s="181">
        <v>3328.8900000000003</v>
      </c>
    </row>
    <row r="10" spans="1:13">
      <c r="A10" s="180" t="s">
        <v>3</v>
      </c>
      <c r="B10" s="211">
        <v>4350070.8310000002</v>
      </c>
      <c r="C10" s="211">
        <v>4286760.6749999998</v>
      </c>
      <c r="D10" s="182">
        <v>1.4768763799999999E-2</v>
      </c>
      <c r="E10" s="211">
        <v>55824407.392999999</v>
      </c>
      <c r="F10" s="211">
        <v>53197617.43</v>
      </c>
      <c r="G10" s="182">
        <v>4.9377962599999999E-2</v>
      </c>
      <c r="H10" s="211">
        <v>55824407.392999999</v>
      </c>
      <c r="I10" s="211">
        <v>53197617.43</v>
      </c>
      <c r="J10" s="182">
        <v>4.9377962599999999E-2</v>
      </c>
      <c r="L10" s="180" t="s">
        <v>3</v>
      </c>
      <c r="M10" s="181">
        <v>7117.29</v>
      </c>
    </row>
    <row r="11" spans="1:13">
      <c r="A11" s="180" t="s">
        <v>4</v>
      </c>
      <c r="B11" s="211">
        <v>374115.75099999999</v>
      </c>
      <c r="C11" s="211">
        <v>2845210.3820000002</v>
      </c>
      <c r="D11" s="182">
        <v>-0.86851033820000001</v>
      </c>
      <c r="E11" s="211">
        <v>10672816.888</v>
      </c>
      <c r="F11" s="211">
        <v>34881034.784999996</v>
      </c>
      <c r="G11" s="182">
        <v>-0.69402235469999995</v>
      </c>
      <c r="H11" s="211">
        <v>10672816.888</v>
      </c>
      <c r="I11" s="211">
        <v>34881034.784999996</v>
      </c>
      <c r="J11" s="182">
        <v>-0.69402235469999995</v>
      </c>
      <c r="L11" s="180" t="s">
        <v>4</v>
      </c>
      <c r="M11" s="181">
        <v>9215.0450000000001</v>
      </c>
    </row>
    <row r="12" spans="1:13">
      <c r="A12" s="180" t="s">
        <v>98</v>
      </c>
      <c r="B12" s="211">
        <v>0</v>
      </c>
      <c r="C12" s="211">
        <v>0</v>
      </c>
      <c r="D12" s="182">
        <v>0</v>
      </c>
      <c r="E12" s="211">
        <v>-1E-3</v>
      </c>
      <c r="F12" s="211">
        <v>-1E-3</v>
      </c>
      <c r="G12" s="182">
        <v>0</v>
      </c>
      <c r="H12" s="211">
        <v>-1E-3</v>
      </c>
      <c r="I12" s="211">
        <v>-1E-3</v>
      </c>
      <c r="J12" s="182">
        <v>0</v>
      </c>
      <c r="L12" s="180" t="s">
        <v>98</v>
      </c>
      <c r="M12" s="181">
        <v>0</v>
      </c>
    </row>
    <row r="13" spans="1:13">
      <c r="A13" s="180" t="s">
        <v>11</v>
      </c>
      <c r="B13" s="211">
        <v>2755641.838</v>
      </c>
      <c r="C13" s="211">
        <v>2896690.9180000001</v>
      </c>
      <c r="D13" s="182">
        <v>-4.8693175800000002E-2</v>
      </c>
      <c r="E13" s="211">
        <v>51140356.401000001</v>
      </c>
      <c r="F13" s="211">
        <v>26402923.068999998</v>
      </c>
      <c r="G13" s="182">
        <v>0.93692025189999995</v>
      </c>
      <c r="H13" s="211">
        <v>51140356.401000001</v>
      </c>
      <c r="I13" s="211">
        <v>26402923.068999998</v>
      </c>
      <c r="J13" s="182">
        <v>0.93692025189999995</v>
      </c>
      <c r="L13" s="180" t="s">
        <v>11</v>
      </c>
      <c r="M13" s="181">
        <v>24561.86</v>
      </c>
    </row>
    <row r="14" spans="1:13">
      <c r="A14" s="180" t="s">
        <v>5</v>
      </c>
      <c r="B14" s="211">
        <v>5394242.784</v>
      </c>
      <c r="C14" s="211">
        <v>4319033.3720000004</v>
      </c>
      <c r="D14" s="182">
        <v>0.24894677100000001</v>
      </c>
      <c r="E14" s="211">
        <v>53067815.395999998</v>
      </c>
      <c r="F14" s="211">
        <v>48955703.093000002</v>
      </c>
      <c r="G14" s="182">
        <v>8.3996593699999997E-2</v>
      </c>
      <c r="H14" s="211">
        <v>53067815.395999998</v>
      </c>
      <c r="I14" s="211">
        <v>48955703.093000002</v>
      </c>
      <c r="J14" s="182">
        <v>8.3996593699999997E-2</v>
      </c>
      <c r="L14" s="180" t="s">
        <v>5</v>
      </c>
      <c r="M14" s="181">
        <v>25309.529000000002</v>
      </c>
    </row>
    <row r="15" spans="1:13">
      <c r="A15" s="180" t="s">
        <v>6</v>
      </c>
      <c r="B15" s="211">
        <v>487555.90600000002</v>
      </c>
      <c r="C15" s="211">
        <v>404732.14500000002</v>
      </c>
      <c r="D15" s="182">
        <v>0.2046384554</v>
      </c>
      <c r="E15" s="211">
        <v>8823772.1339999996</v>
      </c>
      <c r="F15" s="211">
        <v>7380547.5820000004</v>
      </c>
      <c r="G15" s="182">
        <v>0.1955443734</v>
      </c>
      <c r="H15" s="211">
        <v>8823772.1339999996</v>
      </c>
      <c r="I15" s="211">
        <v>7380547.5820000004</v>
      </c>
      <c r="J15" s="182">
        <v>0.1955443734</v>
      </c>
      <c r="L15" s="180" t="s">
        <v>6</v>
      </c>
      <c r="M15" s="181">
        <v>8454.1577600001256</v>
      </c>
    </row>
    <row r="16" spans="1:13">
      <c r="A16" s="180" t="s">
        <v>7</v>
      </c>
      <c r="B16" s="211">
        <v>68978.293000000005</v>
      </c>
      <c r="C16" s="211">
        <v>109574.874</v>
      </c>
      <c r="D16" s="182">
        <v>-0.37049169679999999</v>
      </c>
      <c r="E16" s="211">
        <v>5166431.2630000003</v>
      </c>
      <c r="F16" s="211">
        <v>4424326.6739999996</v>
      </c>
      <c r="G16" s="182">
        <v>0.1677327747</v>
      </c>
      <c r="H16" s="211">
        <v>5166431.2630000003</v>
      </c>
      <c r="I16" s="211">
        <v>4424326.6739999996</v>
      </c>
      <c r="J16" s="182">
        <v>0.1677327747</v>
      </c>
      <c r="L16" s="180" t="s">
        <v>7</v>
      </c>
      <c r="M16" s="181">
        <v>2304.0129999999999</v>
      </c>
    </row>
    <row r="17" spans="1:13">
      <c r="A17" s="180" t="s">
        <v>8</v>
      </c>
      <c r="B17" s="211">
        <v>299682.20799999998</v>
      </c>
      <c r="C17" s="211">
        <v>299415.70199999999</v>
      </c>
      <c r="D17" s="182">
        <v>8.9008689999999998E-4</v>
      </c>
      <c r="E17" s="211">
        <v>3605326.6919999998</v>
      </c>
      <c r="F17" s="211">
        <v>3547174.9180000001</v>
      </c>
      <c r="G17" s="182">
        <v>1.6393827600000001E-2</v>
      </c>
      <c r="H17" s="211">
        <v>3605326.6919999998</v>
      </c>
      <c r="I17" s="211">
        <v>3547174.9180000001</v>
      </c>
      <c r="J17" s="182">
        <v>1.6393827600000001E-2</v>
      </c>
      <c r="L17" s="180" t="s">
        <v>8</v>
      </c>
      <c r="M17" s="181">
        <v>1024.951</v>
      </c>
    </row>
    <row r="18" spans="1:13">
      <c r="A18" s="180" t="s">
        <v>9</v>
      </c>
      <c r="B18" s="211">
        <v>2334643.9070000001</v>
      </c>
      <c r="C18" s="211">
        <v>2529941.3220000002</v>
      </c>
      <c r="D18" s="182">
        <v>-7.7194444500000001E-2</v>
      </c>
      <c r="E18" s="211">
        <v>29556267.280000001</v>
      </c>
      <c r="F18" s="211">
        <v>28971782.794</v>
      </c>
      <c r="G18" s="182">
        <v>2.0174267199999998E-2</v>
      </c>
      <c r="H18" s="211">
        <v>29556267.280000001</v>
      </c>
      <c r="I18" s="211">
        <v>28971782.794</v>
      </c>
      <c r="J18" s="182">
        <v>2.0174267199999998E-2</v>
      </c>
      <c r="L18" s="180" t="s">
        <v>9</v>
      </c>
      <c r="M18" s="181">
        <v>5677.7831999999999</v>
      </c>
    </row>
    <row r="19" spans="1:13">
      <c r="A19" s="180" t="s">
        <v>70</v>
      </c>
      <c r="B19" s="211">
        <v>65337.529000000002</v>
      </c>
      <c r="C19" s="211">
        <v>69912.847999999998</v>
      </c>
      <c r="D19" s="182">
        <v>-6.5443178599999999E-2</v>
      </c>
      <c r="E19" s="211">
        <v>738953.49049999996</v>
      </c>
      <c r="F19" s="211">
        <v>732970.66150000005</v>
      </c>
      <c r="G19" s="182">
        <v>8.1624399000000004E-3</v>
      </c>
      <c r="H19" s="211">
        <v>738953.49049999996</v>
      </c>
      <c r="I19" s="211">
        <v>732970.66150000005</v>
      </c>
      <c r="J19" s="182">
        <v>8.1624399000000004E-3</v>
      </c>
      <c r="L19" s="180" t="s">
        <v>70</v>
      </c>
      <c r="M19" s="181">
        <v>121.7915</v>
      </c>
    </row>
    <row r="20" spans="1:13">
      <c r="A20" s="180" t="s">
        <v>71</v>
      </c>
      <c r="B20" s="211">
        <v>160992.47</v>
      </c>
      <c r="C20" s="211">
        <v>190760.815</v>
      </c>
      <c r="D20" s="182">
        <v>-0.15605062810000001</v>
      </c>
      <c r="E20" s="211">
        <v>2071630.8595</v>
      </c>
      <c r="F20" s="211">
        <v>2293858.2025000001</v>
      </c>
      <c r="G20" s="182">
        <v>-9.6879285199999998E-2</v>
      </c>
      <c r="H20" s="211">
        <v>2071630.8595</v>
      </c>
      <c r="I20" s="211">
        <v>2293858.2025000001</v>
      </c>
      <c r="J20" s="182">
        <v>-9.6879285199999998E-2</v>
      </c>
      <c r="L20" s="180" t="s">
        <v>71</v>
      </c>
      <c r="M20" s="181">
        <v>451.1275</v>
      </c>
    </row>
    <row r="21" spans="1:13">
      <c r="A21" s="183" t="s">
        <v>10</v>
      </c>
      <c r="B21" s="212">
        <v>21236234.52905</v>
      </c>
      <c r="C21" s="212">
        <v>20570940.449220002</v>
      </c>
      <c r="D21" s="185">
        <v>3.2341451799999997E-2</v>
      </c>
      <c r="E21" s="212">
        <v>247001753.603854</v>
      </c>
      <c r="F21" s="212">
        <v>246895899.44656599</v>
      </c>
      <c r="G21" s="185">
        <v>4.2873999999999999E-4</v>
      </c>
      <c r="H21" s="212">
        <v>247001753.603854</v>
      </c>
      <c r="I21" s="212">
        <v>246895899.44656599</v>
      </c>
      <c r="J21" s="185">
        <v>4.2873999999999999E-4</v>
      </c>
      <c r="L21" s="183" t="s">
        <v>10</v>
      </c>
      <c r="M21" s="288">
        <f>SUM(M8:M20)</f>
        <v>104651.59119000014</v>
      </c>
    </row>
    <row r="22" spans="1:13">
      <c r="A22" s="180" t="s">
        <v>130</v>
      </c>
      <c r="B22" s="211">
        <v>-700754.10199999996</v>
      </c>
      <c r="C22" s="211">
        <v>-223074.53880800001</v>
      </c>
      <c r="D22" s="182">
        <v>2.1413450667</v>
      </c>
      <c r="E22" s="211">
        <v>-3024968.815246</v>
      </c>
      <c r="F22" s="211">
        <v>-3198432.3789730002</v>
      </c>
      <c r="G22" s="182">
        <v>-5.4233931899999997E-2</v>
      </c>
      <c r="H22" s="211">
        <v>-3024968.815246</v>
      </c>
      <c r="I22" s="211">
        <v>-3198432.3789730002</v>
      </c>
      <c r="J22" s="182">
        <v>-5.4233931899999997E-2</v>
      </c>
    </row>
    <row r="23" spans="1:13">
      <c r="A23" s="180" t="s">
        <v>100</v>
      </c>
      <c r="B23" s="211">
        <v>-119614.27800000001</v>
      </c>
      <c r="C23" s="211">
        <v>-112575.44100000001</v>
      </c>
      <c r="D23" s="182">
        <v>6.2525511199999995E-2</v>
      </c>
      <c r="E23" s="211">
        <v>-1694840.5220000001</v>
      </c>
      <c r="F23" s="211">
        <v>-1233358.142</v>
      </c>
      <c r="G23" s="182">
        <v>0.37416737630000002</v>
      </c>
      <c r="H23" s="211">
        <v>-1694840.5220000001</v>
      </c>
      <c r="I23" s="211">
        <v>-1233358.142</v>
      </c>
      <c r="J23" s="182">
        <v>0.37416737630000002</v>
      </c>
    </row>
    <row r="24" spans="1:13">
      <c r="A24" s="180" t="s">
        <v>131</v>
      </c>
      <c r="B24" s="211">
        <v>448807.26199999999</v>
      </c>
      <c r="C24" s="211">
        <v>939185.99800000002</v>
      </c>
      <c r="D24" s="182">
        <v>-0.52213165130000005</v>
      </c>
      <c r="E24" s="211">
        <v>6862325.0489999996</v>
      </c>
      <c r="F24" s="211">
        <v>11102311.146</v>
      </c>
      <c r="G24" s="182">
        <v>-0.38190121329999999</v>
      </c>
      <c r="H24" s="211">
        <v>6862325.0489999996</v>
      </c>
      <c r="I24" s="211">
        <v>11102311.146</v>
      </c>
      <c r="J24" s="182">
        <v>-0.38190121329999999</v>
      </c>
    </row>
    <row r="25" spans="1:13">
      <c r="A25" s="183" t="s">
        <v>132</v>
      </c>
      <c r="B25" s="212">
        <v>20864673.411049999</v>
      </c>
      <c r="C25" s="212">
        <v>21174476.467411999</v>
      </c>
      <c r="D25" s="185">
        <v>-1.46309665E-2</v>
      </c>
      <c r="E25" s="212">
        <v>249144269.31560799</v>
      </c>
      <c r="F25" s="212">
        <v>253566420.07159299</v>
      </c>
      <c r="G25" s="185">
        <v>-1.7439812200000002E-2</v>
      </c>
      <c r="H25" s="212">
        <v>249144269.31560799</v>
      </c>
      <c r="I25" s="212">
        <v>253566420.07159299</v>
      </c>
      <c r="J25" s="185">
        <v>-1.7439812200000002E-2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</row>
    <row r="33" spans="1:6">
      <c r="A33" s="133" t="s">
        <v>82</v>
      </c>
      <c r="B33" s="129">
        <f>VLOOKUP(A33,L$8:M$22,2,FALSE)</f>
        <v>3328.8900000000003</v>
      </c>
      <c r="C33" s="109">
        <f>ROUND(B33/$B$45*100,1)</f>
        <v>3.2</v>
      </c>
      <c r="D33" s="107"/>
      <c r="E33" s="170" t="s">
        <v>16</v>
      </c>
      <c r="F33" s="171">
        <f>SUM(C33:C38)</f>
        <v>48.1</v>
      </c>
    </row>
    <row r="34" spans="1:6">
      <c r="A34" s="108" t="s">
        <v>3</v>
      </c>
      <c r="B34" s="129">
        <f>VLOOKUP(A34,L$8:M$22,2,FALSE)</f>
        <v>7117.29</v>
      </c>
      <c r="C34" s="109">
        <f>ROUND(B34/$B$45*100,1)</f>
        <v>6.8</v>
      </c>
      <c r="D34" s="107"/>
      <c r="E34" s="174" t="s">
        <v>17</v>
      </c>
      <c r="F34" s="175">
        <f>SUM(C39:C44)</f>
        <v>51.900000000000006</v>
      </c>
    </row>
    <row r="35" spans="1:6">
      <c r="A35" s="108" t="s">
        <v>4</v>
      </c>
      <c r="B35" s="129">
        <f t="shared" ref="B35:B44" si="0">VLOOKUP(A35,L$8:M$22,2,FALSE)</f>
        <v>9215.0450000000001</v>
      </c>
      <c r="C35" s="109">
        <f>ROUND(B35/$B$45*100,1)</f>
        <v>8.8000000000000007</v>
      </c>
      <c r="D35" s="107"/>
      <c r="E35" s="168"/>
      <c r="F35" s="168"/>
    </row>
    <row r="36" spans="1:6">
      <c r="A36" s="108" t="s">
        <v>11</v>
      </c>
      <c r="B36" s="129">
        <f t="shared" si="0"/>
        <v>24561.86</v>
      </c>
      <c r="C36" s="109">
        <f t="shared" ref="C36" si="1">ROUND(B36/$B$45*100,1)</f>
        <v>23.5</v>
      </c>
      <c r="D36" s="107"/>
      <c r="E36" s="168"/>
      <c r="F36" s="168"/>
    </row>
    <row r="37" spans="1:6">
      <c r="A37" s="108" t="s">
        <v>9</v>
      </c>
      <c r="B37" s="129">
        <f t="shared" si="0"/>
        <v>5677.7831999999999</v>
      </c>
      <c r="C37" s="109">
        <f>100-SUM(C33:C36,C38:C44)</f>
        <v>5.4000000000000057</v>
      </c>
      <c r="D37" s="107"/>
      <c r="E37" s="168"/>
      <c r="F37" s="168"/>
    </row>
    <row r="38" spans="1:6">
      <c r="A38" s="108" t="s">
        <v>71</v>
      </c>
      <c r="B38" s="129">
        <f t="shared" si="0"/>
        <v>451.1275</v>
      </c>
      <c r="C38" s="109">
        <f t="shared" ref="C38:C44" si="2">ROUND(B38/$B$45*100,1)</f>
        <v>0.4</v>
      </c>
      <c r="D38" s="107"/>
      <c r="E38" s="168"/>
      <c r="F38" s="168"/>
    </row>
    <row r="39" spans="1:6">
      <c r="A39" s="108" t="s">
        <v>70</v>
      </c>
      <c r="B39" s="129">
        <f t="shared" si="0"/>
        <v>121.7915</v>
      </c>
      <c r="C39" s="109">
        <f t="shared" si="2"/>
        <v>0.1</v>
      </c>
      <c r="D39" s="107"/>
      <c r="E39" s="168"/>
      <c r="F39" s="168"/>
    </row>
    <row r="40" spans="1:6">
      <c r="A40" s="108" t="s">
        <v>5</v>
      </c>
      <c r="B40" s="129">
        <f t="shared" si="0"/>
        <v>25309.529000000002</v>
      </c>
      <c r="C40" s="109">
        <f t="shared" si="2"/>
        <v>24.2</v>
      </c>
      <c r="D40" s="107"/>
      <c r="E40" s="168"/>
      <c r="F40" s="168"/>
    </row>
    <row r="41" spans="1:6">
      <c r="A41" s="108" t="s">
        <v>2</v>
      </c>
      <c r="B41" s="129">
        <f t="shared" si="0"/>
        <v>17085.15323</v>
      </c>
      <c r="C41" s="109">
        <f>ROUND(B41/$B$45*100,1)</f>
        <v>16.3</v>
      </c>
      <c r="D41" s="107"/>
      <c r="E41" s="168"/>
      <c r="F41" s="168"/>
    </row>
    <row r="42" spans="1:6">
      <c r="A42" s="108" t="s">
        <v>6</v>
      </c>
      <c r="B42" s="129">
        <f t="shared" si="0"/>
        <v>8454.1577600001256</v>
      </c>
      <c r="C42" s="109">
        <f t="shared" si="2"/>
        <v>8.1</v>
      </c>
      <c r="D42" s="107"/>
      <c r="E42" s="168"/>
      <c r="F42" s="168"/>
    </row>
    <row r="43" spans="1:6">
      <c r="A43" s="108" t="s">
        <v>7</v>
      </c>
      <c r="B43" s="129">
        <f t="shared" si="0"/>
        <v>2304.0129999999999</v>
      </c>
      <c r="C43" s="109">
        <f t="shared" si="2"/>
        <v>2.2000000000000002</v>
      </c>
      <c r="D43" s="107"/>
      <c r="E43" s="168"/>
      <c r="F43" s="168"/>
    </row>
    <row r="44" spans="1:6">
      <c r="A44" s="108" t="s">
        <v>8</v>
      </c>
      <c r="B44" s="129">
        <f t="shared" si="0"/>
        <v>1024.951</v>
      </c>
      <c r="C44" s="109">
        <f t="shared" si="2"/>
        <v>1</v>
      </c>
      <c r="D44" s="107"/>
      <c r="E44" s="168"/>
      <c r="F44" s="168"/>
    </row>
    <row r="45" spans="1:6">
      <c r="A45" s="110" t="s">
        <v>15</v>
      </c>
      <c r="B45" s="130">
        <f>SUM(B33:B44)</f>
        <v>104651.59119000012</v>
      </c>
      <c r="C45" s="111">
        <f>SUM(C33:C44)</f>
        <v>100</v>
      </c>
      <c r="D45" s="107" t="str">
        <f>CONCATENATE(TEXT(B45,"#.##0")," MW")</f>
        <v>104.652 MW</v>
      </c>
      <c r="E45" s="168"/>
      <c r="F45" s="168"/>
    </row>
    <row r="48" spans="1:6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82</v>
      </c>
      <c r="B50" s="176">
        <f>VLOOKUP(A33,A$8:B$22,2,FALSE)/1000</f>
        <v>318.75078227400002</v>
      </c>
      <c r="C50" s="109">
        <f>ROUND(B50/$B$62*100,1)</f>
        <v>1.5</v>
      </c>
      <c r="D50" s="107"/>
      <c r="E50" s="170" t="s">
        <v>16</v>
      </c>
      <c r="F50" s="171">
        <f>SUM(C50:C55)</f>
        <v>48.488816639832976</v>
      </c>
      <c r="J50" s="44"/>
    </row>
    <row r="51" spans="1:10">
      <c r="A51" s="108" t="s">
        <v>3</v>
      </c>
      <c r="B51" s="176">
        <f t="shared" ref="B51:B61" si="3">VLOOKUP(A34,A$8:B$22,2,FALSE)/1000</f>
        <v>4350.070831</v>
      </c>
      <c r="C51" s="109">
        <f t="shared" ref="C51:C60" si="4">ROUND(B51/$B$62*100,1)</f>
        <v>20.5</v>
      </c>
      <c r="D51" s="131"/>
      <c r="E51" s="174" t="s">
        <v>17</v>
      </c>
      <c r="F51" s="175">
        <f>SUM(C56:C61)</f>
        <v>51.511183360167031</v>
      </c>
      <c r="J51" s="44"/>
    </row>
    <row r="52" spans="1:10">
      <c r="A52" s="108" t="s">
        <v>4</v>
      </c>
      <c r="B52" s="176">
        <f t="shared" si="3"/>
        <v>374.11575099999999</v>
      </c>
      <c r="C52" s="109">
        <f t="shared" si="4"/>
        <v>1.8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2755.641838</v>
      </c>
      <c r="C53" s="109">
        <f t="shared" si="4"/>
        <v>13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2334.6439070000001</v>
      </c>
      <c r="C54" s="109">
        <f>100-SUM(C50:C53,C55:C61)</f>
        <v>10.888816639832982</v>
      </c>
      <c r="D54" s="131"/>
      <c r="E54" s="168"/>
      <c r="F54" s="169"/>
      <c r="J54" s="44"/>
    </row>
    <row r="55" spans="1:10">
      <c r="A55" s="108" t="s">
        <v>71</v>
      </c>
      <c r="B55" s="176">
        <f t="shared" si="3"/>
        <v>160.99247</v>
      </c>
      <c r="C55" s="109">
        <f t="shared" si="4"/>
        <v>0.8</v>
      </c>
      <c r="D55" s="131"/>
      <c r="E55" s="168"/>
      <c r="F55" s="168"/>
      <c r="J55" s="44"/>
    </row>
    <row r="56" spans="1:10">
      <c r="A56" s="108" t="s">
        <v>70</v>
      </c>
      <c r="B56" s="176">
        <f t="shared" si="3"/>
        <v>65.337529000000004</v>
      </c>
      <c r="C56" s="109">
        <f t="shared" si="4"/>
        <v>0.3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5394.242784</v>
      </c>
      <c r="C57" s="109">
        <f t="shared" si="4"/>
        <v>25.4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4626.2222297759999</v>
      </c>
      <c r="C58" s="109">
        <f t="shared" si="4"/>
        <v>21.8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487.55590599999999</v>
      </c>
      <c r="C59" s="109">
        <f t="shared" si="4"/>
        <v>2.2999999999999998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68.978293000000008</v>
      </c>
      <c r="C60" s="109">
        <f t="shared" si="4"/>
        <v>0.3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299.682208</v>
      </c>
      <c r="C61" s="109">
        <f t="shared" ref="C61" si="5">B61/$B$62*100</f>
        <v>1.4111833601670354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21236.234529050002</v>
      </c>
      <c r="C62" s="111">
        <f>SUM(C50:C61)</f>
        <v>99.999999999999986</v>
      </c>
      <c r="D62" s="168"/>
      <c r="E62" s="168"/>
      <c r="F62" s="168"/>
    </row>
    <row r="66" spans="1:8">
      <c r="A66" s="177" t="s">
        <v>31</v>
      </c>
      <c r="B66" s="292" t="s">
        <v>624</v>
      </c>
      <c r="G66" s="177" t="s">
        <v>31</v>
      </c>
      <c r="H66" s="292" t="s">
        <v>129</v>
      </c>
    </row>
    <row r="67" spans="1:8">
      <c r="A67" s="177" t="s">
        <v>109</v>
      </c>
      <c r="B67" s="178" t="s">
        <v>112</v>
      </c>
      <c r="G67" s="177" t="s">
        <v>109</v>
      </c>
      <c r="H67" s="178" t="s">
        <v>112</v>
      </c>
    </row>
    <row r="68" spans="1:8">
      <c r="A68" s="177" t="s">
        <v>113</v>
      </c>
      <c r="B68" s="179"/>
      <c r="G68" s="177" t="s">
        <v>114</v>
      </c>
      <c r="H68" s="179"/>
    </row>
    <row r="69" spans="1:8">
      <c r="A69" s="180" t="s">
        <v>2</v>
      </c>
      <c r="B69" s="181">
        <v>116.17705789999999</v>
      </c>
      <c r="G69" s="180" t="s">
        <v>2</v>
      </c>
      <c r="H69" s="181">
        <v>171.761425718</v>
      </c>
    </row>
    <row r="70" spans="1:8">
      <c r="A70" s="180" t="s">
        <v>82</v>
      </c>
      <c r="B70" s="181">
        <v>7.3055761300000004</v>
      </c>
      <c r="G70" s="180" t="s">
        <v>82</v>
      </c>
      <c r="H70" s="181">
        <v>11.144527282</v>
      </c>
    </row>
    <row r="71" spans="1:8">
      <c r="A71" s="180" t="s">
        <v>3</v>
      </c>
      <c r="B71" s="181">
        <v>145.27337900000001</v>
      </c>
      <c r="G71" s="180" t="s">
        <v>3</v>
      </c>
      <c r="H71" s="181">
        <v>145.826773</v>
      </c>
    </row>
    <row r="72" spans="1:8">
      <c r="A72" s="180" t="s">
        <v>4</v>
      </c>
      <c r="B72" s="181">
        <v>6.4920169999999997</v>
      </c>
      <c r="G72" s="180" t="s">
        <v>4</v>
      </c>
      <c r="H72" s="181">
        <v>36.112304999999999</v>
      </c>
    </row>
    <row r="73" spans="1:8">
      <c r="A73" s="180" t="s">
        <v>98</v>
      </c>
      <c r="B73" s="181">
        <v>0</v>
      </c>
      <c r="G73" s="180" t="s">
        <v>98</v>
      </c>
      <c r="H73" s="181">
        <v>0</v>
      </c>
    </row>
    <row r="74" spans="1:8">
      <c r="A74" s="180" t="s">
        <v>11</v>
      </c>
      <c r="B74" s="181">
        <v>37.487727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396.89754199999999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10.763047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2.4204E-2</v>
      </c>
      <c r="G77" s="180" t="s">
        <v>7</v>
      </c>
      <c r="H77" s="181">
        <v>11.256307</v>
      </c>
    </row>
    <row r="78" spans="1:8">
      <c r="A78" s="180" t="s">
        <v>8</v>
      </c>
      <c r="B78" s="181">
        <v>9.4197629999999997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78.862930000000006</v>
      </c>
      <c r="G79" s="180" t="s">
        <v>9</v>
      </c>
      <c r="H79" s="181">
        <v>79.388705999999999</v>
      </c>
    </row>
    <row r="80" spans="1:8">
      <c r="A80" s="180" t="s">
        <v>70</v>
      </c>
      <c r="B80" s="181">
        <v>2.0358974999999999</v>
      </c>
      <c r="G80" s="180" t="s">
        <v>70</v>
      </c>
      <c r="H80" s="181">
        <v>2.128638</v>
      </c>
    </row>
    <row r="81" spans="1:11">
      <c r="A81" s="180" t="s">
        <v>71</v>
      </c>
      <c r="B81" s="181">
        <v>5.4461915000000003</v>
      </c>
      <c r="G81" s="180" t="s">
        <v>71</v>
      </c>
      <c r="H81" s="181">
        <v>7.1086039999999997</v>
      </c>
    </row>
    <row r="82" spans="1:11">
      <c r="A82" s="183" t="s">
        <v>10</v>
      </c>
      <c r="B82" s="184">
        <v>816.18533203000004</v>
      </c>
      <c r="G82" s="183" t="s">
        <v>10</v>
      </c>
      <c r="H82" s="184">
        <v>855.26462900000001</v>
      </c>
    </row>
    <row r="83" spans="1:11">
      <c r="A83" s="180" t="s">
        <v>130</v>
      </c>
      <c r="B83" s="181">
        <v>-22.594918</v>
      </c>
      <c r="G83" s="180" t="s">
        <v>130</v>
      </c>
      <c r="H83" s="181">
        <v>-16.683171999999999</v>
      </c>
    </row>
    <row r="84" spans="1:11">
      <c r="A84" s="180" t="s">
        <v>100</v>
      </c>
      <c r="B84" s="181">
        <v>-4.22133</v>
      </c>
      <c r="G84" s="180" t="s">
        <v>100</v>
      </c>
      <c r="H84" s="181">
        <v>-2.1485099999999999</v>
      </c>
    </row>
    <row r="85" spans="1:11">
      <c r="A85" s="180" t="s">
        <v>131</v>
      </c>
      <c r="B85" s="181">
        <v>-37.020167999999998</v>
      </c>
      <c r="G85" s="180" t="s">
        <v>131</v>
      </c>
      <c r="H85" s="181">
        <v>-47.434305999999999</v>
      </c>
    </row>
    <row r="86" spans="1:11">
      <c r="A86" s="183" t="s">
        <v>132</v>
      </c>
      <c r="B86" s="184">
        <v>752.34891603000005</v>
      </c>
      <c r="G86" s="183" t="s">
        <v>132</v>
      </c>
      <c r="H86" s="184">
        <v>788.99864100000002</v>
      </c>
    </row>
    <row r="91" spans="1:11">
      <c r="B91" s="191" t="str">
        <f>"Mes " &amp;B66</f>
        <v>Mes 13/12/2019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13/12/2019</v>
      </c>
      <c r="B92" s="167"/>
      <c r="C92" s="167"/>
      <c r="D92" s="167"/>
      <c r="E92" s="190" t="str">
        <f>CONCATENATE("Mes",CHAR(13),MID(A92,66,10))</f>
        <v>Mes_x000D_13/12/2019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82</v>
      </c>
      <c r="B94" s="189">
        <f>ROUND(VLOOKUP(A94,A$69:B$84,2,FALSE)/VLOOKUP("Generación",A$69:B$84,2,FALSE)*100,1)</f>
        <v>0.9</v>
      </c>
      <c r="C94" s="107"/>
      <c r="G94" s="108" t="s">
        <v>82</v>
      </c>
      <c r="H94" s="189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89">
        <f>ROUND(VLOOKUP(A95,A$69:B$84,2,FALSE)/VLOOKUP("Generación",A$69:B$84,2,FALSE)*100,1)</f>
        <v>17.8</v>
      </c>
      <c r="C95" s="107"/>
      <c r="G95" s="108" t="s">
        <v>3</v>
      </c>
      <c r="H95" s="189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89">
        <f>ROUND(VLOOKUP(A96,A$69:B$84,2,FALSE)/VLOOKUP("Generación",A$69:B$84,2,FALSE)*100,1)</f>
        <v>0.8</v>
      </c>
      <c r="C96" s="107"/>
      <c r="D96" s="168"/>
      <c r="E96" s="168"/>
      <c r="G96" s="108" t="s">
        <v>4</v>
      </c>
      <c r="H96" s="189">
        <f>ROUND(VLOOKUP(G96,G$69:H$84,2,FALSE)/VLOOKUP("Generación",G$69:H$84,2,FALSE)*100,1)</f>
        <v>4.2</v>
      </c>
      <c r="I96" s="107"/>
      <c r="J96" s="168"/>
      <c r="K96" s="168"/>
    </row>
    <row r="97" spans="1:11">
      <c r="A97" s="108" t="s">
        <v>11</v>
      </c>
      <c r="B97" s="189">
        <f>ROUND(VLOOKUP(A97,A$69:B$84,2,FALSE)/VLOOKUP("Generación",A$69:B$84,2,FALSE)*100,1)</f>
        <v>4.5999999999999996</v>
      </c>
      <c r="C97" s="107"/>
      <c r="D97" s="168"/>
      <c r="E97" s="168"/>
      <c r="G97" s="108" t="s">
        <v>11</v>
      </c>
      <c r="H97" s="189">
        <f>ROUND(VLOOKUP(G97,G$69:H$84,2,FALSE)/VLOOKUP("Generación",G$69:H$84,2,FALSE)*100,1)</f>
        <v>4.2</v>
      </c>
      <c r="I97" s="107"/>
      <c r="J97" s="168"/>
      <c r="K97" s="168"/>
    </row>
    <row r="98" spans="1:11">
      <c r="A98" s="108" t="s">
        <v>9</v>
      </c>
      <c r="B98" s="189">
        <f>100-SUM(B94:B97,B99:B105)</f>
        <v>9.7000000000000028</v>
      </c>
      <c r="C98" s="107"/>
      <c r="D98" s="107"/>
      <c r="E98" s="107"/>
      <c r="G98" s="108" t="s">
        <v>9</v>
      </c>
      <c r="H98" s="189">
        <f>100-SUM(H94:H97,H99:H105)</f>
        <v>9.4000000000000057</v>
      </c>
      <c r="I98" s="107"/>
      <c r="J98" s="107"/>
      <c r="K98" s="107"/>
    </row>
    <row r="99" spans="1:11">
      <c r="A99" s="108" t="s">
        <v>71</v>
      </c>
      <c r="B99" s="189">
        <f t="shared" ref="B99:B105" si="6">ROUND(VLOOKUP(A99,A$69:B$84,2,FALSE)/VLOOKUP("Generación",A$69:B$84,2,FALSE)*100,1)</f>
        <v>0.7</v>
      </c>
      <c r="C99" s="107"/>
      <c r="D99" s="107"/>
      <c r="E99" s="107"/>
      <c r="G99" s="108" t="s">
        <v>71</v>
      </c>
      <c r="H99" s="189">
        <f t="shared" ref="H99:H105" si="7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70</v>
      </c>
      <c r="B100" s="189">
        <f>ROUND(VLOOKUP(A100,A$69:B$84,2,FALSE)/VLOOKUP("Generación",A$69:B$84,2,FALSE)*100,1)</f>
        <v>0.2</v>
      </c>
      <c r="C100" s="107"/>
      <c r="D100" s="107"/>
      <c r="E100" s="107"/>
      <c r="G100" s="108" t="s">
        <v>70</v>
      </c>
      <c r="H100" s="189">
        <f t="shared" si="7"/>
        <v>0.2</v>
      </c>
      <c r="I100" s="107"/>
      <c r="J100" s="107"/>
      <c r="K100" s="107"/>
    </row>
    <row r="101" spans="1:11">
      <c r="A101" s="108" t="s">
        <v>5</v>
      </c>
      <c r="B101" s="189">
        <f t="shared" si="6"/>
        <v>48.6</v>
      </c>
      <c r="C101" s="107"/>
      <c r="D101" s="107"/>
      <c r="E101" s="107"/>
      <c r="G101" s="108" t="s">
        <v>5</v>
      </c>
      <c r="H101" s="189">
        <f t="shared" si="7"/>
        <v>38.200000000000003</v>
      </c>
      <c r="I101" s="107"/>
      <c r="J101" s="107"/>
      <c r="K101" s="107"/>
    </row>
    <row r="102" spans="1:11">
      <c r="A102" s="108" t="s">
        <v>2</v>
      </c>
      <c r="B102" s="189">
        <f t="shared" si="6"/>
        <v>14.2</v>
      </c>
      <c r="C102" s="107"/>
      <c r="D102" s="107"/>
      <c r="E102" s="107"/>
      <c r="G102" s="108" t="s">
        <v>2</v>
      </c>
      <c r="H102" s="189">
        <f t="shared" si="7"/>
        <v>20.100000000000001</v>
      </c>
      <c r="I102" s="107"/>
      <c r="J102" s="107"/>
      <c r="K102" s="107"/>
    </row>
    <row r="103" spans="1:11">
      <c r="A103" s="108" t="s">
        <v>6</v>
      </c>
      <c r="B103" s="189">
        <f t="shared" si="6"/>
        <v>1.3</v>
      </c>
      <c r="C103" s="107"/>
      <c r="D103" s="107"/>
      <c r="E103" s="107"/>
      <c r="G103" s="108" t="s">
        <v>6</v>
      </c>
      <c r="H103" s="189">
        <f t="shared" si="7"/>
        <v>2.2999999999999998</v>
      </c>
      <c r="I103" s="107"/>
      <c r="J103" s="107"/>
      <c r="K103" s="107"/>
    </row>
    <row r="104" spans="1:11">
      <c r="A104" s="108" t="s">
        <v>7</v>
      </c>
      <c r="B104" s="189">
        <f t="shared" si="6"/>
        <v>0</v>
      </c>
      <c r="C104" s="107"/>
      <c r="D104" s="107"/>
      <c r="E104" s="107"/>
      <c r="G104" s="108" t="s">
        <v>7</v>
      </c>
      <c r="H104" s="189">
        <f t="shared" si="7"/>
        <v>1.3</v>
      </c>
      <c r="I104" s="107"/>
      <c r="J104" s="107"/>
      <c r="K104" s="107"/>
    </row>
    <row r="105" spans="1:11">
      <c r="A105" s="108" t="s">
        <v>8</v>
      </c>
      <c r="B105" s="189">
        <f t="shared" si="6"/>
        <v>1.2</v>
      </c>
      <c r="C105" s="167"/>
      <c r="D105" s="167"/>
      <c r="E105" s="167"/>
      <c r="G105" s="108" t="s">
        <v>8</v>
      </c>
      <c r="H105" s="189">
        <f t="shared" si="7"/>
        <v>0.9</v>
      </c>
      <c r="I105" s="168"/>
      <c r="J105" s="168"/>
      <c r="K105" s="168"/>
    </row>
    <row r="106" spans="1:11">
      <c r="A106" s="110" t="s">
        <v>15</v>
      </c>
      <c r="B106" s="111">
        <f>SUM(B94:B105)</f>
        <v>100.00000000000001</v>
      </c>
      <c r="C106" s="167"/>
      <c r="D106" s="167"/>
      <c r="E106" s="167"/>
      <c r="G106" s="110" t="s">
        <v>15</v>
      </c>
      <c r="H106" s="111">
        <f>SUM(H94:H105)</f>
        <v>100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34.500000000000007</v>
      </c>
      <c r="G109" s="170" t="s">
        <v>16</v>
      </c>
      <c r="H109" s="171">
        <f>SUM(H94:H99)</f>
        <v>37</v>
      </c>
    </row>
    <row r="110" spans="1:11">
      <c r="A110" s="174" t="s">
        <v>17</v>
      </c>
      <c r="B110" s="175">
        <f>SUM(B100:B105)</f>
        <v>65.5</v>
      </c>
      <c r="G110" s="174" t="s">
        <v>17</v>
      </c>
      <c r="H110" s="175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108</v>
      </c>
      <c r="B115" s="318" t="s">
        <v>101</v>
      </c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</row>
    <row r="116" spans="1:26">
      <c r="A116" s="177" t="s">
        <v>109</v>
      </c>
      <c r="B116" s="325" t="s">
        <v>112</v>
      </c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</row>
    <row r="117" spans="1:26">
      <c r="A117" s="186" t="s">
        <v>30</v>
      </c>
      <c r="B117" s="292" t="s">
        <v>115</v>
      </c>
      <c r="C117" s="292" t="s">
        <v>116</v>
      </c>
      <c r="D117" s="292" t="s">
        <v>88</v>
      </c>
      <c r="E117" s="292" t="s">
        <v>128</v>
      </c>
      <c r="F117" s="292" t="s">
        <v>127</v>
      </c>
      <c r="G117" s="292" t="s">
        <v>133</v>
      </c>
      <c r="H117" s="292" t="s">
        <v>134</v>
      </c>
      <c r="I117" s="292" t="s">
        <v>135</v>
      </c>
      <c r="J117" s="292" t="s">
        <v>136</v>
      </c>
      <c r="K117" s="292" t="s">
        <v>570</v>
      </c>
      <c r="L117" s="292" t="s">
        <v>571</v>
      </c>
      <c r="M117" s="292" t="s">
        <v>572</v>
      </c>
      <c r="N117" s="292" t="s">
        <v>573</v>
      </c>
      <c r="O117" s="292" t="s">
        <v>574</v>
      </c>
      <c r="P117" s="292" t="s">
        <v>575</v>
      </c>
      <c r="Q117" s="292" t="s">
        <v>576</v>
      </c>
      <c r="R117" s="292" t="s">
        <v>578</v>
      </c>
      <c r="S117" s="292" t="s">
        <v>579</v>
      </c>
      <c r="T117" s="292" t="s">
        <v>602</v>
      </c>
      <c r="U117" s="292" t="s">
        <v>609</v>
      </c>
      <c r="V117" s="292" t="s">
        <v>611</v>
      </c>
      <c r="W117" s="292" t="s">
        <v>613</v>
      </c>
      <c r="X117" s="292" t="s">
        <v>615</v>
      </c>
      <c r="Y117" s="292" t="s">
        <v>616</v>
      </c>
      <c r="Z117" s="292" t="s">
        <v>618</v>
      </c>
    </row>
    <row r="118" spans="1:26">
      <c r="A118" s="177" t="s">
        <v>110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1250.58393067</v>
      </c>
      <c r="C119" s="181">
        <v>2194.602565786</v>
      </c>
      <c r="D119" s="181">
        <v>2388.8610043499998</v>
      </c>
      <c r="E119" s="181">
        <v>4402.1243845560002</v>
      </c>
      <c r="F119" s="181">
        <v>4718.1728802460002</v>
      </c>
      <c r="G119" s="181">
        <v>3522.8601173239999</v>
      </c>
      <c r="H119" s="181">
        <v>3717.7821305839998</v>
      </c>
      <c r="I119" s="181">
        <v>3027.0962775859998</v>
      </c>
      <c r="J119" s="181">
        <v>2105.289042892</v>
      </c>
      <c r="K119" s="181">
        <v>1926.556481762</v>
      </c>
      <c r="L119" s="181">
        <v>1462.4150283280001</v>
      </c>
      <c r="M119" s="181">
        <v>2161.7754838139999</v>
      </c>
      <c r="N119" s="181">
        <v>2486.4288326440001</v>
      </c>
      <c r="O119" s="181">
        <v>2126.922141256</v>
      </c>
      <c r="P119" s="181">
        <v>2483.1404345719998</v>
      </c>
      <c r="Q119" s="181">
        <v>2132.151119952</v>
      </c>
      <c r="R119" s="181">
        <v>1924.9576321879999</v>
      </c>
      <c r="S119" s="181">
        <v>1934.7271387759999</v>
      </c>
      <c r="T119" s="181">
        <v>1626.0940129099999</v>
      </c>
      <c r="U119" s="181">
        <v>1581.570384826</v>
      </c>
      <c r="V119" s="181">
        <v>1254.440733828</v>
      </c>
      <c r="W119" s="181">
        <v>1224.795245668</v>
      </c>
      <c r="X119" s="181">
        <v>1119.19830946</v>
      </c>
      <c r="Y119" s="181">
        <v>2657.4414732999999</v>
      </c>
      <c r="Z119" s="181">
        <v>4626.2222297759999</v>
      </c>
    </row>
    <row r="120" spans="1:26">
      <c r="A120" s="180" t="s">
        <v>82</v>
      </c>
      <c r="B120" s="181">
        <v>309.58646633000001</v>
      </c>
      <c r="C120" s="181">
        <v>273.43649621399999</v>
      </c>
      <c r="D120" s="181">
        <v>180.62302364999999</v>
      </c>
      <c r="E120" s="181">
        <v>369.77771444400003</v>
      </c>
      <c r="F120" s="181">
        <v>345.63732475400002</v>
      </c>
      <c r="G120" s="181">
        <v>153.27436067599999</v>
      </c>
      <c r="H120" s="181">
        <v>58.722846416000003</v>
      </c>
      <c r="I120" s="181">
        <v>35.299306414</v>
      </c>
      <c r="J120" s="181">
        <v>59.999602107999998</v>
      </c>
      <c r="K120" s="181">
        <v>39.235246795999998</v>
      </c>
      <c r="L120" s="181">
        <v>206.75095075799999</v>
      </c>
      <c r="M120" s="181">
        <v>138.76057288800001</v>
      </c>
      <c r="N120" s="181">
        <v>132.478563576</v>
      </c>
      <c r="O120" s="181">
        <v>160.23613672600001</v>
      </c>
      <c r="P120" s="181">
        <v>184.627649926</v>
      </c>
      <c r="Q120" s="181">
        <v>182.227465258</v>
      </c>
      <c r="R120" s="181">
        <v>129.46685282000001</v>
      </c>
      <c r="S120" s="181">
        <v>124.92970631599999</v>
      </c>
      <c r="T120" s="181">
        <v>54.725804748000002</v>
      </c>
      <c r="U120" s="181">
        <v>24.305235333999999</v>
      </c>
      <c r="V120" s="181">
        <v>70.640000060000006</v>
      </c>
      <c r="W120" s="181">
        <v>104.26472390000001</v>
      </c>
      <c r="X120" s="181">
        <v>116.03424181</v>
      </c>
      <c r="Y120" s="181">
        <v>172.10635217000001</v>
      </c>
      <c r="Z120" s="181">
        <v>318.75078227400002</v>
      </c>
    </row>
    <row r="121" spans="1:26">
      <c r="A121" s="180" t="s">
        <v>3</v>
      </c>
      <c r="B121" s="181">
        <v>5039.108604</v>
      </c>
      <c r="C121" s="181">
        <v>5096.3252270000003</v>
      </c>
      <c r="D121" s="181">
        <v>4592.3205680000001</v>
      </c>
      <c r="E121" s="181">
        <v>4488.9170219999996</v>
      </c>
      <c r="F121" s="181">
        <v>3812.588835</v>
      </c>
      <c r="G121" s="181">
        <v>3728.6750010000001</v>
      </c>
      <c r="H121" s="181">
        <v>3591.591351</v>
      </c>
      <c r="I121" s="181">
        <v>4471.0236880000002</v>
      </c>
      <c r="J121" s="181">
        <v>5135.7248909999998</v>
      </c>
      <c r="K121" s="181">
        <v>5013.0349210000004</v>
      </c>
      <c r="L121" s="181">
        <v>5150.6718030000002</v>
      </c>
      <c r="M121" s="181">
        <v>3829.983448</v>
      </c>
      <c r="N121" s="181">
        <v>4286.7606750000004</v>
      </c>
      <c r="O121" s="181">
        <v>5041.3888260000003</v>
      </c>
      <c r="P121" s="181">
        <v>4766.7856579999998</v>
      </c>
      <c r="Q121" s="181">
        <v>5274.7472820000003</v>
      </c>
      <c r="R121" s="181">
        <v>4621.6629220000004</v>
      </c>
      <c r="S121" s="181">
        <v>3976.917465</v>
      </c>
      <c r="T121" s="181">
        <v>4647.8769560000001</v>
      </c>
      <c r="U121" s="181">
        <v>5123.1117279999999</v>
      </c>
      <c r="V121" s="181">
        <v>5068.1443870000003</v>
      </c>
      <c r="W121" s="181">
        <v>4995.5062809999999</v>
      </c>
      <c r="X121" s="181">
        <v>4530.6687620000002</v>
      </c>
      <c r="Y121" s="181">
        <v>3427.5262950000001</v>
      </c>
      <c r="Z121" s="181">
        <v>4350.070831</v>
      </c>
    </row>
    <row r="122" spans="1:26">
      <c r="A122" s="180" t="s">
        <v>4</v>
      </c>
      <c r="B122" s="181">
        <v>4127.9248550000002</v>
      </c>
      <c r="C122" s="181">
        <v>3020.0708690000001</v>
      </c>
      <c r="D122" s="181">
        <v>3488.6858969999998</v>
      </c>
      <c r="E122" s="181">
        <v>1310.6821359999999</v>
      </c>
      <c r="F122" s="181">
        <v>1360.5891569999999</v>
      </c>
      <c r="G122" s="181">
        <v>2254.3190730000001</v>
      </c>
      <c r="H122" s="181">
        <v>2273.6253510000001</v>
      </c>
      <c r="I122" s="181">
        <v>3487.5592799999999</v>
      </c>
      <c r="J122" s="181">
        <v>3495.8629919999998</v>
      </c>
      <c r="K122" s="181">
        <v>4104.839301</v>
      </c>
      <c r="L122" s="181">
        <v>3364.3719850000002</v>
      </c>
      <c r="M122" s="181">
        <v>3875.2183620000001</v>
      </c>
      <c r="N122" s="181">
        <v>2845.2103820000002</v>
      </c>
      <c r="O122" s="181">
        <v>3075.0126260000002</v>
      </c>
      <c r="P122" s="181">
        <v>2246.7762189999999</v>
      </c>
      <c r="Q122" s="181">
        <v>824.64084000000003</v>
      </c>
      <c r="R122" s="181">
        <v>722.92722700000002</v>
      </c>
      <c r="S122" s="181">
        <v>342.70616999999999</v>
      </c>
      <c r="T122" s="181">
        <v>416.30111399999998</v>
      </c>
      <c r="U122" s="181">
        <v>661.90379600000006</v>
      </c>
      <c r="V122" s="181">
        <v>341.39558</v>
      </c>
      <c r="W122" s="181">
        <v>443.18280800000002</v>
      </c>
      <c r="X122" s="181">
        <v>675.62506499999995</v>
      </c>
      <c r="Y122" s="181">
        <v>548.229692</v>
      </c>
      <c r="Z122" s="181">
        <v>374.11575099999999</v>
      </c>
    </row>
    <row r="123" spans="1:26">
      <c r="A123" s="180" t="s">
        <v>98</v>
      </c>
      <c r="B123" s="181">
        <v>0</v>
      </c>
      <c r="C123" s="181">
        <v>0</v>
      </c>
      <c r="D123" s="181">
        <v>0</v>
      </c>
      <c r="E123" s="181">
        <v>0</v>
      </c>
      <c r="F123" s="181">
        <v>0</v>
      </c>
      <c r="G123" s="181">
        <v>-9.9999999999999995E-7</v>
      </c>
      <c r="H123" s="181">
        <v>0</v>
      </c>
      <c r="I123" s="181">
        <v>9.9999999999999995E-7</v>
      </c>
      <c r="J123" s="181">
        <v>-9.9999999999999995E-7</v>
      </c>
      <c r="K123" s="181">
        <v>0</v>
      </c>
      <c r="L123" s="181">
        <v>0</v>
      </c>
      <c r="M123" s="181">
        <v>0</v>
      </c>
      <c r="N123" s="181">
        <v>0</v>
      </c>
      <c r="O123" s="181">
        <v>0</v>
      </c>
      <c r="P123" s="181">
        <v>0</v>
      </c>
      <c r="Q123" s="181">
        <v>0</v>
      </c>
      <c r="R123" s="181">
        <v>9.9999999999999995E-7</v>
      </c>
      <c r="S123" s="181">
        <v>-9.9999999999999995E-7</v>
      </c>
      <c r="T123" s="181">
        <v>0</v>
      </c>
      <c r="U123" s="181">
        <v>0</v>
      </c>
      <c r="V123" s="181">
        <v>-9.9999999999999995E-7</v>
      </c>
      <c r="W123" s="181">
        <v>9.9999999999999995E-7</v>
      </c>
      <c r="X123" s="181">
        <v>-9.9999999999999995E-7</v>
      </c>
      <c r="Y123" s="181">
        <v>0</v>
      </c>
      <c r="Z123" s="181">
        <v>0</v>
      </c>
    </row>
    <row r="124" spans="1:26">
      <c r="A124" s="180" t="s">
        <v>11</v>
      </c>
      <c r="B124" s="181">
        <v>3028.112431</v>
      </c>
      <c r="C124" s="181">
        <v>2254.6323689999999</v>
      </c>
      <c r="D124" s="181">
        <v>1950.724201</v>
      </c>
      <c r="E124" s="181">
        <v>1248.0405949999999</v>
      </c>
      <c r="F124" s="181">
        <v>1200.6612050000001</v>
      </c>
      <c r="G124" s="181">
        <v>1968.425332</v>
      </c>
      <c r="H124" s="181">
        <v>2180.126706</v>
      </c>
      <c r="I124" s="181">
        <v>2229.279387</v>
      </c>
      <c r="J124" s="181">
        <v>2663.0061409999998</v>
      </c>
      <c r="K124" s="181">
        <v>2148.6592919999998</v>
      </c>
      <c r="L124" s="181">
        <v>2501.819391</v>
      </c>
      <c r="M124" s="181">
        <v>3160.857532</v>
      </c>
      <c r="N124" s="181">
        <v>2896.6909179999998</v>
      </c>
      <c r="O124" s="181">
        <v>3198.741031</v>
      </c>
      <c r="P124" s="181">
        <v>2453.2141339999998</v>
      </c>
      <c r="Q124" s="181">
        <v>2129.0058009999998</v>
      </c>
      <c r="R124" s="181">
        <v>2714.2505219999998</v>
      </c>
      <c r="S124" s="181">
        <v>3899.4977060000001</v>
      </c>
      <c r="T124" s="181">
        <v>5107.4552890000004</v>
      </c>
      <c r="U124" s="181">
        <v>6956.6277</v>
      </c>
      <c r="V124" s="181">
        <v>7016.5746319999998</v>
      </c>
      <c r="W124" s="181">
        <v>5427.2651390000001</v>
      </c>
      <c r="X124" s="181">
        <v>5623.0261039999996</v>
      </c>
      <c r="Y124" s="181">
        <v>3859.056505</v>
      </c>
      <c r="Z124" s="181">
        <v>2755.641838</v>
      </c>
    </row>
    <row r="125" spans="1:26">
      <c r="A125" s="180" t="s">
        <v>5</v>
      </c>
      <c r="B125" s="181">
        <v>5753.2533069999999</v>
      </c>
      <c r="C125" s="181">
        <v>5291.4194159999997</v>
      </c>
      <c r="D125" s="181">
        <v>4633.9354240000002</v>
      </c>
      <c r="E125" s="181">
        <v>7675.5061070000002</v>
      </c>
      <c r="F125" s="181">
        <v>4415.6253749999996</v>
      </c>
      <c r="G125" s="181">
        <v>3264.1514889999999</v>
      </c>
      <c r="H125" s="181">
        <v>2576.1112600000001</v>
      </c>
      <c r="I125" s="181">
        <v>2480.8914359999999</v>
      </c>
      <c r="J125" s="181">
        <v>3067.4116530000001</v>
      </c>
      <c r="K125" s="181">
        <v>2406.6124519999998</v>
      </c>
      <c r="L125" s="181">
        <v>4298.9980910000004</v>
      </c>
      <c r="M125" s="181">
        <v>4526.0070180000002</v>
      </c>
      <c r="N125" s="181">
        <v>4319.0333719999999</v>
      </c>
      <c r="O125" s="181">
        <v>5970.6822620000003</v>
      </c>
      <c r="P125" s="181">
        <v>3646.796961</v>
      </c>
      <c r="Q125" s="181">
        <v>4823.6493200000004</v>
      </c>
      <c r="R125" s="181">
        <v>4595.9236090000004</v>
      </c>
      <c r="S125" s="181">
        <v>4581.0172030000003</v>
      </c>
      <c r="T125" s="181">
        <v>3212.2473199999999</v>
      </c>
      <c r="U125" s="181">
        <v>3281.9046039999998</v>
      </c>
      <c r="V125" s="181">
        <v>2731.9341749999999</v>
      </c>
      <c r="W125" s="181">
        <v>3793.205336</v>
      </c>
      <c r="X125" s="181">
        <v>3719.343633</v>
      </c>
      <c r="Y125" s="181">
        <v>7316.8681889999998</v>
      </c>
      <c r="Z125" s="181">
        <v>5394.242784</v>
      </c>
    </row>
    <row r="126" spans="1:26">
      <c r="A126" s="180" t="s">
        <v>6</v>
      </c>
      <c r="B126" s="181">
        <v>409.20418100000001</v>
      </c>
      <c r="C126" s="181">
        <v>418.42106100000001</v>
      </c>
      <c r="D126" s="181">
        <v>487.84570400000001</v>
      </c>
      <c r="E126" s="181">
        <v>556.16750500000001</v>
      </c>
      <c r="F126" s="181">
        <v>665.30385200000001</v>
      </c>
      <c r="G126" s="181">
        <v>778.63753499999996</v>
      </c>
      <c r="H126" s="181">
        <v>781.41990099999998</v>
      </c>
      <c r="I126" s="181">
        <v>892.45500200000004</v>
      </c>
      <c r="J126" s="181">
        <v>808.18866300000002</v>
      </c>
      <c r="K126" s="181">
        <v>688.75342999999998</v>
      </c>
      <c r="L126" s="181">
        <v>544.35415599999999</v>
      </c>
      <c r="M126" s="181">
        <v>354.26862799999998</v>
      </c>
      <c r="N126" s="181">
        <v>404.732145</v>
      </c>
      <c r="O126" s="181">
        <v>482.13161500000001</v>
      </c>
      <c r="P126" s="181">
        <v>604.07747800000004</v>
      </c>
      <c r="Q126" s="181">
        <v>775.97597499999995</v>
      </c>
      <c r="R126" s="181">
        <v>667.67046800000003</v>
      </c>
      <c r="S126" s="181">
        <v>897.52717800000005</v>
      </c>
      <c r="T126" s="181">
        <v>895.42524700000001</v>
      </c>
      <c r="U126" s="181">
        <v>958.50606300000004</v>
      </c>
      <c r="V126" s="181">
        <v>972.51861699999995</v>
      </c>
      <c r="W126" s="181">
        <v>826.34228099999996</v>
      </c>
      <c r="X126" s="181">
        <v>758.14945899999998</v>
      </c>
      <c r="Y126" s="181">
        <v>497.89184699999998</v>
      </c>
      <c r="Z126" s="181">
        <v>487.55590599999999</v>
      </c>
    </row>
    <row r="127" spans="1:26">
      <c r="A127" s="180" t="s">
        <v>7</v>
      </c>
      <c r="B127" s="181">
        <v>131.19532899999999</v>
      </c>
      <c r="C127" s="181">
        <v>112.387517</v>
      </c>
      <c r="D127" s="181">
        <v>229.80815100000001</v>
      </c>
      <c r="E127" s="181">
        <v>233.95594299999999</v>
      </c>
      <c r="F127" s="181">
        <v>325.935092</v>
      </c>
      <c r="G127" s="181">
        <v>477.20963399999999</v>
      </c>
      <c r="H127" s="181">
        <v>551.29260299999999</v>
      </c>
      <c r="I127" s="181">
        <v>858.89832999999999</v>
      </c>
      <c r="J127" s="181">
        <v>688.557997</v>
      </c>
      <c r="K127" s="181">
        <v>465.63698499999998</v>
      </c>
      <c r="L127" s="181">
        <v>292.49343099999999</v>
      </c>
      <c r="M127" s="181">
        <v>78.576116999999996</v>
      </c>
      <c r="N127" s="181">
        <v>109.57487399999999</v>
      </c>
      <c r="O127" s="181">
        <v>166.15012899999999</v>
      </c>
      <c r="P127" s="181">
        <v>261.97860300000002</v>
      </c>
      <c r="Q127" s="181">
        <v>477.846093</v>
      </c>
      <c r="R127" s="181">
        <v>379.26881700000001</v>
      </c>
      <c r="S127" s="181">
        <v>740.99772700000005</v>
      </c>
      <c r="T127" s="181">
        <v>775.05760599999996</v>
      </c>
      <c r="U127" s="181">
        <v>722.86748999999998</v>
      </c>
      <c r="V127" s="181">
        <v>745.49877100000003</v>
      </c>
      <c r="W127" s="181">
        <v>454.73186500000003</v>
      </c>
      <c r="X127" s="181">
        <v>303.08525700000001</v>
      </c>
      <c r="Y127" s="181">
        <v>69.970612000000003</v>
      </c>
      <c r="Z127" s="181">
        <v>68.978292999999994</v>
      </c>
    </row>
    <row r="128" spans="1:26">
      <c r="A128" s="180" t="s">
        <v>8</v>
      </c>
      <c r="B128" s="181">
        <v>312.05713400000002</v>
      </c>
      <c r="C128" s="181">
        <v>295.34999699999997</v>
      </c>
      <c r="D128" s="181">
        <v>300.78865500000001</v>
      </c>
      <c r="E128" s="181">
        <v>270.61248599999999</v>
      </c>
      <c r="F128" s="181">
        <v>237.13678899999999</v>
      </c>
      <c r="G128" s="181">
        <v>290.86737199999999</v>
      </c>
      <c r="H128" s="181">
        <v>304.160034</v>
      </c>
      <c r="I128" s="181">
        <v>323.41282999999999</v>
      </c>
      <c r="J128" s="181">
        <v>316.53357699999998</v>
      </c>
      <c r="K128" s="181">
        <v>319.43425999999999</v>
      </c>
      <c r="L128" s="181">
        <v>296.89508599999999</v>
      </c>
      <c r="M128" s="181">
        <v>292.56813</v>
      </c>
      <c r="N128" s="181">
        <v>299.41570200000001</v>
      </c>
      <c r="O128" s="181">
        <v>303.48312600000003</v>
      </c>
      <c r="P128" s="181">
        <v>284.79867300000001</v>
      </c>
      <c r="Q128" s="181">
        <v>309.41373599999997</v>
      </c>
      <c r="R128" s="181">
        <v>274.24882200000002</v>
      </c>
      <c r="S128" s="181">
        <v>282.125969</v>
      </c>
      <c r="T128" s="181">
        <v>285.594067</v>
      </c>
      <c r="U128" s="181">
        <v>325.694455</v>
      </c>
      <c r="V128" s="181">
        <v>320.61544400000002</v>
      </c>
      <c r="W128" s="181">
        <v>301.51870000000002</v>
      </c>
      <c r="X128" s="181">
        <v>309.88871</v>
      </c>
      <c r="Y128" s="181">
        <v>308.26278200000002</v>
      </c>
      <c r="Z128" s="181">
        <v>299.682208</v>
      </c>
    </row>
    <row r="129" spans="1:26">
      <c r="A129" s="180" t="s">
        <v>9</v>
      </c>
      <c r="B129" s="181">
        <v>2489.6415259999999</v>
      </c>
      <c r="C129" s="181">
        <v>2480.6091289999999</v>
      </c>
      <c r="D129" s="181">
        <v>2251.5292599999998</v>
      </c>
      <c r="E129" s="181">
        <v>2335.6511700000001</v>
      </c>
      <c r="F129" s="181">
        <v>2353.5937800000002</v>
      </c>
      <c r="G129" s="181">
        <v>2418.3057220000001</v>
      </c>
      <c r="H129" s="181">
        <v>2403.6677800000002</v>
      </c>
      <c r="I129" s="181">
        <v>2436.601287</v>
      </c>
      <c r="J129" s="181">
        <v>2361.294789</v>
      </c>
      <c r="K129" s="181">
        <v>2408.3296150000001</v>
      </c>
      <c r="L129" s="181">
        <v>2520.0724319999999</v>
      </c>
      <c r="M129" s="181">
        <v>2472.1865079999998</v>
      </c>
      <c r="N129" s="181">
        <v>2529.9413220000001</v>
      </c>
      <c r="O129" s="181">
        <v>2671.4589550000001</v>
      </c>
      <c r="P129" s="181">
        <v>2391.3661729999999</v>
      </c>
      <c r="Q129" s="181">
        <v>2591.305206</v>
      </c>
      <c r="R129" s="181">
        <v>2489.5731639999999</v>
      </c>
      <c r="S129" s="181">
        <v>2544.8537660000002</v>
      </c>
      <c r="T129" s="181">
        <v>2419.8174090000002</v>
      </c>
      <c r="U129" s="181">
        <v>2457.5535610000002</v>
      </c>
      <c r="V129" s="181">
        <v>2354.265065</v>
      </c>
      <c r="W129" s="181">
        <v>2352.8584179999998</v>
      </c>
      <c r="X129" s="181">
        <v>2483.371537</v>
      </c>
      <c r="Y129" s="181">
        <v>2465.2001190000001</v>
      </c>
      <c r="Z129" s="181">
        <v>2334.6439070000001</v>
      </c>
    </row>
    <row r="130" spans="1:26">
      <c r="A130" s="180" t="s">
        <v>70</v>
      </c>
      <c r="B130" s="181">
        <v>69.971927500000007</v>
      </c>
      <c r="C130" s="181">
        <v>69.2635705</v>
      </c>
      <c r="D130" s="181">
        <v>62.195681999999998</v>
      </c>
      <c r="E130" s="181">
        <v>65.909200499999997</v>
      </c>
      <c r="F130" s="181">
        <v>66.929152000000002</v>
      </c>
      <c r="G130" s="181">
        <v>24.344857999999999</v>
      </c>
      <c r="H130" s="181">
        <v>50.806421</v>
      </c>
      <c r="I130" s="181">
        <v>64.813796999999994</v>
      </c>
      <c r="J130" s="181">
        <v>65.755174499999995</v>
      </c>
      <c r="K130" s="181">
        <v>64.739834999999999</v>
      </c>
      <c r="L130" s="181">
        <v>66.706254000000001</v>
      </c>
      <c r="M130" s="181">
        <v>61.593868999999998</v>
      </c>
      <c r="N130" s="181">
        <v>69.912847999999997</v>
      </c>
      <c r="O130" s="181">
        <v>63.503646000000003</v>
      </c>
      <c r="P130" s="181">
        <v>61.891773000000001</v>
      </c>
      <c r="Q130" s="181">
        <v>67.360605500000005</v>
      </c>
      <c r="R130" s="181">
        <v>64.179035999999996</v>
      </c>
      <c r="S130" s="181">
        <v>36.450611000000002</v>
      </c>
      <c r="T130" s="181">
        <v>62.621202500000003</v>
      </c>
      <c r="U130" s="181">
        <v>65.608477500000006</v>
      </c>
      <c r="V130" s="181">
        <v>66.150598000000002</v>
      </c>
      <c r="W130" s="181">
        <v>63.723962499999999</v>
      </c>
      <c r="X130" s="181">
        <v>61.976173000000003</v>
      </c>
      <c r="Y130" s="181">
        <v>60.149876499999998</v>
      </c>
      <c r="Z130" s="181">
        <v>65.337529000000004</v>
      </c>
    </row>
    <row r="131" spans="1:26">
      <c r="A131" s="180" t="s">
        <v>71</v>
      </c>
      <c r="B131" s="181">
        <v>218.5268145</v>
      </c>
      <c r="C131" s="181">
        <v>226.5715625</v>
      </c>
      <c r="D131" s="181">
        <v>204.21008800000001</v>
      </c>
      <c r="E131" s="181">
        <v>215.3954785</v>
      </c>
      <c r="F131" s="181">
        <v>167.63117500000001</v>
      </c>
      <c r="G131" s="181">
        <v>137.027331</v>
      </c>
      <c r="H131" s="181">
        <v>175.41279499999999</v>
      </c>
      <c r="I131" s="181">
        <v>199.57543200000001</v>
      </c>
      <c r="J131" s="181">
        <v>194.6585925</v>
      </c>
      <c r="K131" s="181">
        <v>189.02059499999999</v>
      </c>
      <c r="L131" s="181">
        <v>201.64528799999999</v>
      </c>
      <c r="M131" s="181">
        <v>191.94905</v>
      </c>
      <c r="N131" s="181">
        <v>190.76081500000001</v>
      </c>
      <c r="O131" s="181">
        <v>196.595054</v>
      </c>
      <c r="P131" s="181">
        <v>180.749244</v>
      </c>
      <c r="Q131" s="181">
        <v>200.77951049999999</v>
      </c>
      <c r="R131" s="181">
        <v>175.342614</v>
      </c>
      <c r="S131" s="181">
        <v>154.68218999999999</v>
      </c>
      <c r="T131" s="181">
        <v>156.89450450000001</v>
      </c>
      <c r="U131" s="181">
        <v>161.3076265</v>
      </c>
      <c r="V131" s="181">
        <v>182.311137</v>
      </c>
      <c r="W131" s="181">
        <v>188.01692750000001</v>
      </c>
      <c r="X131" s="181">
        <v>169.37619900000001</v>
      </c>
      <c r="Y131" s="181">
        <v>144.5833825</v>
      </c>
      <c r="Z131" s="181">
        <v>160.99247</v>
      </c>
    </row>
    <row r="132" spans="1:26">
      <c r="A132" s="183" t="s">
        <v>10</v>
      </c>
      <c r="B132" s="184">
        <v>23139.166506000001</v>
      </c>
      <c r="C132" s="184">
        <v>21733.089779999998</v>
      </c>
      <c r="D132" s="184">
        <v>20771.527657999999</v>
      </c>
      <c r="E132" s="184">
        <v>23172.739742000002</v>
      </c>
      <c r="F132" s="184">
        <v>19669.804617000002</v>
      </c>
      <c r="G132" s="184">
        <v>19018.097824</v>
      </c>
      <c r="H132" s="184">
        <v>18664.719179</v>
      </c>
      <c r="I132" s="184">
        <v>20506.906053999999</v>
      </c>
      <c r="J132" s="184">
        <v>20962.283114000002</v>
      </c>
      <c r="K132" s="184">
        <v>19774.852414558001</v>
      </c>
      <c r="L132" s="184">
        <v>20907.193896085999</v>
      </c>
      <c r="M132" s="184">
        <v>21143.744718702001</v>
      </c>
      <c r="N132" s="184">
        <v>20570.940449220001</v>
      </c>
      <c r="O132" s="184">
        <v>23456.305547982</v>
      </c>
      <c r="P132" s="184">
        <v>19566.203000498001</v>
      </c>
      <c r="Q132" s="184">
        <v>19789.10295421</v>
      </c>
      <c r="R132" s="184">
        <v>18759.471687008001</v>
      </c>
      <c r="S132" s="184">
        <v>19516.432829091998</v>
      </c>
      <c r="T132" s="184">
        <v>19660.110532658</v>
      </c>
      <c r="U132" s="184">
        <v>22320.961121159999</v>
      </c>
      <c r="V132" s="184">
        <v>21124.489138887999</v>
      </c>
      <c r="W132" s="184">
        <v>20175.411688568001</v>
      </c>
      <c r="X132" s="184">
        <v>19869.743449270001</v>
      </c>
      <c r="Y132" s="184">
        <v>21527.28712547</v>
      </c>
      <c r="Z132" s="184">
        <v>21236.234529050002</v>
      </c>
    </row>
    <row r="133" spans="1:26">
      <c r="A133" s="180" t="s">
        <v>130</v>
      </c>
      <c r="B133" s="181">
        <v>-555.38172199999997</v>
      </c>
      <c r="C133" s="181">
        <v>-391.45797700000003</v>
      </c>
      <c r="D133" s="181">
        <v>-253.86108899999999</v>
      </c>
      <c r="E133" s="181">
        <v>-733.49642400000005</v>
      </c>
      <c r="F133" s="181">
        <v>-560.06841218399995</v>
      </c>
      <c r="G133" s="181">
        <v>-213.24354462900001</v>
      </c>
      <c r="H133" s="181">
        <v>-83.652090872000002</v>
      </c>
      <c r="I133" s="181">
        <v>-57.907585935999997</v>
      </c>
      <c r="J133" s="181">
        <v>-68.84204416</v>
      </c>
      <c r="K133" s="181">
        <v>-48.817158288000002</v>
      </c>
      <c r="L133" s="181">
        <v>-343.46447804799999</v>
      </c>
      <c r="M133" s="181">
        <v>-220.547036048</v>
      </c>
      <c r="N133" s="181">
        <v>-223.074538808</v>
      </c>
      <c r="O133" s="181">
        <v>-268.75495043199999</v>
      </c>
      <c r="P133" s="181">
        <v>-304.12485214399999</v>
      </c>
      <c r="Q133" s="181">
        <v>-332.55576095800001</v>
      </c>
      <c r="R133" s="181">
        <v>-213.481917952</v>
      </c>
      <c r="S133" s="181">
        <v>-222.71179390399999</v>
      </c>
      <c r="T133" s="181">
        <v>-70.794484952000005</v>
      </c>
      <c r="U133" s="181">
        <v>-79.229421951999996</v>
      </c>
      <c r="V133" s="181">
        <v>-113.608948904</v>
      </c>
      <c r="W133" s="181">
        <v>-188.46613504800001</v>
      </c>
      <c r="X133" s="181">
        <v>-180.314976</v>
      </c>
      <c r="Y133" s="181">
        <v>-350.171471</v>
      </c>
      <c r="Z133" s="181">
        <v>-700.75410199999999</v>
      </c>
    </row>
    <row r="134" spans="1:26">
      <c r="A134" s="180" t="s">
        <v>100</v>
      </c>
      <c r="B134" s="181">
        <v>-91.766864999999996</v>
      </c>
      <c r="C134" s="181">
        <v>-86.203828999999999</v>
      </c>
      <c r="D134" s="181">
        <v>-99.993398999999997</v>
      </c>
      <c r="E134" s="181">
        <v>-89.996875000000003</v>
      </c>
      <c r="F134" s="181">
        <v>-66.467519999999993</v>
      </c>
      <c r="G134" s="181">
        <v>-89.565090999999995</v>
      </c>
      <c r="H134" s="181">
        <v>-108.62363499999999</v>
      </c>
      <c r="I134" s="181">
        <v>-161.79160300000001</v>
      </c>
      <c r="J134" s="181">
        <v>-153.133589</v>
      </c>
      <c r="K134" s="181">
        <v>-107.931268</v>
      </c>
      <c r="L134" s="181">
        <v>-92.007576999999998</v>
      </c>
      <c r="M134" s="181">
        <v>-65.068314999999998</v>
      </c>
      <c r="N134" s="181">
        <v>-112.575441</v>
      </c>
      <c r="O134" s="181">
        <v>-137.254998</v>
      </c>
      <c r="P134" s="181">
        <v>-119.223619</v>
      </c>
      <c r="Q134" s="181">
        <v>-122.32533599999999</v>
      </c>
      <c r="R134" s="181">
        <v>-124.430774</v>
      </c>
      <c r="S134" s="181">
        <v>-143.16130000000001</v>
      </c>
      <c r="T134" s="181">
        <v>-159.634671</v>
      </c>
      <c r="U134" s="181">
        <v>-201.16611399999999</v>
      </c>
      <c r="V134" s="181">
        <v>-185.76976199999999</v>
      </c>
      <c r="W134" s="181">
        <v>-153.19726600000001</v>
      </c>
      <c r="X134" s="181">
        <v>-137.66557</v>
      </c>
      <c r="Y134" s="181">
        <v>-91.396833999999998</v>
      </c>
      <c r="Z134" s="181">
        <v>-119.614278</v>
      </c>
    </row>
    <row r="135" spans="1:26">
      <c r="A135" s="180" t="s">
        <v>131</v>
      </c>
      <c r="B135" s="181">
        <v>-339.92811599999999</v>
      </c>
      <c r="C135" s="181">
        <v>1340.2982629999999</v>
      </c>
      <c r="D135" s="181">
        <v>857.10299299999997</v>
      </c>
      <c r="E135" s="181">
        <v>-273.62203199999999</v>
      </c>
      <c r="F135" s="181">
        <v>882.59852599999999</v>
      </c>
      <c r="G135" s="181">
        <v>1368.3609369999999</v>
      </c>
      <c r="H135" s="181">
        <v>1863.9643000000001</v>
      </c>
      <c r="I135" s="181">
        <v>1893.727091</v>
      </c>
      <c r="J135" s="181">
        <v>1244.0220750000001</v>
      </c>
      <c r="K135" s="181">
        <v>1124.4621509999999</v>
      </c>
      <c r="L135" s="181">
        <v>-182.46856</v>
      </c>
      <c r="M135" s="181">
        <v>44.679403999999998</v>
      </c>
      <c r="N135" s="181">
        <v>939.18599800000004</v>
      </c>
      <c r="O135" s="181">
        <v>246.35344599999999</v>
      </c>
      <c r="P135" s="181">
        <v>1011.7751479999999</v>
      </c>
      <c r="Q135" s="181">
        <v>1392.1786890000001</v>
      </c>
      <c r="R135" s="181">
        <v>1091.119678</v>
      </c>
      <c r="S135" s="181">
        <v>747.80053699999996</v>
      </c>
      <c r="T135" s="181">
        <v>536.87445300000002</v>
      </c>
      <c r="U135" s="181">
        <v>657.10206200000005</v>
      </c>
      <c r="V135" s="181">
        <v>348.80169899999999</v>
      </c>
      <c r="W135" s="181">
        <v>97.964608999999996</v>
      </c>
      <c r="X135" s="181">
        <v>580.94192099999998</v>
      </c>
      <c r="Y135" s="181">
        <v>-297.39445499999999</v>
      </c>
      <c r="Z135" s="181">
        <v>448.80726199999998</v>
      </c>
    </row>
    <row r="136" spans="1:26">
      <c r="A136" s="183" t="s">
        <v>132</v>
      </c>
      <c r="B136" s="184">
        <v>22152.089802999999</v>
      </c>
      <c r="C136" s="184">
        <v>22595.726236999999</v>
      </c>
      <c r="D136" s="184">
        <v>21274.776162999999</v>
      </c>
      <c r="E136" s="184">
        <v>22075.624411000001</v>
      </c>
      <c r="F136" s="184">
        <v>19925.867210815999</v>
      </c>
      <c r="G136" s="184">
        <v>20083.650125371001</v>
      </c>
      <c r="H136" s="184">
        <v>20336.407753128002</v>
      </c>
      <c r="I136" s="184">
        <v>22180.933956064</v>
      </c>
      <c r="J136" s="184">
        <v>21984.329555839999</v>
      </c>
      <c r="K136" s="184">
        <v>20742.566139269999</v>
      </c>
      <c r="L136" s="184">
        <v>20289.253281038</v>
      </c>
      <c r="M136" s="184">
        <v>20902.808771653999</v>
      </c>
      <c r="N136" s="184">
        <v>21174.476467412002</v>
      </c>
      <c r="O136" s="184">
        <v>23296.649045549999</v>
      </c>
      <c r="P136" s="184">
        <v>20154.629677354002</v>
      </c>
      <c r="Q136" s="184">
        <v>20726.400546252</v>
      </c>
      <c r="R136" s="184">
        <v>19512.678673056002</v>
      </c>
      <c r="S136" s="184">
        <v>19898.360272188002</v>
      </c>
      <c r="T136" s="184">
        <v>19966.555829706002</v>
      </c>
      <c r="U136" s="184">
        <v>22697.667647208</v>
      </c>
      <c r="V136" s="184">
        <v>21173.912126984</v>
      </c>
      <c r="W136" s="184">
        <v>19931.712896519999</v>
      </c>
      <c r="X136" s="184">
        <v>20132.70482427</v>
      </c>
      <c r="Y136" s="184">
        <v>20788.324365470002</v>
      </c>
      <c r="Z136" s="184">
        <v>20864.67341105</v>
      </c>
    </row>
    <row r="140" spans="1:26" s="193" customFormat="1" ht="12">
      <c r="A140" s="199" t="s">
        <v>30</v>
      </c>
      <c r="B140" s="199" t="str">
        <f>MID(UPPER(TEXT(B141,"mmm")),1,1)</f>
        <v>D</v>
      </c>
      <c r="C140" s="199" t="str">
        <f t="shared" ref="C140:N140" si="8">MID(UPPER(TEXT(C141,"mmm")),1,1)</f>
        <v>E</v>
      </c>
      <c r="D140" s="199" t="str">
        <f t="shared" si="8"/>
        <v>F</v>
      </c>
      <c r="E140" s="199" t="str">
        <f t="shared" si="8"/>
        <v>M</v>
      </c>
      <c r="F140" s="199" t="str">
        <f t="shared" si="8"/>
        <v>A</v>
      </c>
      <c r="G140" s="199" t="str">
        <f t="shared" si="8"/>
        <v>M</v>
      </c>
      <c r="H140" s="199" t="str">
        <f t="shared" si="8"/>
        <v>J</v>
      </c>
      <c r="I140" s="199" t="str">
        <f t="shared" si="8"/>
        <v>J</v>
      </c>
      <c r="J140" s="199" t="str">
        <f t="shared" si="8"/>
        <v>A</v>
      </c>
      <c r="K140" s="199" t="str">
        <f t="shared" si="8"/>
        <v>S</v>
      </c>
      <c r="L140" s="199" t="str">
        <f t="shared" si="8"/>
        <v>O</v>
      </c>
      <c r="M140" s="199" t="str">
        <f t="shared" si="8"/>
        <v>N</v>
      </c>
      <c r="N140" s="199" t="str">
        <f t="shared" si="8"/>
        <v>D</v>
      </c>
    </row>
    <row r="141" spans="1:26" s="193" customFormat="1" ht="12">
      <c r="A141" s="199" t="s">
        <v>117</v>
      </c>
      <c r="B141" s="199" t="str">
        <f>TEXT(EDATE(C141,-1),"mmmm aaaa")</f>
        <v>diciembre 2018</v>
      </c>
      <c r="C141" s="199" t="str">
        <f t="shared" ref="C141:L141" si="9">TEXT(EDATE(D141,-1),"mmmm aaaa")</f>
        <v>enero 2019</v>
      </c>
      <c r="D141" s="199" t="str">
        <f t="shared" si="9"/>
        <v>febrero 2019</v>
      </c>
      <c r="E141" s="199" t="str">
        <f t="shared" si="9"/>
        <v>marzo 2019</v>
      </c>
      <c r="F141" s="199" t="str">
        <f t="shared" si="9"/>
        <v>abril 2019</v>
      </c>
      <c r="G141" s="199" t="str">
        <f t="shared" si="9"/>
        <v>mayo 2019</v>
      </c>
      <c r="H141" s="199" t="str">
        <f t="shared" si="9"/>
        <v>junio 2019</v>
      </c>
      <c r="I141" s="199" t="str">
        <f t="shared" si="9"/>
        <v>julio 2019</v>
      </c>
      <c r="J141" s="199" t="str">
        <f t="shared" si="9"/>
        <v>agosto 2019</v>
      </c>
      <c r="K141" s="199" t="str">
        <f t="shared" si="9"/>
        <v>septiembre 2019</v>
      </c>
      <c r="L141" s="199" t="str">
        <f t="shared" si="9"/>
        <v>octubre 2019</v>
      </c>
      <c r="M141" s="199" t="str">
        <f>TEXT(EDATE(N141,-1),"mmmm aaaa")</f>
        <v>noviembre 2019</v>
      </c>
      <c r="N141" s="199" t="str">
        <f>A2</f>
        <v>Diciembre 2019</v>
      </c>
    </row>
    <row r="142" spans="1:26" s="196" customFormat="1" ht="12">
      <c r="A142" s="194" t="s">
        <v>2</v>
      </c>
      <c r="B142" s="195">
        <f>HLOOKUP(B$141,$117:$133,3,FALSE)</f>
        <v>2486.4288326440001</v>
      </c>
      <c r="C142" s="195">
        <f t="shared" ref="C142:N142" si="10">HLOOKUP(C$141,$117:$133,3,FALSE)</f>
        <v>2126.922141256</v>
      </c>
      <c r="D142" s="195">
        <f t="shared" si="10"/>
        <v>2483.1404345719998</v>
      </c>
      <c r="E142" s="195">
        <f t="shared" si="10"/>
        <v>2132.151119952</v>
      </c>
      <c r="F142" s="195">
        <f t="shared" si="10"/>
        <v>1924.9576321879999</v>
      </c>
      <c r="G142" s="195">
        <f t="shared" si="10"/>
        <v>1934.7271387759999</v>
      </c>
      <c r="H142" s="195">
        <f t="shared" si="10"/>
        <v>1626.0940129099999</v>
      </c>
      <c r="I142" s="195">
        <f t="shared" si="10"/>
        <v>1581.570384826</v>
      </c>
      <c r="J142" s="195">
        <f t="shared" si="10"/>
        <v>1254.440733828</v>
      </c>
      <c r="K142" s="195">
        <f t="shared" si="10"/>
        <v>1224.795245668</v>
      </c>
      <c r="L142" s="195">
        <f t="shared" si="10"/>
        <v>1119.19830946</v>
      </c>
      <c r="M142" s="195">
        <f t="shared" si="10"/>
        <v>2657.4414732999999</v>
      </c>
      <c r="N142" s="195">
        <f t="shared" si="10"/>
        <v>4626.2222297759999</v>
      </c>
    </row>
    <row r="143" spans="1:26" s="196" customFormat="1" ht="12">
      <c r="A143" s="194" t="s">
        <v>82</v>
      </c>
      <c r="B143" s="195">
        <f t="shared" ref="B143:N143" si="11">HLOOKUP(B$141,$117:$133,4,FALSE)</f>
        <v>132.478563576</v>
      </c>
      <c r="C143" s="195">
        <f t="shared" si="11"/>
        <v>160.23613672600001</v>
      </c>
      <c r="D143" s="195">
        <f t="shared" si="11"/>
        <v>184.627649926</v>
      </c>
      <c r="E143" s="195">
        <f t="shared" si="11"/>
        <v>182.227465258</v>
      </c>
      <c r="F143" s="195">
        <f t="shared" si="11"/>
        <v>129.46685282000001</v>
      </c>
      <c r="G143" s="195">
        <f t="shared" si="11"/>
        <v>124.92970631599999</v>
      </c>
      <c r="H143" s="195">
        <f t="shared" si="11"/>
        <v>54.725804748000002</v>
      </c>
      <c r="I143" s="195">
        <f t="shared" si="11"/>
        <v>24.305235333999999</v>
      </c>
      <c r="J143" s="195">
        <f t="shared" si="11"/>
        <v>70.640000060000006</v>
      </c>
      <c r="K143" s="195">
        <f t="shared" si="11"/>
        <v>104.26472390000001</v>
      </c>
      <c r="L143" s="195">
        <f t="shared" si="11"/>
        <v>116.03424181</v>
      </c>
      <c r="M143" s="195">
        <f t="shared" si="11"/>
        <v>172.10635217000001</v>
      </c>
      <c r="N143" s="195">
        <f t="shared" si="11"/>
        <v>318.75078227400002</v>
      </c>
    </row>
    <row r="144" spans="1:26" s="196" customFormat="1" ht="12">
      <c r="A144" s="194" t="s">
        <v>3</v>
      </c>
      <c r="B144" s="195">
        <f t="shared" ref="B144:N144" si="12">HLOOKUP(B$141,$117:$133,5,FALSE)</f>
        <v>4286.7606750000004</v>
      </c>
      <c r="C144" s="195">
        <f t="shared" si="12"/>
        <v>5041.3888260000003</v>
      </c>
      <c r="D144" s="195">
        <f t="shared" si="12"/>
        <v>4766.7856579999998</v>
      </c>
      <c r="E144" s="195">
        <f t="shared" si="12"/>
        <v>5274.7472820000003</v>
      </c>
      <c r="F144" s="195">
        <f t="shared" si="12"/>
        <v>4621.6629220000004</v>
      </c>
      <c r="G144" s="195">
        <f t="shared" si="12"/>
        <v>3976.917465</v>
      </c>
      <c r="H144" s="195">
        <f t="shared" si="12"/>
        <v>4647.8769560000001</v>
      </c>
      <c r="I144" s="195">
        <f t="shared" si="12"/>
        <v>5123.1117279999999</v>
      </c>
      <c r="J144" s="195">
        <f t="shared" si="12"/>
        <v>5068.1443870000003</v>
      </c>
      <c r="K144" s="195">
        <f t="shared" si="12"/>
        <v>4995.5062809999999</v>
      </c>
      <c r="L144" s="195">
        <f t="shared" si="12"/>
        <v>4530.6687620000002</v>
      </c>
      <c r="M144" s="195">
        <f t="shared" si="12"/>
        <v>3427.5262950000001</v>
      </c>
      <c r="N144" s="195">
        <f t="shared" si="12"/>
        <v>4350.070831</v>
      </c>
    </row>
    <row r="145" spans="1:15" s="196" customFormat="1" ht="12">
      <c r="A145" s="194" t="s">
        <v>4</v>
      </c>
      <c r="B145" s="195">
        <f t="shared" ref="B145:N145" si="13">HLOOKUP(B$141,$117:$133,6,FALSE)</f>
        <v>2845.2103820000002</v>
      </c>
      <c r="C145" s="195">
        <f t="shared" si="13"/>
        <v>3075.0126260000002</v>
      </c>
      <c r="D145" s="195">
        <f t="shared" si="13"/>
        <v>2246.7762189999999</v>
      </c>
      <c r="E145" s="195">
        <f t="shared" si="13"/>
        <v>824.64084000000003</v>
      </c>
      <c r="F145" s="195">
        <f t="shared" si="13"/>
        <v>722.92722700000002</v>
      </c>
      <c r="G145" s="195">
        <f t="shared" si="13"/>
        <v>342.70616999999999</v>
      </c>
      <c r="H145" s="195">
        <f t="shared" si="13"/>
        <v>416.30111399999998</v>
      </c>
      <c r="I145" s="195">
        <f t="shared" si="13"/>
        <v>661.90379600000006</v>
      </c>
      <c r="J145" s="195">
        <f t="shared" si="13"/>
        <v>341.39558</v>
      </c>
      <c r="K145" s="195">
        <f t="shared" si="13"/>
        <v>443.18280800000002</v>
      </c>
      <c r="L145" s="195">
        <f t="shared" si="13"/>
        <v>675.62506499999995</v>
      </c>
      <c r="M145" s="195">
        <f t="shared" si="13"/>
        <v>548.229692</v>
      </c>
      <c r="N145" s="195">
        <f t="shared" si="13"/>
        <v>374.11575099999999</v>
      </c>
    </row>
    <row r="146" spans="1:15" s="196" customFormat="1" ht="12">
      <c r="A146" s="194" t="s">
        <v>11</v>
      </c>
      <c r="B146" s="195">
        <f t="shared" ref="B146:N146" si="14">HLOOKUP(B$141,$117:$133,8,FALSE)</f>
        <v>2896.6909179999998</v>
      </c>
      <c r="C146" s="195">
        <f t="shared" si="14"/>
        <v>3198.741031</v>
      </c>
      <c r="D146" s="195">
        <f t="shared" si="14"/>
        <v>2453.2141339999998</v>
      </c>
      <c r="E146" s="195">
        <f t="shared" si="14"/>
        <v>2129.0058009999998</v>
      </c>
      <c r="F146" s="195">
        <f t="shared" si="14"/>
        <v>2714.2505219999998</v>
      </c>
      <c r="G146" s="195">
        <f t="shared" si="14"/>
        <v>3899.4977060000001</v>
      </c>
      <c r="H146" s="195">
        <f t="shared" si="14"/>
        <v>5107.4552890000004</v>
      </c>
      <c r="I146" s="195">
        <f t="shared" si="14"/>
        <v>6956.6277</v>
      </c>
      <c r="J146" s="195">
        <f t="shared" si="14"/>
        <v>7016.5746319999998</v>
      </c>
      <c r="K146" s="195">
        <f t="shared" si="14"/>
        <v>5427.2651390000001</v>
      </c>
      <c r="L146" s="195">
        <f t="shared" si="14"/>
        <v>5623.0261039999996</v>
      </c>
      <c r="M146" s="195">
        <f t="shared" si="14"/>
        <v>3859.056505</v>
      </c>
      <c r="N146" s="195">
        <f t="shared" si="14"/>
        <v>2755.641838</v>
      </c>
    </row>
    <row r="147" spans="1:15" s="196" customFormat="1" ht="12">
      <c r="A147" s="194" t="s">
        <v>5</v>
      </c>
      <c r="B147" s="195">
        <f t="shared" ref="B147:N147" si="15">HLOOKUP(B$141,$117:$133,9,FALSE)</f>
        <v>4319.0333719999999</v>
      </c>
      <c r="C147" s="195">
        <f t="shared" si="15"/>
        <v>5970.6822620000003</v>
      </c>
      <c r="D147" s="195">
        <f t="shared" si="15"/>
        <v>3646.796961</v>
      </c>
      <c r="E147" s="195">
        <f t="shared" si="15"/>
        <v>4823.6493200000004</v>
      </c>
      <c r="F147" s="195">
        <f t="shared" si="15"/>
        <v>4595.9236090000004</v>
      </c>
      <c r="G147" s="195">
        <f t="shared" si="15"/>
        <v>4581.0172030000003</v>
      </c>
      <c r="H147" s="195">
        <f t="shared" si="15"/>
        <v>3212.2473199999999</v>
      </c>
      <c r="I147" s="195">
        <f t="shared" si="15"/>
        <v>3281.9046039999998</v>
      </c>
      <c r="J147" s="195">
        <f t="shared" si="15"/>
        <v>2731.9341749999999</v>
      </c>
      <c r="K147" s="195">
        <f t="shared" si="15"/>
        <v>3793.205336</v>
      </c>
      <c r="L147" s="195">
        <f t="shared" si="15"/>
        <v>3719.343633</v>
      </c>
      <c r="M147" s="195">
        <f t="shared" si="15"/>
        <v>7316.8681889999998</v>
      </c>
      <c r="N147" s="195">
        <f t="shared" si="15"/>
        <v>5394.242784</v>
      </c>
    </row>
    <row r="148" spans="1:15" s="196" customFormat="1" ht="12">
      <c r="A148" s="194" t="s">
        <v>6</v>
      </c>
      <c r="B148" s="195">
        <f t="shared" ref="B148:N148" si="16">HLOOKUP(B$141,$117:$133,10,FALSE)</f>
        <v>404.732145</v>
      </c>
      <c r="C148" s="195">
        <f t="shared" si="16"/>
        <v>482.13161500000001</v>
      </c>
      <c r="D148" s="195">
        <f t="shared" si="16"/>
        <v>604.07747800000004</v>
      </c>
      <c r="E148" s="195">
        <f t="shared" si="16"/>
        <v>775.97597499999995</v>
      </c>
      <c r="F148" s="195">
        <f t="shared" si="16"/>
        <v>667.67046800000003</v>
      </c>
      <c r="G148" s="195">
        <f t="shared" si="16"/>
        <v>897.52717800000005</v>
      </c>
      <c r="H148" s="195">
        <f t="shared" si="16"/>
        <v>895.42524700000001</v>
      </c>
      <c r="I148" s="195">
        <f t="shared" si="16"/>
        <v>958.50606300000004</v>
      </c>
      <c r="J148" s="195">
        <f t="shared" si="16"/>
        <v>972.51861699999995</v>
      </c>
      <c r="K148" s="195">
        <f t="shared" si="16"/>
        <v>826.34228099999996</v>
      </c>
      <c r="L148" s="195">
        <f t="shared" si="16"/>
        <v>758.14945899999998</v>
      </c>
      <c r="M148" s="195">
        <f t="shared" si="16"/>
        <v>497.89184699999998</v>
      </c>
      <c r="N148" s="195">
        <f t="shared" si="16"/>
        <v>487.55590599999999</v>
      </c>
    </row>
    <row r="149" spans="1:15" s="196" customFormat="1" ht="12">
      <c r="A149" s="194" t="s">
        <v>7</v>
      </c>
      <c r="B149" s="195">
        <f t="shared" ref="B149:N149" si="17">HLOOKUP(B$141,$117:$133,11,FALSE)</f>
        <v>109.57487399999999</v>
      </c>
      <c r="C149" s="195">
        <f t="shared" si="17"/>
        <v>166.15012899999999</v>
      </c>
      <c r="D149" s="195">
        <f t="shared" si="17"/>
        <v>261.97860300000002</v>
      </c>
      <c r="E149" s="195">
        <f t="shared" si="17"/>
        <v>477.846093</v>
      </c>
      <c r="F149" s="195">
        <f t="shared" si="17"/>
        <v>379.26881700000001</v>
      </c>
      <c r="G149" s="195">
        <f t="shared" si="17"/>
        <v>740.99772700000005</v>
      </c>
      <c r="H149" s="195">
        <f t="shared" si="17"/>
        <v>775.05760599999996</v>
      </c>
      <c r="I149" s="195">
        <f t="shared" si="17"/>
        <v>722.86748999999998</v>
      </c>
      <c r="J149" s="195">
        <f t="shared" si="17"/>
        <v>745.49877100000003</v>
      </c>
      <c r="K149" s="195">
        <f t="shared" si="17"/>
        <v>454.73186500000003</v>
      </c>
      <c r="L149" s="195">
        <f t="shared" si="17"/>
        <v>303.08525700000001</v>
      </c>
      <c r="M149" s="195">
        <f t="shared" si="17"/>
        <v>69.970612000000003</v>
      </c>
      <c r="N149" s="195">
        <f t="shared" si="17"/>
        <v>68.978292999999994</v>
      </c>
    </row>
    <row r="150" spans="1:15" s="196" customFormat="1" ht="12">
      <c r="A150" s="194" t="s">
        <v>8</v>
      </c>
      <c r="B150" s="195">
        <f t="shared" ref="B150:N150" si="18">HLOOKUP(B$141,$117:$133,12,FALSE)</f>
        <v>299.41570200000001</v>
      </c>
      <c r="C150" s="195">
        <f t="shared" si="18"/>
        <v>303.48312600000003</v>
      </c>
      <c r="D150" s="195">
        <f t="shared" si="18"/>
        <v>284.79867300000001</v>
      </c>
      <c r="E150" s="195">
        <f t="shared" si="18"/>
        <v>309.41373599999997</v>
      </c>
      <c r="F150" s="195">
        <f t="shared" si="18"/>
        <v>274.24882200000002</v>
      </c>
      <c r="G150" s="195">
        <f t="shared" si="18"/>
        <v>282.125969</v>
      </c>
      <c r="H150" s="195">
        <f t="shared" si="18"/>
        <v>285.594067</v>
      </c>
      <c r="I150" s="195">
        <f t="shared" si="18"/>
        <v>325.694455</v>
      </c>
      <c r="J150" s="195">
        <f t="shared" si="18"/>
        <v>320.61544400000002</v>
      </c>
      <c r="K150" s="195">
        <f t="shared" si="18"/>
        <v>301.51870000000002</v>
      </c>
      <c r="L150" s="195">
        <f t="shared" si="18"/>
        <v>309.88871</v>
      </c>
      <c r="M150" s="195">
        <f t="shared" si="18"/>
        <v>308.26278200000002</v>
      </c>
      <c r="N150" s="195">
        <f t="shared" si="18"/>
        <v>299.682208</v>
      </c>
    </row>
    <row r="151" spans="1:15" s="196" customFormat="1" ht="12">
      <c r="A151" s="194" t="s">
        <v>9</v>
      </c>
      <c r="B151" s="195">
        <f t="shared" ref="B151:N151" si="19">HLOOKUP(B$141,$117:$133,13,FALSE)</f>
        <v>2529.9413220000001</v>
      </c>
      <c r="C151" s="195">
        <f t="shared" si="19"/>
        <v>2671.4589550000001</v>
      </c>
      <c r="D151" s="195">
        <f t="shared" si="19"/>
        <v>2391.3661729999999</v>
      </c>
      <c r="E151" s="195">
        <f t="shared" si="19"/>
        <v>2591.305206</v>
      </c>
      <c r="F151" s="195">
        <f t="shared" si="19"/>
        <v>2489.5731639999999</v>
      </c>
      <c r="G151" s="195">
        <f t="shared" si="19"/>
        <v>2544.8537660000002</v>
      </c>
      <c r="H151" s="195">
        <f t="shared" si="19"/>
        <v>2419.8174090000002</v>
      </c>
      <c r="I151" s="195">
        <f t="shared" si="19"/>
        <v>2457.5535610000002</v>
      </c>
      <c r="J151" s="195">
        <f t="shared" si="19"/>
        <v>2354.265065</v>
      </c>
      <c r="K151" s="195">
        <f t="shared" si="19"/>
        <v>2352.8584179999998</v>
      </c>
      <c r="L151" s="195">
        <f t="shared" si="19"/>
        <v>2483.371537</v>
      </c>
      <c r="M151" s="195">
        <f t="shared" si="19"/>
        <v>2465.2001190000001</v>
      </c>
      <c r="N151" s="195">
        <f t="shared" si="19"/>
        <v>2334.6439070000001</v>
      </c>
    </row>
    <row r="152" spans="1:15" s="196" customFormat="1" ht="12">
      <c r="A152" s="194" t="s">
        <v>71</v>
      </c>
      <c r="B152" s="195">
        <f t="shared" ref="B152:M152" si="20">HLOOKUP(B$141,$117:$133,15,FALSE)</f>
        <v>190.76081500000001</v>
      </c>
      <c r="C152" s="195">
        <f t="shared" si="20"/>
        <v>196.595054</v>
      </c>
      <c r="D152" s="195">
        <f t="shared" si="20"/>
        <v>180.749244</v>
      </c>
      <c r="E152" s="195">
        <f t="shared" si="20"/>
        <v>200.77951049999999</v>
      </c>
      <c r="F152" s="195">
        <f t="shared" si="20"/>
        <v>175.342614</v>
      </c>
      <c r="G152" s="195">
        <f t="shared" si="20"/>
        <v>154.68218999999999</v>
      </c>
      <c r="H152" s="195">
        <f t="shared" si="20"/>
        <v>156.89450450000001</v>
      </c>
      <c r="I152" s="195">
        <f t="shared" si="20"/>
        <v>161.3076265</v>
      </c>
      <c r="J152" s="195">
        <f t="shared" si="20"/>
        <v>182.311137</v>
      </c>
      <c r="K152" s="195">
        <f t="shared" si="20"/>
        <v>188.01692750000001</v>
      </c>
      <c r="L152" s="195">
        <f t="shared" si="20"/>
        <v>169.37619900000001</v>
      </c>
      <c r="M152" s="195">
        <f t="shared" si="20"/>
        <v>144.5833825</v>
      </c>
      <c r="N152" s="195">
        <f>HLOOKUP(N$141,$117:$133,15,FALSE)</f>
        <v>160.99247</v>
      </c>
    </row>
    <row r="153" spans="1:15" s="196" customFormat="1" ht="12">
      <c r="A153" s="194" t="s">
        <v>70</v>
      </c>
      <c r="B153" s="195">
        <f t="shared" ref="B153:M153" si="21">HLOOKUP(B$141,$117:$133,14,FALSE)</f>
        <v>69.912847999999997</v>
      </c>
      <c r="C153" s="195">
        <f t="shared" si="21"/>
        <v>63.503646000000003</v>
      </c>
      <c r="D153" s="195">
        <f t="shared" si="21"/>
        <v>61.891773000000001</v>
      </c>
      <c r="E153" s="195">
        <f t="shared" si="21"/>
        <v>67.360605500000005</v>
      </c>
      <c r="F153" s="195">
        <f t="shared" si="21"/>
        <v>64.179035999999996</v>
      </c>
      <c r="G153" s="195">
        <f t="shared" si="21"/>
        <v>36.450611000000002</v>
      </c>
      <c r="H153" s="195">
        <f t="shared" si="21"/>
        <v>62.621202500000003</v>
      </c>
      <c r="I153" s="195">
        <f t="shared" si="21"/>
        <v>65.608477500000006</v>
      </c>
      <c r="J153" s="195">
        <f t="shared" si="21"/>
        <v>66.150598000000002</v>
      </c>
      <c r="K153" s="195">
        <f t="shared" si="21"/>
        <v>63.723962499999999</v>
      </c>
      <c r="L153" s="195">
        <f t="shared" si="21"/>
        <v>61.976173000000003</v>
      </c>
      <c r="M153" s="195">
        <f t="shared" si="21"/>
        <v>60.149876499999998</v>
      </c>
      <c r="N153" s="195">
        <f>HLOOKUP(N$141,$117:$133,14,FALSE)</f>
        <v>65.337529000000004</v>
      </c>
    </row>
    <row r="154" spans="1:15" s="196" customFormat="1" ht="12">
      <c r="A154" s="197" t="s">
        <v>99</v>
      </c>
      <c r="B154" s="198">
        <f>SUM(B142:B153)</f>
        <v>20570.940449220001</v>
      </c>
      <c r="C154" s="198">
        <f t="shared" ref="C154:N154" si="22">SUM(C142:C153)</f>
        <v>23456.305547982003</v>
      </c>
      <c r="D154" s="198">
        <f t="shared" si="22"/>
        <v>19566.203000497997</v>
      </c>
      <c r="E154" s="198">
        <f t="shared" si="22"/>
        <v>19789.102954209997</v>
      </c>
      <c r="F154" s="198">
        <f t="shared" si="22"/>
        <v>18759.471686008004</v>
      </c>
      <c r="G154" s="198">
        <f t="shared" si="22"/>
        <v>19516.432830092002</v>
      </c>
      <c r="H154" s="198">
        <f t="shared" si="22"/>
        <v>19660.110532657996</v>
      </c>
      <c r="I154" s="198">
        <f t="shared" si="22"/>
        <v>22320.961121160006</v>
      </c>
      <c r="J154" s="198">
        <f t="shared" si="22"/>
        <v>21124.489139887999</v>
      </c>
      <c r="K154" s="198">
        <f t="shared" si="22"/>
        <v>20175.411687568005</v>
      </c>
      <c r="L154" s="198">
        <f t="shared" si="22"/>
        <v>19869.743450269994</v>
      </c>
      <c r="M154" s="198">
        <f t="shared" si="22"/>
        <v>21527.287125470004</v>
      </c>
      <c r="N154" s="198">
        <f t="shared" si="22"/>
        <v>21236.234529050002</v>
      </c>
    </row>
    <row r="156" spans="1:15" s="196" customFormat="1" ht="12">
      <c r="A156" s="200" t="s">
        <v>120</v>
      </c>
      <c r="B156" s="214">
        <f>B142+B147+B148+B149+B150+B153</f>
        <v>7689.097773644</v>
      </c>
      <c r="C156" s="214">
        <f t="shared" ref="C156:M156" si="23">C142+C147+C148+C149+C150+C153</f>
        <v>9112.8729192559986</v>
      </c>
      <c r="D156" s="214">
        <f t="shared" si="23"/>
        <v>7342.6839225720014</v>
      </c>
      <c r="E156" s="214">
        <f t="shared" si="23"/>
        <v>8586.3968494520013</v>
      </c>
      <c r="F156" s="214">
        <f t="shared" si="23"/>
        <v>7906.2483841880003</v>
      </c>
      <c r="G156" s="214">
        <f t="shared" si="23"/>
        <v>8472.8458267760016</v>
      </c>
      <c r="H156" s="214">
        <f t="shared" si="23"/>
        <v>6857.0394554100012</v>
      </c>
      <c r="I156" s="214">
        <f t="shared" si="23"/>
        <v>6936.1514743259986</v>
      </c>
      <c r="J156" s="214">
        <f t="shared" si="23"/>
        <v>6091.1583388280005</v>
      </c>
      <c r="K156" s="214">
        <f t="shared" si="23"/>
        <v>6664.3173901680002</v>
      </c>
      <c r="L156" s="214">
        <f t="shared" si="23"/>
        <v>6271.6415414600006</v>
      </c>
      <c r="M156" s="214">
        <f t="shared" si="23"/>
        <v>10910.5847798</v>
      </c>
      <c r="N156" s="214">
        <f>N142+N147+N148+N149+N150+N153</f>
        <v>10942.018949776</v>
      </c>
    </row>
    <row r="157" spans="1:15" s="196" customFormat="1" ht="12">
      <c r="A157" s="200" t="s">
        <v>121</v>
      </c>
      <c r="B157" s="214">
        <f>B143+B144+B145+B146+B151+B152</f>
        <v>12881.842675576001</v>
      </c>
      <c r="C157" s="214">
        <f t="shared" ref="C157:N157" si="24">C143+C144+C145+C146+C151+C152</f>
        <v>14343.432628725999</v>
      </c>
      <c r="D157" s="214">
        <f t="shared" si="24"/>
        <v>12223.519077926001</v>
      </c>
      <c r="E157" s="214">
        <f t="shared" si="24"/>
        <v>11202.706104757999</v>
      </c>
      <c r="F157" s="214">
        <f t="shared" si="24"/>
        <v>10853.223301819999</v>
      </c>
      <c r="G157" s="214">
        <f t="shared" si="24"/>
        <v>11043.587003315999</v>
      </c>
      <c r="H157" s="214">
        <f t="shared" si="24"/>
        <v>12803.071077248002</v>
      </c>
      <c r="I157" s="214">
        <f t="shared" si="24"/>
        <v>15384.809646833999</v>
      </c>
      <c r="J157" s="214">
        <f t="shared" si="24"/>
        <v>15033.330801060001</v>
      </c>
      <c r="K157" s="214">
        <f t="shared" si="24"/>
        <v>13511.094297399999</v>
      </c>
      <c r="L157" s="214">
        <f t="shared" si="24"/>
        <v>13598.101908809998</v>
      </c>
      <c r="M157" s="214">
        <f t="shared" si="24"/>
        <v>10616.702345670001</v>
      </c>
      <c r="N157" s="214">
        <f t="shared" si="24"/>
        <v>10294.215579274</v>
      </c>
    </row>
    <row r="158" spans="1:15" s="196" customFormat="1" ht="12">
      <c r="A158" s="200" t="s">
        <v>122</v>
      </c>
      <c r="B158" s="201">
        <f t="shared" ref="B158:M158" si="25">ROUND(B142/B$154*100,1)+ROUND(B147/B$154*100,1)+ROUND(B148/B$154*100,1)+ROUND(B149/B$154*100,1)+ROUND(B150/B$154*100,1)+ROUND(B153/B$154*100,1)</f>
        <v>37.4</v>
      </c>
      <c r="C158" s="201">
        <f t="shared" si="25"/>
        <v>39</v>
      </c>
      <c r="D158" s="201">
        <f t="shared" si="25"/>
        <v>37.499999999999993</v>
      </c>
      <c r="E158" s="201">
        <f t="shared" si="25"/>
        <v>43.4</v>
      </c>
      <c r="F158" s="201">
        <f t="shared" si="25"/>
        <v>42.199999999999996</v>
      </c>
      <c r="G158" s="201">
        <f t="shared" si="25"/>
        <v>43.4</v>
      </c>
      <c r="H158" s="201">
        <f t="shared" si="25"/>
        <v>34.9</v>
      </c>
      <c r="I158" s="201">
        <f t="shared" si="25"/>
        <v>31.099999999999998</v>
      </c>
      <c r="J158" s="201">
        <f t="shared" si="25"/>
        <v>28.7</v>
      </c>
      <c r="K158" s="201">
        <f t="shared" si="25"/>
        <v>33.099999999999994</v>
      </c>
      <c r="L158" s="201">
        <f t="shared" si="25"/>
        <v>31.5</v>
      </c>
      <c r="M158" s="201">
        <f t="shared" si="25"/>
        <v>50.599999999999987</v>
      </c>
      <c r="N158" s="201">
        <f>ROUND(N142/N$154*100,1)+ROUND(N147/N$154*100,1)+ROUND(N148/N$154*100,1)+ROUND(N149/N$154*100,1)+ROUND(N150/N$154*100,1)+ROUND(N153/N$154*100,1)</f>
        <v>51.499999999999993</v>
      </c>
      <c r="O158" s="270"/>
    </row>
    <row r="159" spans="1:15" s="196" customFormat="1" ht="12">
      <c r="A159" s="200" t="s">
        <v>123</v>
      </c>
      <c r="B159" s="201">
        <f t="shared" ref="B159:M159" si="26">100-B158</f>
        <v>62.6</v>
      </c>
      <c r="C159" s="201">
        <f t="shared" si="26"/>
        <v>61</v>
      </c>
      <c r="D159" s="201">
        <f t="shared" si="26"/>
        <v>62.500000000000007</v>
      </c>
      <c r="E159" s="201">
        <f t="shared" si="26"/>
        <v>56.6</v>
      </c>
      <c r="F159" s="201">
        <f t="shared" si="26"/>
        <v>57.800000000000004</v>
      </c>
      <c r="G159" s="201">
        <f t="shared" si="26"/>
        <v>56.6</v>
      </c>
      <c r="H159" s="201">
        <f t="shared" si="26"/>
        <v>65.099999999999994</v>
      </c>
      <c r="I159" s="201">
        <f t="shared" si="26"/>
        <v>68.900000000000006</v>
      </c>
      <c r="J159" s="201">
        <f t="shared" si="26"/>
        <v>71.3</v>
      </c>
      <c r="K159" s="201">
        <f t="shared" si="26"/>
        <v>66.900000000000006</v>
      </c>
      <c r="L159" s="201">
        <f t="shared" si="26"/>
        <v>68.5</v>
      </c>
      <c r="M159" s="201">
        <f t="shared" si="26"/>
        <v>49.400000000000013</v>
      </c>
      <c r="N159" s="201">
        <f t="shared" ref="N159" si="27">100-N158</f>
        <v>48.500000000000007</v>
      </c>
    </row>
    <row r="160" spans="1:15" s="196" customFormat="1" ht="12">
      <c r="A160" s="200"/>
      <c r="B160" s="200"/>
    </row>
    <row r="161" spans="1:19" s="196" customFormat="1" ht="12">
      <c r="A161" s="200" t="s">
        <v>85</v>
      </c>
      <c r="B161" s="200"/>
      <c r="N161" s="270"/>
    </row>
    <row r="162" spans="1:19" s="196" customFormat="1" ht="12">
      <c r="A162" s="200" t="s">
        <v>86</v>
      </c>
      <c r="B162" s="200"/>
    </row>
    <row r="164" spans="1:19" s="196" customFormat="1" ht="12">
      <c r="A164" s="200" t="s">
        <v>19</v>
      </c>
      <c r="B164" s="195">
        <f>B142+B143+B144+B147+B148+B149+B150+B153</f>
        <v>12108.337012220001</v>
      </c>
      <c r="C164" s="195">
        <f t="shared" ref="C164:M164" si="28">C142+C143+C144+C147+C148+C149+C150+C153</f>
        <v>14314.497881981999</v>
      </c>
      <c r="D164" s="195">
        <f t="shared" si="28"/>
        <v>12294.097230497997</v>
      </c>
      <c r="E164" s="195">
        <f t="shared" si="28"/>
        <v>14043.371596710002</v>
      </c>
      <c r="F164" s="195">
        <f t="shared" si="28"/>
        <v>12657.378159008</v>
      </c>
      <c r="G164" s="195">
        <f t="shared" si="28"/>
        <v>12574.692998092001</v>
      </c>
      <c r="H164" s="195">
        <f t="shared" si="28"/>
        <v>11559.642216157999</v>
      </c>
      <c r="I164" s="195">
        <f t="shared" si="28"/>
        <v>12083.568437660002</v>
      </c>
      <c r="J164" s="195">
        <f t="shared" si="28"/>
        <v>11229.942725888002</v>
      </c>
      <c r="K164" s="195">
        <f t="shared" si="28"/>
        <v>11764.088395068</v>
      </c>
      <c r="L164" s="195">
        <f t="shared" si="28"/>
        <v>10918.34454527</v>
      </c>
      <c r="M164" s="195">
        <f t="shared" si="28"/>
        <v>14510.217426969999</v>
      </c>
      <c r="N164" s="195">
        <f>N142+N143+N144+N147+N148+N149+N150+N153</f>
        <v>15610.84056305</v>
      </c>
    </row>
    <row r="165" spans="1:19" s="196" customFormat="1" ht="12">
      <c r="A165" s="200" t="s">
        <v>20</v>
      </c>
      <c r="B165" s="195">
        <f t="shared" ref="B165:M165" si="29">B145+B146+B151+B152</f>
        <v>8462.6034369999998</v>
      </c>
      <c r="C165" s="195">
        <f t="shared" si="29"/>
        <v>9141.8076659999988</v>
      </c>
      <c r="D165" s="195">
        <f t="shared" si="29"/>
        <v>7272.1057699999992</v>
      </c>
      <c r="E165" s="195">
        <f t="shared" si="29"/>
        <v>5745.7313574999998</v>
      </c>
      <c r="F165" s="195">
        <f t="shared" si="29"/>
        <v>6102.093527</v>
      </c>
      <c r="G165" s="195">
        <f t="shared" si="29"/>
        <v>6941.7398320000011</v>
      </c>
      <c r="H165" s="195">
        <f t="shared" si="29"/>
        <v>8100.4683165000006</v>
      </c>
      <c r="I165" s="195">
        <f t="shared" si="29"/>
        <v>10237.3926835</v>
      </c>
      <c r="J165" s="195">
        <f t="shared" si="29"/>
        <v>9894.5464140000004</v>
      </c>
      <c r="K165" s="195">
        <f t="shared" si="29"/>
        <v>8411.3232925000011</v>
      </c>
      <c r="L165" s="195">
        <f t="shared" si="29"/>
        <v>8951.398905</v>
      </c>
      <c r="M165" s="195">
        <f t="shared" si="29"/>
        <v>7017.0696985000004</v>
      </c>
      <c r="N165" s="195">
        <f>N145+N146+N151+N152</f>
        <v>5625.3939660000005</v>
      </c>
    </row>
    <row r="166" spans="1:19" s="196" customFormat="1" ht="12">
      <c r="A166" s="200" t="s">
        <v>118</v>
      </c>
      <c r="B166" s="201">
        <f>ROUND(B142/B$154*100,1)+ROUND(B143/B$154*100,1)+ROUND(B147/B$154*100,1)+ROUND(B148/B$154*100,1)+ROUND(B149/B$154*100,1)+ROUND(B150/B$154*100,1)+ROUND(B144/B$154*100,1)+ROUND(B153/B$154*100,1)</f>
        <v>58.8</v>
      </c>
      <c r="C166" s="201">
        <f t="shared" ref="C166:M166" si="30">ROUND(C142/C$154*100,1)+ROUND(C143/C$154*100,1)+ROUND(C147/C$154*100,1)+ROUND(C148/C$154*100,1)+ROUND(C149/C$154*100,1)+ROUND(C150/C$154*100,1)+ROUND(C144/C$154*100,1)+ROUND(C153/C$154*100,1)</f>
        <v>61.199999999999996</v>
      </c>
      <c r="D166" s="201">
        <f t="shared" si="30"/>
        <v>62.8</v>
      </c>
      <c r="E166" s="201">
        <f t="shared" si="30"/>
        <v>71</v>
      </c>
      <c r="F166" s="201">
        <f t="shared" si="30"/>
        <v>67.5</v>
      </c>
      <c r="G166" s="201">
        <f t="shared" si="30"/>
        <v>64.399999999999991</v>
      </c>
      <c r="H166" s="201">
        <f t="shared" si="30"/>
        <v>58.8</v>
      </c>
      <c r="I166" s="201">
        <f t="shared" si="30"/>
        <v>54.199999999999996</v>
      </c>
      <c r="J166" s="201">
        <f t="shared" si="30"/>
        <v>53</v>
      </c>
      <c r="K166" s="201">
        <f t="shared" si="30"/>
        <v>58.399999999999991</v>
      </c>
      <c r="L166" s="201">
        <f t="shared" si="30"/>
        <v>54.9</v>
      </c>
      <c r="M166" s="201">
        <f t="shared" si="30"/>
        <v>67.3</v>
      </c>
      <c r="N166" s="201">
        <f>ROUND(N142/N$154*100,1)+ROUND(N143/N$154*100,1)+ROUND(N147/N$154*100,1)+ROUND(N148/N$154*100,1)+ROUND(N149/N$154*100,1)+ROUND(N150/N$154*100,1)+ROUND(N144/N$154*100,1)+ROUND(N153/N$154*100,1)</f>
        <v>73.499999999999986</v>
      </c>
      <c r="O166" s="270"/>
    </row>
    <row r="167" spans="1:19" s="196" customFormat="1" ht="12">
      <c r="A167" s="200" t="s">
        <v>119</v>
      </c>
      <c r="B167" s="201">
        <f t="shared" ref="B167:M167" si="31">100-B166</f>
        <v>41.2</v>
      </c>
      <c r="C167" s="201">
        <f t="shared" si="31"/>
        <v>38.800000000000004</v>
      </c>
      <c r="D167" s="201">
        <f t="shared" si="31"/>
        <v>37.200000000000003</v>
      </c>
      <c r="E167" s="201">
        <f t="shared" si="31"/>
        <v>29</v>
      </c>
      <c r="F167" s="201">
        <f t="shared" si="31"/>
        <v>32.5</v>
      </c>
      <c r="G167" s="201">
        <f t="shared" si="31"/>
        <v>35.600000000000009</v>
      </c>
      <c r="H167" s="201">
        <f t="shared" si="31"/>
        <v>41.2</v>
      </c>
      <c r="I167" s="201">
        <f t="shared" si="31"/>
        <v>45.800000000000004</v>
      </c>
      <c r="J167" s="201">
        <f t="shared" si="31"/>
        <v>47</v>
      </c>
      <c r="K167" s="201">
        <f t="shared" si="31"/>
        <v>41.600000000000009</v>
      </c>
      <c r="L167" s="201">
        <f t="shared" si="31"/>
        <v>45.1</v>
      </c>
      <c r="M167" s="201">
        <f t="shared" si="31"/>
        <v>32.700000000000003</v>
      </c>
      <c r="N167" s="201">
        <f t="shared" ref="N167" si="32">100-N166</f>
        <v>26.500000000000014</v>
      </c>
    </row>
    <row r="168" spans="1:19" s="196" customFormat="1" ht="12">
      <c r="A168" s="200"/>
      <c r="B168" s="200"/>
    </row>
    <row r="169" spans="1:19" s="196" customFormat="1" ht="12">
      <c r="A169" s="200" t="s">
        <v>139</v>
      </c>
      <c r="B169" s="200"/>
      <c r="N169" s="270"/>
    </row>
    <row r="170" spans="1:19" s="196" customFormat="1" ht="12">
      <c r="A170" s="200" t="s">
        <v>140</v>
      </c>
      <c r="B170" s="200"/>
    </row>
    <row r="175" spans="1:19">
      <c r="A175" s="177" t="s">
        <v>108</v>
      </c>
      <c r="B175" s="318" t="s">
        <v>101</v>
      </c>
      <c r="C175" s="319"/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</row>
    <row r="176" spans="1:19">
      <c r="A176" s="177" t="s">
        <v>109</v>
      </c>
      <c r="B176" s="325" t="s">
        <v>124</v>
      </c>
      <c r="C176" s="326"/>
      <c r="D176" s="326"/>
      <c r="E176" s="326"/>
      <c r="F176" s="326"/>
      <c r="G176" s="326"/>
      <c r="H176" s="326"/>
      <c r="I176" s="326"/>
      <c r="J176" s="326"/>
      <c r="K176" s="326"/>
      <c r="L176" s="326"/>
      <c r="M176" s="326"/>
      <c r="N176" s="326"/>
      <c r="O176" s="326"/>
      <c r="P176" s="326"/>
      <c r="Q176" s="326"/>
      <c r="R176" s="326"/>
      <c r="S176" s="326"/>
    </row>
    <row r="177" spans="1:23">
      <c r="A177" s="186" t="s">
        <v>30</v>
      </c>
      <c r="B177" s="320" t="s">
        <v>618</v>
      </c>
      <c r="C177" s="321"/>
      <c r="D177" s="321"/>
      <c r="E177" s="321"/>
      <c r="F177" s="321"/>
      <c r="G177" s="321"/>
      <c r="H177" s="321"/>
      <c r="I177" s="321"/>
      <c r="J177" s="321"/>
      <c r="K177" s="321"/>
      <c r="L177" s="321"/>
      <c r="M177" s="321"/>
      <c r="N177" s="321"/>
      <c r="O177" s="321"/>
      <c r="P177" s="321"/>
      <c r="Q177" s="321"/>
      <c r="R177" s="321"/>
      <c r="S177" s="321"/>
    </row>
    <row r="178" spans="1:23">
      <c r="A178" s="186" t="s">
        <v>110</v>
      </c>
      <c r="B178" s="292" t="s">
        <v>2</v>
      </c>
      <c r="C178" s="292" t="s">
        <v>82</v>
      </c>
      <c r="D178" s="292" t="s">
        <v>3</v>
      </c>
      <c r="E178" s="292" t="s">
        <v>4</v>
      </c>
      <c r="F178" s="292" t="s">
        <v>98</v>
      </c>
      <c r="G178" s="292" t="s">
        <v>11</v>
      </c>
      <c r="H178" s="292" t="s">
        <v>5</v>
      </c>
      <c r="I178" s="292" t="s">
        <v>6</v>
      </c>
      <c r="J178" s="292" t="s">
        <v>7</v>
      </c>
      <c r="K178" s="292" t="s">
        <v>8</v>
      </c>
      <c r="L178" s="292" t="s">
        <v>9</v>
      </c>
      <c r="M178" s="292" t="s">
        <v>70</v>
      </c>
      <c r="N178" s="292" t="s">
        <v>71</v>
      </c>
      <c r="O178" s="202" t="s">
        <v>10</v>
      </c>
      <c r="P178" s="292" t="s">
        <v>130</v>
      </c>
      <c r="Q178" s="292" t="s">
        <v>100</v>
      </c>
      <c r="R178" s="292" t="s">
        <v>131</v>
      </c>
      <c r="S178" s="202" t="s">
        <v>132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120094.20732</v>
      </c>
      <c r="C180" s="181">
        <v>3373.4456799999998</v>
      </c>
      <c r="D180" s="181">
        <v>119933.386</v>
      </c>
      <c r="E180" s="181">
        <v>18003.262999999999</v>
      </c>
      <c r="F180" s="181">
        <v>0</v>
      </c>
      <c r="G180" s="181">
        <v>78735.527000000002</v>
      </c>
      <c r="H180" s="181">
        <v>121407.65300000001</v>
      </c>
      <c r="I180" s="181">
        <v>13645.245000000001</v>
      </c>
      <c r="J180" s="181">
        <v>429.22800000000001</v>
      </c>
      <c r="K180" s="181">
        <v>9980.2119999999995</v>
      </c>
      <c r="L180" s="181">
        <v>80840.448000000004</v>
      </c>
      <c r="M180" s="181">
        <v>2158.6729999999998</v>
      </c>
      <c r="N180" s="181">
        <v>5726.02</v>
      </c>
      <c r="O180" s="184">
        <v>574327.30799999996</v>
      </c>
      <c r="P180" s="181">
        <v>-14267.46</v>
      </c>
      <c r="Q180" s="181">
        <v>-3141.0729999999999</v>
      </c>
      <c r="R180" s="181">
        <v>50127.572999999997</v>
      </c>
      <c r="S180" s="184">
        <v>607046.348</v>
      </c>
      <c r="V180" s="206">
        <f>IFERROR($H180/$O180*100,"")</f>
        <v>21.1391050554051</v>
      </c>
      <c r="W180" s="205">
        <f>IF($H180=0,"",$H180/1000)</f>
        <v>121.40765300000001</v>
      </c>
    </row>
    <row r="181" spans="1:23" ht="14.25">
      <c r="A181" s="207">
        <v>2</v>
      </c>
      <c r="B181" s="181">
        <v>122504.61118000001</v>
      </c>
      <c r="C181" s="181">
        <v>1908.0728200000001</v>
      </c>
      <c r="D181" s="181">
        <v>120148.011</v>
      </c>
      <c r="E181" s="181">
        <v>22230.813999999998</v>
      </c>
      <c r="F181" s="181">
        <v>0</v>
      </c>
      <c r="G181" s="181">
        <v>97728.899000000005</v>
      </c>
      <c r="H181" s="181">
        <v>258667.48499999999</v>
      </c>
      <c r="I181" s="181">
        <v>10105.878000000001</v>
      </c>
      <c r="J181" s="181">
        <v>93.213999999999999</v>
      </c>
      <c r="K181" s="181">
        <v>10035.253000000001</v>
      </c>
      <c r="L181" s="181">
        <v>86135.554000000004</v>
      </c>
      <c r="M181" s="181">
        <v>2182.259</v>
      </c>
      <c r="N181" s="181">
        <v>5674.5309999999999</v>
      </c>
      <c r="O181" s="184">
        <v>737414.58200000005</v>
      </c>
      <c r="P181" s="181">
        <v>-15561.393</v>
      </c>
      <c r="Q181" s="181">
        <v>-3916.9430000000002</v>
      </c>
      <c r="R181" s="181">
        <v>16387.388999999999</v>
      </c>
      <c r="S181" s="184">
        <v>734323.63500000001</v>
      </c>
      <c r="V181" s="206">
        <f t="shared" ref="V181:V210" si="33">IFERROR($H181/$O181*100,"")</f>
        <v>35.077620013757738</v>
      </c>
      <c r="W181" s="205">
        <f t="shared" ref="W181:W210" si="34">IF($H181=0,"",$H181/1000)</f>
        <v>258.667485</v>
      </c>
    </row>
    <row r="182" spans="1:23" ht="14.25">
      <c r="A182" s="207">
        <v>3</v>
      </c>
      <c r="B182" s="181">
        <v>140242.34108000001</v>
      </c>
      <c r="C182" s="181">
        <v>4553.8557199999996</v>
      </c>
      <c r="D182" s="181">
        <v>119887.867</v>
      </c>
      <c r="E182" s="181">
        <v>28924.02</v>
      </c>
      <c r="F182" s="181">
        <v>0</v>
      </c>
      <c r="G182" s="181">
        <v>163133.658</v>
      </c>
      <c r="H182" s="181">
        <v>171021.649</v>
      </c>
      <c r="I182" s="181">
        <v>11836.861999999999</v>
      </c>
      <c r="J182" s="181">
        <v>2653.3229999999999</v>
      </c>
      <c r="K182" s="181">
        <v>10440.786</v>
      </c>
      <c r="L182" s="181">
        <v>87252.149000000005</v>
      </c>
      <c r="M182" s="181">
        <v>2221.0430000000001</v>
      </c>
      <c r="N182" s="181">
        <v>5851.8639999999996</v>
      </c>
      <c r="O182" s="184">
        <v>748019.41780000005</v>
      </c>
      <c r="P182" s="181">
        <v>-10337.1</v>
      </c>
      <c r="Q182" s="181">
        <v>-4000.5790000000002</v>
      </c>
      <c r="R182" s="181">
        <v>17782.005000000001</v>
      </c>
      <c r="S182" s="184">
        <v>751463.74380000005</v>
      </c>
      <c r="V182" s="206">
        <f t="shared" si="33"/>
        <v>22.863263296425082</v>
      </c>
      <c r="W182" s="205">
        <f t="shared" si="34"/>
        <v>171.021649</v>
      </c>
    </row>
    <row r="183" spans="1:23" ht="14.25">
      <c r="A183" s="207">
        <v>4</v>
      </c>
      <c r="B183" s="181">
        <v>154155.67032</v>
      </c>
      <c r="C183" s="181">
        <v>15061.597040000001</v>
      </c>
      <c r="D183" s="181">
        <v>119729.413</v>
      </c>
      <c r="E183" s="181">
        <v>28601.512999999999</v>
      </c>
      <c r="F183" s="181">
        <v>0</v>
      </c>
      <c r="G183" s="181">
        <v>177612.33799999999</v>
      </c>
      <c r="H183" s="181">
        <v>135942.74</v>
      </c>
      <c r="I183" s="181">
        <v>9693.9159999999993</v>
      </c>
      <c r="J183" s="181">
        <v>1284.7059999999999</v>
      </c>
      <c r="K183" s="181">
        <v>10067.617</v>
      </c>
      <c r="L183" s="181">
        <v>88649.813999999998</v>
      </c>
      <c r="M183" s="181">
        <v>2275.0320000000002</v>
      </c>
      <c r="N183" s="181">
        <v>5627.9059999999999</v>
      </c>
      <c r="O183" s="184">
        <v>748702.26236000005</v>
      </c>
      <c r="P183" s="181">
        <v>-2927.3440000000001</v>
      </c>
      <c r="Q183" s="181">
        <v>-4255.0280000000002</v>
      </c>
      <c r="R183" s="181">
        <v>18779.894</v>
      </c>
      <c r="S183" s="184">
        <v>760299.78436000005</v>
      </c>
      <c r="V183" s="206">
        <f t="shared" si="33"/>
        <v>18.157116230888903</v>
      </c>
      <c r="W183" s="205">
        <f t="shared" si="34"/>
        <v>135.94273999999999</v>
      </c>
    </row>
    <row r="184" spans="1:23" ht="14.25">
      <c r="A184" s="207">
        <v>5</v>
      </c>
      <c r="B184" s="181">
        <v>153515.06599999999</v>
      </c>
      <c r="C184" s="181">
        <v>1581.0909999999999</v>
      </c>
      <c r="D184" s="181">
        <v>119673.02800000001</v>
      </c>
      <c r="E184" s="181">
        <v>31696.432000000001</v>
      </c>
      <c r="F184" s="181">
        <v>0</v>
      </c>
      <c r="G184" s="181">
        <v>145877.83199999999</v>
      </c>
      <c r="H184" s="181">
        <v>170417.788</v>
      </c>
      <c r="I184" s="181">
        <v>15607.793</v>
      </c>
      <c r="J184" s="181">
        <v>3125.41</v>
      </c>
      <c r="K184" s="181">
        <v>10123.523999999999</v>
      </c>
      <c r="L184" s="181">
        <v>87390.911999999997</v>
      </c>
      <c r="M184" s="181">
        <v>2169.5725000000002</v>
      </c>
      <c r="N184" s="181">
        <v>5567.9314999999997</v>
      </c>
      <c r="O184" s="184">
        <v>746746.38</v>
      </c>
      <c r="P184" s="181">
        <v>-2477.4299999999998</v>
      </c>
      <c r="Q184" s="181">
        <v>-4059.547</v>
      </c>
      <c r="R184" s="181">
        <v>14488.877</v>
      </c>
      <c r="S184" s="184">
        <v>754698.28</v>
      </c>
      <c r="V184" s="206">
        <f t="shared" si="33"/>
        <v>22.821374507366208</v>
      </c>
      <c r="W184" s="205">
        <f t="shared" si="34"/>
        <v>170.417788</v>
      </c>
    </row>
    <row r="185" spans="1:23" ht="14.25">
      <c r="A185" s="207">
        <v>6</v>
      </c>
      <c r="B185" s="181">
        <v>142918.70537000001</v>
      </c>
      <c r="C185" s="181">
        <v>5442.14563</v>
      </c>
      <c r="D185" s="181">
        <v>120042.88499999999</v>
      </c>
      <c r="E185" s="181">
        <v>23356.146000000001</v>
      </c>
      <c r="F185" s="181">
        <v>0</v>
      </c>
      <c r="G185" s="181">
        <v>166532.05900000001</v>
      </c>
      <c r="H185" s="181">
        <v>48835.72</v>
      </c>
      <c r="I185" s="181">
        <v>18965.8</v>
      </c>
      <c r="J185" s="181">
        <v>4452.0969999999998</v>
      </c>
      <c r="K185" s="181">
        <v>10891.603999999999</v>
      </c>
      <c r="L185" s="181">
        <v>82253.61</v>
      </c>
      <c r="M185" s="181">
        <v>2168.3420000000001</v>
      </c>
      <c r="N185" s="181">
        <v>5209.4380000000001</v>
      </c>
      <c r="O185" s="184">
        <v>631068.55200000003</v>
      </c>
      <c r="P185" s="181">
        <v>-3343.2040000000002</v>
      </c>
      <c r="Q185" s="181">
        <v>-3593.42</v>
      </c>
      <c r="R185" s="181">
        <v>24330.663</v>
      </c>
      <c r="S185" s="184">
        <v>648462.59100000001</v>
      </c>
      <c r="V185" s="206">
        <f t="shared" si="33"/>
        <v>7.7385760778648338</v>
      </c>
      <c r="W185" s="205">
        <f t="shared" si="34"/>
        <v>48.835720000000002</v>
      </c>
    </row>
    <row r="186" spans="1:23" ht="14.25">
      <c r="A186" s="207">
        <v>7</v>
      </c>
      <c r="B186" s="181">
        <v>135670.57556</v>
      </c>
      <c r="C186" s="181">
        <v>831.33843999999999</v>
      </c>
      <c r="D186" s="181">
        <v>124733.295</v>
      </c>
      <c r="E186" s="181">
        <v>20916.554</v>
      </c>
      <c r="F186" s="181">
        <v>0</v>
      </c>
      <c r="G186" s="181">
        <v>161993.524</v>
      </c>
      <c r="H186" s="181">
        <v>36269.493000000002</v>
      </c>
      <c r="I186" s="181">
        <v>20069.412</v>
      </c>
      <c r="J186" s="181">
        <v>3891.4470000000001</v>
      </c>
      <c r="K186" s="181">
        <v>10917.724</v>
      </c>
      <c r="L186" s="181">
        <v>81517.464000000007</v>
      </c>
      <c r="M186" s="181">
        <v>2142.7775000000001</v>
      </c>
      <c r="N186" s="181">
        <v>5625.3675000000003</v>
      </c>
      <c r="O186" s="184">
        <v>604578.97199999995</v>
      </c>
      <c r="P186" s="181">
        <v>-2692.232</v>
      </c>
      <c r="Q186" s="181">
        <v>-3674.893</v>
      </c>
      <c r="R186" s="181">
        <v>40893.58</v>
      </c>
      <c r="S186" s="184">
        <v>639105.42700000003</v>
      </c>
      <c r="V186" s="206">
        <f t="shared" si="33"/>
        <v>5.9991324011844736</v>
      </c>
      <c r="W186" s="205">
        <f t="shared" si="34"/>
        <v>36.269493000000004</v>
      </c>
    </row>
    <row r="187" spans="1:23" ht="14.25">
      <c r="A187" s="207">
        <v>8</v>
      </c>
      <c r="B187" s="181">
        <v>120879.2157</v>
      </c>
      <c r="C187" s="181">
        <v>3219.9103</v>
      </c>
      <c r="D187" s="181">
        <v>129907.499</v>
      </c>
      <c r="E187" s="181">
        <v>22730.797999999999</v>
      </c>
      <c r="F187" s="181">
        <v>0</v>
      </c>
      <c r="G187" s="181">
        <v>97835.153000000006</v>
      </c>
      <c r="H187" s="181">
        <v>120543.569</v>
      </c>
      <c r="I187" s="181">
        <v>15166.718999999999</v>
      </c>
      <c r="J187" s="181">
        <v>2213.3270000000002</v>
      </c>
      <c r="K187" s="181">
        <v>10776.088</v>
      </c>
      <c r="L187" s="181">
        <v>78230.457999999999</v>
      </c>
      <c r="M187" s="181">
        <v>2129.2669999999998</v>
      </c>
      <c r="N187" s="181">
        <v>5664.7120000000004</v>
      </c>
      <c r="O187" s="184">
        <v>609296.71600000001</v>
      </c>
      <c r="P187" s="181">
        <v>-10316.546</v>
      </c>
      <c r="Q187" s="181">
        <v>-3479.8040000000001</v>
      </c>
      <c r="R187" s="181">
        <v>20162.93</v>
      </c>
      <c r="S187" s="184">
        <v>615663.29599999997</v>
      </c>
      <c r="V187" s="206">
        <f t="shared" si="33"/>
        <v>19.784050337799624</v>
      </c>
      <c r="W187" s="205">
        <f t="shared" si="34"/>
        <v>120.54356900000001</v>
      </c>
    </row>
    <row r="188" spans="1:23" ht="14.25">
      <c r="A188" s="207">
        <v>9</v>
      </c>
      <c r="B188" s="181">
        <v>118476.96511999999</v>
      </c>
      <c r="C188" s="181">
        <v>7029.6868800000002</v>
      </c>
      <c r="D188" s="181">
        <v>141388.65700000001</v>
      </c>
      <c r="E188" s="181">
        <v>22733.512999999999</v>
      </c>
      <c r="F188" s="181">
        <v>0</v>
      </c>
      <c r="G188" s="181">
        <v>116642.567</v>
      </c>
      <c r="H188" s="181">
        <v>204619.87400000001</v>
      </c>
      <c r="I188" s="181">
        <v>15774.058000000001</v>
      </c>
      <c r="J188" s="181">
        <v>1195.6890000000001</v>
      </c>
      <c r="K188" s="181">
        <v>10735.901</v>
      </c>
      <c r="L188" s="181">
        <v>83203.638000000006</v>
      </c>
      <c r="M188" s="181">
        <v>2046.22</v>
      </c>
      <c r="N188" s="181">
        <v>5611.241</v>
      </c>
      <c r="O188" s="184">
        <v>729458.01</v>
      </c>
      <c r="P188" s="181">
        <v>-19074.173999999999</v>
      </c>
      <c r="Q188" s="181">
        <v>-3983.3850000000002</v>
      </c>
      <c r="R188" s="181">
        <v>-15780.117</v>
      </c>
      <c r="S188" s="184">
        <v>690620.33400000003</v>
      </c>
      <c r="V188" s="206">
        <f t="shared" si="33"/>
        <v>28.050946208678962</v>
      </c>
      <c r="W188" s="205">
        <f t="shared" si="34"/>
        <v>204.61987400000001</v>
      </c>
    </row>
    <row r="189" spans="1:23" ht="14.25">
      <c r="A189" s="207">
        <v>10</v>
      </c>
      <c r="B189" s="181">
        <v>127452.042512</v>
      </c>
      <c r="C189" s="181">
        <v>9484.921488</v>
      </c>
      <c r="D189" s="181">
        <v>144388.321</v>
      </c>
      <c r="E189" s="181">
        <v>24045.911</v>
      </c>
      <c r="F189" s="181">
        <v>0</v>
      </c>
      <c r="G189" s="181">
        <v>173533.07199999999</v>
      </c>
      <c r="H189" s="181">
        <v>158385.87100000001</v>
      </c>
      <c r="I189" s="181">
        <v>20057.984</v>
      </c>
      <c r="J189" s="181">
        <v>3062.9870000000001</v>
      </c>
      <c r="K189" s="181">
        <v>10187.885</v>
      </c>
      <c r="L189" s="181">
        <v>85921.14</v>
      </c>
      <c r="M189" s="181">
        <v>2068.7910000000002</v>
      </c>
      <c r="N189" s="181">
        <v>5722.7730000000001</v>
      </c>
      <c r="O189" s="184">
        <v>764311.69900000002</v>
      </c>
      <c r="P189" s="181">
        <v>-3526.21</v>
      </c>
      <c r="Q189" s="181">
        <v>-4388.991</v>
      </c>
      <c r="R189" s="181">
        <v>-3386.7820000000002</v>
      </c>
      <c r="S189" s="184">
        <v>753009.71600000001</v>
      </c>
      <c r="V189" s="206">
        <f t="shared" si="33"/>
        <v>20.722680446632811</v>
      </c>
      <c r="W189" s="205">
        <f t="shared" si="34"/>
        <v>158.38587100000001</v>
      </c>
    </row>
    <row r="190" spans="1:23" ht="14.25">
      <c r="A190" s="207">
        <v>11</v>
      </c>
      <c r="B190" s="181">
        <v>119393.72298000001</v>
      </c>
      <c r="C190" s="181">
        <v>4920.8140199999998</v>
      </c>
      <c r="D190" s="181">
        <v>145242.742</v>
      </c>
      <c r="E190" s="181">
        <v>16517.918000000001</v>
      </c>
      <c r="F190" s="181">
        <v>0</v>
      </c>
      <c r="G190" s="181">
        <v>130100.81</v>
      </c>
      <c r="H190" s="181">
        <v>249897.709</v>
      </c>
      <c r="I190" s="181">
        <v>14195.562</v>
      </c>
      <c r="J190" s="181">
        <v>836.89</v>
      </c>
      <c r="K190" s="181">
        <v>10042.359</v>
      </c>
      <c r="L190" s="181">
        <v>85559.392999999996</v>
      </c>
      <c r="M190" s="181">
        <v>2070.9765000000002</v>
      </c>
      <c r="N190" s="181">
        <v>5531.8705</v>
      </c>
      <c r="O190" s="184">
        <v>784310.76699999999</v>
      </c>
      <c r="P190" s="181">
        <v>-6090.4319999999998</v>
      </c>
      <c r="Q190" s="181">
        <v>-4318.7470000000003</v>
      </c>
      <c r="R190" s="181">
        <v>-5848.7250000000004</v>
      </c>
      <c r="S190" s="184">
        <v>768052.86300000001</v>
      </c>
      <c r="V190" s="206">
        <f t="shared" si="33"/>
        <v>31.862078083648189</v>
      </c>
      <c r="W190" s="205">
        <f t="shared" si="34"/>
        <v>249.89770899999999</v>
      </c>
    </row>
    <row r="191" spans="1:23" ht="14.25">
      <c r="A191" s="207">
        <v>12</v>
      </c>
      <c r="B191" s="181">
        <v>108382.87300000001</v>
      </c>
      <c r="C191" s="181">
        <v>7347.6125199999997</v>
      </c>
      <c r="D191" s="181">
        <v>145166.454</v>
      </c>
      <c r="E191" s="181">
        <v>15363.518</v>
      </c>
      <c r="F191" s="181">
        <v>0</v>
      </c>
      <c r="G191" s="181">
        <v>62294.031999999999</v>
      </c>
      <c r="H191" s="181">
        <v>374381.68199999997</v>
      </c>
      <c r="I191" s="181">
        <v>10906.299000000001</v>
      </c>
      <c r="J191" s="181">
        <v>682.78499999999997</v>
      </c>
      <c r="K191" s="181">
        <v>9415.5259999999998</v>
      </c>
      <c r="L191" s="181">
        <v>83672.717999999993</v>
      </c>
      <c r="M191" s="181">
        <v>2055.9169999999999</v>
      </c>
      <c r="N191" s="181">
        <v>5728.5569999999998</v>
      </c>
      <c r="O191" s="184">
        <v>825397.97352</v>
      </c>
      <c r="P191" s="181">
        <v>-8275.7929999999997</v>
      </c>
      <c r="Q191" s="181">
        <v>-4403.6790000000001</v>
      </c>
      <c r="R191" s="181">
        <v>-29583.47</v>
      </c>
      <c r="S191" s="184">
        <v>783135.03151999996</v>
      </c>
      <c r="V191" s="206">
        <f t="shared" si="33"/>
        <v>45.357717611470292</v>
      </c>
      <c r="W191" s="205">
        <f t="shared" si="34"/>
        <v>374.38168199999996</v>
      </c>
    </row>
    <row r="192" spans="1:23" ht="14.25">
      <c r="A192" s="207">
        <v>13</v>
      </c>
      <c r="B192" s="181">
        <v>116177.0579</v>
      </c>
      <c r="C192" s="181">
        <v>7305.5761300000004</v>
      </c>
      <c r="D192" s="181">
        <v>145273.37899999999</v>
      </c>
      <c r="E192" s="181">
        <v>6492.0169999999998</v>
      </c>
      <c r="F192" s="181">
        <v>0</v>
      </c>
      <c r="G192" s="181">
        <v>37487.726999999999</v>
      </c>
      <c r="H192" s="181">
        <v>396897.54200000002</v>
      </c>
      <c r="I192" s="181">
        <v>10763.047</v>
      </c>
      <c r="J192" s="181">
        <v>24.204000000000001</v>
      </c>
      <c r="K192" s="181">
        <v>9419.7630000000008</v>
      </c>
      <c r="L192" s="181">
        <v>78862.929999999993</v>
      </c>
      <c r="M192" s="181">
        <v>2035.8975</v>
      </c>
      <c r="N192" s="181">
        <v>5446.1914999999999</v>
      </c>
      <c r="O192" s="184">
        <v>816185.33203000005</v>
      </c>
      <c r="P192" s="181">
        <v>-22594.918000000001</v>
      </c>
      <c r="Q192" s="181">
        <v>-4221.33</v>
      </c>
      <c r="R192" s="181">
        <v>-37020.167999999998</v>
      </c>
      <c r="S192" s="184">
        <v>752348.91602999996</v>
      </c>
      <c r="V192" s="206">
        <f t="shared" si="33"/>
        <v>48.628360057983919</v>
      </c>
      <c r="W192" s="205">
        <f t="shared" si="34"/>
        <v>396.89754200000004</v>
      </c>
    </row>
    <row r="193" spans="1:23" ht="14.25">
      <c r="A193" s="207">
        <v>14</v>
      </c>
      <c r="B193" s="181">
        <v>123072.32460000001</v>
      </c>
      <c r="C193" s="181">
        <v>9009.0079999999998</v>
      </c>
      <c r="D193" s="181">
        <v>142094.348</v>
      </c>
      <c r="E193" s="181">
        <v>-1234.9459999999999</v>
      </c>
      <c r="F193" s="181">
        <v>0</v>
      </c>
      <c r="G193" s="181">
        <v>34661.379999999997</v>
      </c>
      <c r="H193" s="181">
        <v>305273.96500000003</v>
      </c>
      <c r="I193" s="181">
        <v>11657.555</v>
      </c>
      <c r="J193" s="181">
        <v>258.25799999999998</v>
      </c>
      <c r="K193" s="181">
        <v>9711.2549999999992</v>
      </c>
      <c r="L193" s="181">
        <v>75533.455000000002</v>
      </c>
      <c r="M193" s="181">
        <v>2010.9159999999999</v>
      </c>
      <c r="N193" s="181">
        <v>5368.5879999999997</v>
      </c>
      <c r="O193" s="184">
        <v>717416.10660000006</v>
      </c>
      <c r="P193" s="181">
        <v>-25493.814999999999</v>
      </c>
      <c r="Q193" s="181">
        <v>-3923.6410000000001</v>
      </c>
      <c r="R193" s="181">
        <v>-22836.937000000002</v>
      </c>
      <c r="S193" s="184">
        <v>665161.71360000002</v>
      </c>
      <c r="V193" s="206">
        <f t="shared" si="33"/>
        <v>42.551869436938567</v>
      </c>
      <c r="W193" s="205">
        <f t="shared" si="34"/>
        <v>305.27396500000003</v>
      </c>
    </row>
    <row r="194" spans="1:23" ht="14.25">
      <c r="A194" s="207">
        <v>15</v>
      </c>
      <c r="B194" s="181">
        <v>117471.03834</v>
      </c>
      <c r="C194" s="181">
        <v>18340.6793</v>
      </c>
      <c r="D194" s="181">
        <v>145283.48800000001</v>
      </c>
      <c r="E194" s="181">
        <v>-799.22900000000004</v>
      </c>
      <c r="F194" s="181">
        <v>0</v>
      </c>
      <c r="G194" s="181">
        <v>44859.877</v>
      </c>
      <c r="H194" s="181">
        <v>189438.092</v>
      </c>
      <c r="I194" s="181">
        <v>16026.038</v>
      </c>
      <c r="J194" s="181">
        <v>929.58500000000004</v>
      </c>
      <c r="K194" s="181">
        <v>9757.1929999999993</v>
      </c>
      <c r="L194" s="181">
        <v>74505.97</v>
      </c>
      <c r="M194" s="181">
        <v>2200.1190000000001</v>
      </c>
      <c r="N194" s="181">
        <v>5712.1639999999998</v>
      </c>
      <c r="O194" s="184">
        <v>623725.01463999995</v>
      </c>
      <c r="P194" s="181">
        <v>-31861.776999999998</v>
      </c>
      <c r="Q194" s="181">
        <v>-3344.3710000000001</v>
      </c>
      <c r="R194" s="181">
        <v>34548.33</v>
      </c>
      <c r="S194" s="184">
        <v>623067.19663999998</v>
      </c>
      <c r="V194" s="206">
        <f t="shared" si="33"/>
        <v>30.372052996678256</v>
      </c>
      <c r="W194" s="205">
        <f t="shared" si="34"/>
        <v>189.43809200000001</v>
      </c>
    </row>
    <row r="195" spans="1:23" ht="14.25">
      <c r="A195" s="207">
        <v>16</v>
      </c>
      <c r="B195" s="181">
        <v>138318.45146000001</v>
      </c>
      <c r="C195" s="181">
        <v>10559.703100000001</v>
      </c>
      <c r="D195" s="181">
        <v>144884.37400000001</v>
      </c>
      <c r="E195" s="181">
        <v>9491.1450000000004</v>
      </c>
      <c r="F195" s="181">
        <v>0</v>
      </c>
      <c r="G195" s="181">
        <v>91073.804000000004</v>
      </c>
      <c r="H195" s="181">
        <v>250930.82399999999</v>
      </c>
      <c r="I195" s="181">
        <v>9735.1080000000002</v>
      </c>
      <c r="J195" s="181">
        <v>215.249</v>
      </c>
      <c r="K195" s="181">
        <v>10556.294</v>
      </c>
      <c r="L195" s="181">
        <v>83578.03</v>
      </c>
      <c r="M195" s="181">
        <v>2222.3415</v>
      </c>
      <c r="N195" s="181">
        <v>5534.7335000000003</v>
      </c>
      <c r="O195" s="184">
        <v>757100.05755999999</v>
      </c>
      <c r="P195" s="181">
        <v>-10043.683000000001</v>
      </c>
      <c r="Q195" s="181">
        <v>-3989.3029999999999</v>
      </c>
      <c r="R195" s="181">
        <v>-3085.7159999999999</v>
      </c>
      <c r="S195" s="184">
        <v>739981.35556000005</v>
      </c>
      <c r="V195" s="206">
        <f t="shared" si="33"/>
        <v>33.143680481111808</v>
      </c>
      <c r="W195" s="205">
        <f t="shared" si="34"/>
        <v>250.930824</v>
      </c>
    </row>
    <row r="196" spans="1:23" ht="14.25">
      <c r="A196" s="207">
        <v>17</v>
      </c>
      <c r="B196" s="181">
        <v>154371.78612999999</v>
      </c>
      <c r="C196" s="181">
        <v>14202.14387</v>
      </c>
      <c r="D196" s="181">
        <v>144822.58600000001</v>
      </c>
      <c r="E196" s="181">
        <v>10969.896000000001</v>
      </c>
      <c r="F196" s="181">
        <v>0</v>
      </c>
      <c r="G196" s="181">
        <v>135585.51800000001</v>
      </c>
      <c r="H196" s="181">
        <v>112169.327</v>
      </c>
      <c r="I196" s="181">
        <v>13248.11</v>
      </c>
      <c r="J196" s="181">
        <v>1192.2159999999999</v>
      </c>
      <c r="K196" s="181">
        <v>10991.906000000001</v>
      </c>
      <c r="L196" s="181">
        <v>82873.301000000007</v>
      </c>
      <c r="M196" s="181">
        <v>2248.578</v>
      </c>
      <c r="N196" s="181">
        <v>5720.4210000000003</v>
      </c>
      <c r="O196" s="184">
        <v>688395.78899999999</v>
      </c>
      <c r="P196" s="181">
        <v>-9990.8459999999995</v>
      </c>
      <c r="Q196" s="181">
        <v>-4014.0149999999999</v>
      </c>
      <c r="R196" s="181">
        <v>71790.59</v>
      </c>
      <c r="S196" s="184">
        <v>746181.51800000004</v>
      </c>
      <c r="V196" s="206">
        <f t="shared" si="33"/>
        <v>16.294307546962639</v>
      </c>
      <c r="W196" s="205">
        <f t="shared" si="34"/>
        <v>112.16932700000001</v>
      </c>
    </row>
    <row r="197" spans="1:23" ht="14.25">
      <c r="A197" s="207">
        <v>18</v>
      </c>
      <c r="B197" s="181">
        <v>158068.01001</v>
      </c>
      <c r="C197" s="181">
        <v>12532.512989999999</v>
      </c>
      <c r="D197" s="181">
        <v>144775.80900000001</v>
      </c>
      <c r="E197" s="181">
        <v>11194.864</v>
      </c>
      <c r="F197" s="181">
        <v>0</v>
      </c>
      <c r="G197" s="181">
        <v>99073.907999999996</v>
      </c>
      <c r="H197" s="181">
        <v>201433.22399999999</v>
      </c>
      <c r="I197" s="181">
        <v>17091.95</v>
      </c>
      <c r="J197" s="181">
        <v>715.52499999999998</v>
      </c>
      <c r="K197" s="181">
        <v>10718.906000000001</v>
      </c>
      <c r="L197" s="181">
        <v>81501.294999999998</v>
      </c>
      <c r="M197" s="181">
        <v>2179.8989999999999</v>
      </c>
      <c r="N197" s="181">
        <v>5822.7030000000004</v>
      </c>
      <c r="O197" s="184">
        <v>745108.60600000003</v>
      </c>
      <c r="P197" s="181">
        <v>-14599.950999999999</v>
      </c>
      <c r="Q197" s="181">
        <v>-3996.0439999999999</v>
      </c>
      <c r="R197" s="181">
        <v>24584.952000000001</v>
      </c>
      <c r="S197" s="184">
        <v>751097.56299999997</v>
      </c>
      <c r="V197" s="206">
        <f t="shared" si="33"/>
        <v>27.034075620380094</v>
      </c>
      <c r="W197" s="205">
        <f t="shared" si="34"/>
        <v>201.433224</v>
      </c>
    </row>
    <row r="198" spans="1:23" ht="14.25">
      <c r="A198" s="207">
        <v>19</v>
      </c>
      <c r="B198" s="181">
        <v>156502.22215399999</v>
      </c>
      <c r="C198" s="181">
        <v>14588.088476000001</v>
      </c>
      <c r="D198" s="181">
        <v>144687.51699999999</v>
      </c>
      <c r="E198" s="181">
        <v>5165.2259999999997</v>
      </c>
      <c r="F198" s="181">
        <v>0</v>
      </c>
      <c r="G198" s="181">
        <v>36339.116999999998</v>
      </c>
      <c r="H198" s="181">
        <v>312239.38400000002</v>
      </c>
      <c r="I198" s="181">
        <v>5063.0969999999998</v>
      </c>
      <c r="J198" s="181">
        <v>5.0199999999999996</v>
      </c>
      <c r="K198" s="181">
        <v>9688.6959999999999</v>
      </c>
      <c r="L198" s="181">
        <v>76161.546000000002</v>
      </c>
      <c r="M198" s="181">
        <v>2114.5495000000001</v>
      </c>
      <c r="N198" s="181">
        <v>5028.6975000000002</v>
      </c>
      <c r="O198" s="184">
        <v>767583.16063000006</v>
      </c>
      <c r="P198" s="181">
        <v>-33830.142</v>
      </c>
      <c r="Q198" s="181">
        <v>-4248.72</v>
      </c>
      <c r="R198" s="181">
        <v>22621.942999999999</v>
      </c>
      <c r="S198" s="184">
        <v>752126.24162999995</v>
      </c>
      <c r="V198" s="206">
        <f t="shared" si="33"/>
        <v>40.678248301295071</v>
      </c>
      <c r="W198" s="205">
        <f t="shared" si="34"/>
        <v>312.23938400000003</v>
      </c>
    </row>
    <row r="199" spans="1:23" ht="14.25">
      <c r="A199" s="207">
        <v>20</v>
      </c>
      <c r="B199" s="181">
        <v>178500.70196800001</v>
      </c>
      <c r="C199" s="181">
        <v>10669.848472</v>
      </c>
      <c r="D199" s="181">
        <v>143651.01800000001</v>
      </c>
      <c r="E199" s="181">
        <v>4935.3280000000004</v>
      </c>
      <c r="F199" s="181">
        <v>0</v>
      </c>
      <c r="G199" s="181">
        <v>23801.558000000001</v>
      </c>
      <c r="H199" s="181">
        <v>307535.19400000002</v>
      </c>
      <c r="I199" s="181">
        <v>3886.9319999999998</v>
      </c>
      <c r="J199" s="181">
        <v>12.948</v>
      </c>
      <c r="K199" s="181">
        <v>9079.384</v>
      </c>
      <c r="L199" s="181">
        <v>71841.167000000001</v>
      </c>
      <c r="M199" s="181">
        <v>2118.09</v>
      </c>
      <c r="N199" s="181">
        <v>4900.1610000000001</v>
      </c>
      <c r="O199" s="184">
        <v>760932.33044000005</v>
      </c>
      <c r="P199" s="181">
        <v>-47409.635999999999</v>
      </c>
      <c r="Q199" s="181">
        <v>-4239.95</v>
      </c>
      <c r="R199" s="181">
        <v>6705.451</v>
      </c>
      <c r="S199" s="184">
        <v>715988.19544000004</v>
      </c>
      <c r="V199" s="206">
        <f t="shared" si="33"/>
        <v>40.415577272445688</v>
      </c>
      <c r="W199" s="205">
        <f t="shared" si="34"/>
        <v>307.53519399999999</v>
      </c>
    </row>
    <row r="200" spans="1:23" ht="14.25">
      <c r="A200" s="207">
        <v>21</v>
      </c>
      <c r="B200" s="181">
        <v>178217.10954999999</v>
      </c>
      <c r="C200" s="181">
        <v>26024.931850000001</v>
      </c>
      <c r="D200" s="181">
        <v>104261.15399999999</v>
      </c>
      <c r="E200" s="181">
        <v>-1210.2260000000001</v>
      </c>
      <c r="F200" s="181">
        <v>0</v>
      </c>
      <c r="G200" s="181">
        <v>34900.432999999997</v>
      </c>
      <c r="H200" s="181">
        <v>236263.41699999999</v>
      </c>
      <c r="I200" s="181">
        <v>9454.7469999999994</v>
      </c>
      <c r="J200" s="181">
        <v>139.036</v>
      </c>
      <c r="K200" s="181">
        <v>8729.8220000000001</v>
      </c>
      <c r="L200" s="181">
        <v>56873.11</v>
      </c>
      <c r="M200" s="181">
        <v>2065.1885000000002</v>
      </c>
      <c r="N200" s="181">
        <v>4841.4695000000002</v>
      </c>
      <c r="O200" s="184">
        <v>660560.19240000006</v>
      </c>
      <c r="P200" s="181">
        <v>-48092.408000000003</v>
      </c>
      <c r="Q200" s="181">
        <v>-3810.326</v>
      </c>
      <c r="R200" s="181">
        <v>19625.702000000001</v>
      </c>
      <c r="S200" s="184">
        <v>628283.16040000005</v>
      </c>
      <c r="V200" s="206">
        <f t="shared" si="33"/>
        <v>35.767129130441369</v>
      </c>
      <c r="W200" s="205">
        <f t="shared" si="34"/>
        <v>236.26341699999998</v>
      </c>
    </row>
    <row r="201" spans="1:23" ht="14.25">
      <c r="A201" s="207">
        <v>22</v>
      </c>
      <c r="B201" s="181">
        <v>167332.86085999999</v>
      </c>
      <c r="C201" s="181">
        <v>13771.4146</v>
      </c>
      <c r="D201" s="181">
        <v>103916.268</v>
      </c>
      <c r="E201" s="181">
        <v>-1167.2080000000001</v>
      </c>
      <c r="F201" s="181">
        <v>0</v>
      </c>
      <c r="G201" s="181">
        <v>29828.11</v>
      </c>
      <c r="H201" s="181">
        <v>235066.15900000001</v>
      </c>
      <c r="I201" s="181">
        <v>16555.391</v>
      </c>
      <c r="J201" s="181">
        <v>722.928</v>
      </c>
      <c r="K201" s="181">
        <v>8623.2000000000007</v>
      </c>
      <c r="L201" s="181">
        <v>56658.777999999998</v>
      </c>
      <c r="M201" s="181">
        <v>2061.2474999999999</v>
      </c>
      <c r="N201" s="181">
        <v>4894.7425000000003</v>
      </c>
      <c r="O201" s="184">
        <v>638263.89145999996</v>
      </c>
      <c r="P201" s="181">
        <v>-53119.370999999999</v>
      </c>
      <c r="Q201" s="181">
        <v>-3314.65</v>
      </c>
      <c r="R201" s="181">
        <v>3069.2420000000002</v>
      </c>
      <c r="S201" s="184">
        <v>584899.11245999997</v>
      </c>
      <c r="V201" s="206">
        <f t="shared" si="33"/>
        <v>36.828992231143879</v>
      </c>
      <c r="W201" s="205">
        <f t="shared" si="34"/>
        <v>235.06615900000003</v>
      </c>
    </row>
    <row r="202" spans="1:23" ht="14.25">
      <c r="A202" s="207">
        <v>23</v>
      </c>
      <c r="B202" s="181">
        <v>174546.73050000001</v>
      </c>
      <c r="C202" s="181">
        <v>19130.0995</v>
      </c>
      <c r="D202" s="181">
        <v>126264.522</v>
      </c>
      <c r="E202" s="181">
        <v>3869.6089999999999</v>
      </c>
      <c r="F202" s="181">
        <v>0</v>
      </c>
      <c r="G202" s="181">
        <v>49996.629000000001</v>
      </c>
      <c r="H202" s="181">
        <v>209914.14199999999</v>
      </c>
      <c r="I202" s="181">
        <v>22409.166000000001</v>
      </c>
      <c r="J202" s="181">
        <v>2338.4319999999998</v>
      </c>
      <c r="K202" s="181">
        <v>9056.6170000000002</v>
      </c>
      <c r="L202" s="181">
        <v>67513.043000000005</v>
      </c>
      <c r="M202" s="181">
        <v>2106.5594999999998</v>
      </c>
      <c r="N202" s="181">
        <v>5063.0995000000003</v>
      </c>
      <c r="O202" s="184">
        <v>692208.64899999998</v>
      </c>
      <c r="P202" s="181">
        <v>-37018.313999999998</v>
      </c>
      <c r="Q202" s="181">
        <v>-3743.2370000000001</v>
      </c>
      <c r="R202" s="181">
        <v>-14671.2</v>
      </c>
      <c r="S202" s="184">
        <v>636775.89800000004</v>
      </c>
      <c r="V202" s="206">
        <f t="shared" si="33"/>
        <v>30.32527003285103</v>
      </c>
      <c r="W202" s="205">
        <f t="shared" si="34"/>
        <v>209.914142</v>
      </c>
    </row>
    <row r="203" spans="1:23" ht="14.25">
      <c r="A203" s="207">
        <v>24</v>
      </c>
      <c r="B203" s="181">
        <v>178296.52609999999</v>
      </c>
      <c r="C203" s="181">
        <v>12447.859899999999</v>
      </c>
      <c r="D203" s="181">
        <v>151269.049</v>
      </c>
      <c r="E203" s="181">
        <v>-1145.576</v>
      </c>
      <c r="F203" s="181">
        <v>0</v>
      </c>
      <c r="G203" s="181">
        <v>41036.438999999998</v>
      </c>
      <c r="H203" s="181">
        <v>119250.52499999999</v>
      </c>
      <c r="I203" s="181">
        <v>23971.511999999999</v>
      </c>
      <c r="J203" s="181">
        <v>5579.21</v>
      </c>
      <c r="K203" s="181">
        <v>8870.08</v>
      </c>
      <c r="L203" s="181">
        <v>57337.233</v>
      </c>
      <c r="M203" s="181">
        <v>2116.1595000000002</v>
      </c>
      <c r="N203" s="181">
        <v>4896.1435000000001</v>
      </c>
      <c r="O203" s="184">
        <v>603925.16099999996</v>
      </c>
      <c r="P203" s="181">
        <v>-52967.661</v>
      </c>
      <c r="Q203" s="181">
        <v>-3769.8049999999998</v>
      </c>
      <c r="R203" s="181">
        <v>33732.445</v>
      </c>
      <c r="S203" s="184">
        <v>580920.14</v>
      </c>
      <c r="V203" s="206">
        <f t="shared" si="33"/>
        <v>19.745911033503042</v>
      </c>
      <c r="W203" s="205">
        <f t="shared" si="34"/>
        <v>119.250525</v>
      </c>
    </row>
    <row r="204" spans="1:23" ht="14.25">
      <c r="A204" s="207">
        <v>25</v>
      </c>
      <c r="B204" s="181">
        <v>177569.85430000001</v>
      </c>
      <c r="C204" s="181">
        <v>9648.6767</v>
      </c>
      <c r="D204" s="181">
        <v>156153.96299999999</v>
      </c>
      <c r="E204" s="181">
        <v>-1132.9870000000001</v>
      </c>
      <c r="F204" s="181">
        <v>0</v>
      </c>
      <c r="G204" s="181">
        <v>55247.856</v>
      </c>
      <c r="H204" s="181">
        <v>87960.004000000001</v>
      </c>
      <c r="I204" s="181">
        <v>23096.201000000001</v>
      </c>
      <c r="J204" s="181">
        <v>3874.2080000000001</v>
      </c>
      <c r="K204" s="181">
        <v>8818.2839999999997</v>
      </c>
      <c r="L204" s="181">
        <v>47669.866000000002</v>
      </c>
      <c r="M204" s="181">
        <v>2035.3565000000001</v>
      </c>
      <c r="N204" s="181">
        <v>4761.2344999999996</v>
      </c>
      <c r="O204" s="184">
        <v>575702.51699999999</v>
      </c>
      <c r="P204" s="181">
        <v>-46984.504999999997</v>
      </c>
      <c r="Q204" s="181">
        <v>-2907.1869999999999</v>
      </c>
      <c r="R204" s="181">
        <v>-19435.462</v>
      </c>
      <c r="S204" s="184">
        <v>506375.36300000001</v>
      </c>
      <c r="V204" s="206">
        <f t="shared" si="33"/>
        <v>15.278724932168398</v>
      </c>
      <c r="W204" s="205">
        <f t="shared" si="34"/>
        <v>87.960003999999998</v>
      </c>
    </row>
    <row r="205" spans="1:23" ht="14.25">
      <c r="A205" s="207">
        <v>26</v>
      </c>
      <c r="B205" s="181">
        <v>179346.1508</v>
      </c>
      <c r="C205" s="181">
        <v>23635.021199999999</v>
      </c>
      <c r="D205" s="181">
        <v>156841.09299999999</v>
      </c>
      <c r="E205" s="181">
        <v>3776.846</v>
      </c>
      <c r="F205" s="181">
        <v>0</v>
      </c>
      <c r="G205" s="181">
        <v>63012.792000000001</v>
      </c>
      <c r="H205" s="181">
        <v>112091.467</v>
      </c>
      <c r="I205" s="181">
        <v>18324.126</v>
      </c>
      <c r="J205" s="181">
        <v>1384.597</v>
      </c>
      <c r="K205" s="181">
        <v>8752.1810000000005</v>
      </c>
      <c r="L205" s="181">
        <v>61173.686999999998</v>
      </c>
      <c r="M205" s="181">
        <v>1862.789</v>
      </c>
      <c r="N205" s="181">
        <v>4663.2860000000001</v>
      </c>
      <c r="O205" s="184">
        <v>634864.03599999996</v>
      </c>
      <c r="P205" s="181">
        <v>-31605.038</v>
      </c>
      <c r="Q205" s="181">
        <v>-3086.0340000000001</v>
      </c>
      <c r="R205" s="181">
        <v>-6640.5479999999998</v>
      </c>
      <c r="S205" s="184">
        <v>593532.41599999997</v>
      </c>
      <c r="V205" s="206">
        <f t="shared" si="33"/>
        <v>17.655979964818798</v>
      </c>
      <c r="W205" s="205">
        <f t="shared" si="34"/>
        <v>112.09146700000001</v>
      </c>
    </row>
    <row r="206" spans="1:23" ht="14.25">
      <c r="A206" s="207">
        <v>27</v>
      </c>
      <c r="B206" s="181">
        <v>183197.16390000001</v>
      </c>
      <c r="C206" s="181">
        <v>20448.061099999999</v>
      </c>
      <c r="D206" s="181">
        <v>164117.17800000001</v>
      </c>
      <c r="E206" s="181">
        <v>10587.708000000001</v>
      </c>
      <c r="F206" s="181">
        <v>0</v>
      </c>
      <c r="G206" s="181">
        <v>74157.971000000005</v>
      </c>
      <c r="H206" s="181">
        <v>68791.199999999997</v>
      </c>
      <c r="I206" s="181">
        <v>23730.366000000002</v>
      </c>
      <c r="J206" s="181">
        <v>4410.6670000000004</v>
      </c>
      <c r="K206" s="181">
        <v>9041.0679999999993</v>
      </c>
      <c r="L206" s="181">
        <v>72549.444000000003</v>
      </c>
      <c r="M206" s="181">
        <v>1860.087</v>
      </c>
      <c r="N206" s="181">
        <v>4220.4930000000004</v>
      </c>
      <c r="O206" s="184">
        <v>637111.40700000001</v>
      </c>
      <c r="P206" s="181">
        <v>-36233.110999999997</v>
      </c>
      <c r="Q206" s="181">
        <v>-3866.703</v>
      </c>
      <c r="R206" s="181">
        <v>36735.930999999997</v>
      </c>
      <c r="S206" s="184">
        <v>633747.52399999998</v>
      </c>
      <c r="V206" s="206">
        <f t="shared" si="33"/>
        <v>10.797358082775622</v>
      </c>
      <c r="W206" s="205">
        <f t="shared" si="34"/>
        <v>68.791200000000003</v>
      </c>
    </row>
    <row r="207" spans="1:23" ht="14.25">
      <c r="A207" s="207">
        <v>28</v>
      </c>
      <c r="B207" s="181">
        <v>179077.64113199999</v>
      </c>
      <c r="C207" s="181">
        <v>11708.084868</v>
      </c>
      <c r="D207" s="181">
        <v>169831.55499999999</v>
      </c>
      <c r="E207" s="181">
        <v>8112.4830000000002</v>
      </c>
      <c r="F207" s="181">
        <v>0</v>
      </c>
      <c r="G207" s="181">
        <v>66587.201000000001</v>
      </c>
      <c r="H207" s="181">
        <v>58381.529000000002</v>
      </c>
      <c r="I207" s="181">
        <v>24701.322</v>
      </c>
      <c r="J207" s="181">
        <v>6859.424</v>
      </c>
      <c r="K207" s="181">
        <v>9013.2530000000006</v>
      </c>
      <c r="L207" s="181">
        <v>71075.474000000002</v>
      </c>
      <c r="M207" s="181">
        <v>1963.9575</v>
      </c>
      <c r="N207" s="181">
        <v>4096.0455000000002</v>
      </c>
      <c r="O207" s="184">
        <v>611407.97</v>
      </c>
      <c r="P207" s="181">
        <v>-27543.886999999999</v>
      </c>
      <c r="Q207" s="181">
        <v>-3640.5940000000001</v>
      </c>
      <c r="R207" s="181">
        <v>26616.010999999999</v>
      </c>
      <c r="S207" s="184">
        <v>606839.5</v>
      </c>
      <c r="V207" s="206">
        <f t="shared" si="33"/>
        <v>9.5487026444879355</v>
      </c>
      <c r="W207" s="205">
        <f t="shared" si="34"/>
        <v>58.381529</v>
      </c>
    </row>
    <row r="208" spans="1:23" ht="14.25">
      <c r="A208" s="207">
        <v>29</v>
      </c>
      <c r="B208" s="181">
        <v>168891.39542399999</v>
      </c>
      <c r="C208" s="181">
        <v>7628.0625760000003</v>
      </c>
      <c r="D208" s="181">
        <v>170602.359</v>
      </c>
      <c r="E208" s="181">
        <v>7946.3869999999997</v>
      </c>
      <c r="F208" s="181">
        <v>0</v>
      </c>
      <c r="G208" s="181">
        <v>72743.482999999993</v>
      </c>
      <c r="H208" s="181">
        <v>51105.222999999998</v>
      </c>
      <c r="I208" s="181">
        <v>22238.844000000001</v>
      </c>
      <c r="J208" s="181">
        <v>5939.384</v>
      </c>
      <c r="K208" s="181">
        <v>8417.4989999999998</v>
      </c>
      <c r="L208" s="181">
        <v>68804.307000000001</v>
      </c>
      <c r="M208" s="181">
        <v>2164.4915000000001</v>
      </c>
      <c r="N208" s="181">
        <v>4347.5355</v>
      </c>
      <c r="O208" s="184">
        <v>590828.97100000002</v>
      </c>
      <c r="P208" s="181">
        <v>-34394.690999999999</v>
      </c>
      <c r="Q208" s="181">
        <v>-3573.288</v>
      </c>
      <c r="R208" s="181">
        <v>25560.704000000002</v>
      </c>
      <c r="S208" s="184">
        <v>578421.696</v>
      </c>
      <c r="V208" s="206">
        <f t="shared" si="33"/>
        <v>8.6497489981749727</v>
      </c>
      <c r="W208" s="205">
        <f t="shared" si="34"/>
        <v>51.105222999999995</v>
      </c>
    </row>
    <row r="209" spans="1:23" ht="14.25">
      <c r="A209" s="207">
        <v>30</v>
      </c>
      <c r="B209" s="181">
        <v>167731.84538799999</v>
      </c>
      <c r="C209" s="181">
        <v>6874.7526120000002</v>
      </c>
      <c r="D209" s="181">
        <v>170571.886</v>
      </c>
      <c r="E209" s="181">
        <v>13969.487999999999</v>
      </c>
      <c r="F209" s="181">
        <v>0</v>
      </c>
      <c r="G209" s="181">
        <v>90000.347999999998</v>
      </c>
      <c r="H209" s="181">
        <v>48096.262000000002</v>
      </c>
      <c r="I209" s="181">
        <v>19568.511999999999</v>
      </c>
      <c r="J209" s="181">
        <v>5528.5739999999996</v>
      </c>
      <c r="K209" s="181">
        <v>8304.3439999999991</v>
      </c>
      <c r="L209" s="181">
        <v>73477.206999999995</v>
      </c>
      <c r="M209" s="181">
        <v>2138.3615</v>
      </c>
      <c r="N209" s="181">
        <v>4153.2375000000002</v>
      </c>
      <c r="O209" s="184">
        <v>610414.81799999997</v>
      </c>
      <c r="P209" s="181">
        <v>-25093.708999999999</v>
      </c>
      <c r="Q209" s="181">
        <v>-4336.848</v>
      </c>
      <c r="R209" s="181">
        <v>67069.819000000003</v>
      </c>
      <c r="S209" s="184">
        <v>648054.07999999996</v>
      </c>
      <c r="V209" s="206">
        <f t="shared" si="33"/>
        <v>7.8792749752677205</v>
      </c>
      <c r="W209" s="205">
        <f t="shared" si="34"/>
        <v>48.096262000000003</v>
      </c>
    </row>
    <row r="210" spans="1:23" ht="14.25">
      <c r="A210" s="207">
        <v>31</v>
      </c>
      <c r="B210" s="181">
        <v>165847.36311800001</v>
      </c>
      <c r="C210" s="181">
        <v>5471.7654920000004</v>
      </c>
      <c r="D210" s="181">
        <v>170527.72700000001</v>
      </c>
      <c r="E210" s="181">
        <v>9174.5259999999998</v>
      </c>
      <c r="F210" s="181">
        <v>0</v>
      </c>
      <c r="G210" s="181">
        <v>103228.216</v>
      </c>
      <c r="H210" s="181">
        <v>41014.071000000004</v>
      </c>
      <c r="I210" s="181">
        <v>20008.353999999999</v>
      </c>
      <c r="J210" s="181">
        <v>4927.7250000000004</v>
      </c>
      <c r="K210" s="181">
        <v>8517.9840000000004</v>
      </c>
      <c r="L210" s="181">
        <v>66026.766000000003</v>
      </c>
      <c r="M210" s="181">
        <v>2144.0700000000002</v>
      </c>
      <c r="N210" s="181">
        <v>3979.3119999999999</v>
      </c>
      <c r="O210" s="184">
        <v>600867.87960999995</v>
      </c>
      <c r="P210" s="181">
        <v>-12987.321</v>
      </c>
      <c r="Q210" s="181">
        <v>-4372.143</v>
      </c>
      <c r="R210" s="181">
        <v>31482.356</v>
      </c>
      <c r="S210" s="184">
        <v>614990.77161000005</v>
      </c>
      <c r="V210" s="206">
        <f t="shared" si="33"/>
        <v>6.8258052047349649</v>
      </c>
      <c r="W210" s="205">
        <f t="shared" si="34"/>
        <v>41.014071000000001</v>
      </c>
    </row>
    <row r="211" spans="1:23" ht="14.25">
      <c r="H211" s="2">
        <f>MAX(H180:H210)</f>
        <v>396897.54200000002</v>
      </c>
      <c r="V211" s="206">
        <f>VLOOKUP(H211,H180:W209,15,FALSE)</f>
        <v>48.628360057983919</v>
      </c>
    </row>
    <row r="215" spans="1:23">
      <c r="A215" s="177" t="s">
        <v>31</v>
      </c>
      <c r="B215" s="318" t="s">
        <v>624</v>
      </c>
      <c r="C215" s="319"/>
      <c r="D215" s="319"/>
      <c r="E215" s="319"/>
      <c r="F215" s="319"/>
      <c r="G215" s="319"/>
      <c r="H215" s="319"/>
      <c r="I215" s="319"/>
      <c r="J215" s="319"/>
      <c r="K215" s="319"/>
      <c r="L215" s="319"/>
      <c r="M215" s="319"/>
      <c r="N215" s="319"/>
      <c r="O215" s="319"/>
      <c r="P215" s="319"/>
      <c r="Q215" s="319"/>
      <c r="R215" s="319"/>
      <c r="S215" s="319"/>
    </row>
    <row r="216" spans="1:23">
      <c r="A216" s="177" t="s">
        <v>108</v>
      </c>
      <c r="B216" s="320" t="s">
        <v>101</v>
      </c>
      <c r="C216" s="321"/>
      <c r="D216" s="321"/>
      <c r="E216" s="321"/>
      <c r="F216" s="321"/>
      <c r="G216" s="321"/>
      <c r="H216" s="321"/>
      <c r="I216" s="321"/>
      <c r="J216" s="321"/>
      <c r="K216" s="321"/>
      <c r="L216" s="321"/>
      <c r="M216" s="321"/>
      <c r="N216" s="321"/>
      <c r="O216" s="321"/>
      <c r="P216" s="321"/>
      <c r="Q216" s="321"/>
      <c r="R216" s="321"/>
      <c r="S216" s="321"/>
    </row>
    <row r="217" spans="1:23">
      <c r="A217" s="177" t="s">
        <v>109</v>
      </c>
      <c r="B217" s="325" t="s">
        <v>126</v>
      </c>
      <c r="C217" s="326"/>
      <c r="D217" s="326"/>
      <c r="E217" s="326"/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</row>
    <row r="218" spans="1:23">
      <c r="A218" s="186" t="s">
        <v>110</v>
      </c>
      <c r="B218" s="292" t="s">
        <v>2</v>
      </c>
      <c r="C218" s="292" t="s">
        <v>82</v>
      </c>
      <c r="D218" s="292" t="s">
        <v>3</v>
      </c>
      <c r="E218" s="292" t="s">
        <v>4</v>
      </c>
      <c r="F218" s="292" t="s">
        <v>98</v>
      </c>
      <c r="G218" s="292" t="s">
        <v>11</v>
      </c>
      <c r="H218" s="292" t="s">
        <v>5</v>
      </c>
      <c r="I218" s="292" t="s">
        <v>6</v>
      </c>
      <c r="J218" s="292" t="s">
        <v>7</v>
      </c>
      <c r="K218" s="292" t="s">
        <v>8</v>
      </c>
      <c r="L218" s="292" t="s">
        <v>9</v>
      </c>
      <c r="M218" s="292" t="s">
        <v>70</v>
      </c>
      <c r="N218" s="292" t="s">
        <v>71</v>
      </c>
      <c r="O218" s="202" t="s">
        <v>10</v>
      </c>
      <c r="P218" s="292" t="s">
        <v>130</v>
      </c>
      <c r="Q218" s="292" t="s">
        <v>100</v>
      </c>
      <c r="R218" s="292" t="s">
        <v>131</v>
      </c>
      <c r="S218" s="202" t="s">
        <v>132</v>
      </c>
      <c r="V218" s="204" t="s">
        <v>137</v>
      </c>
    </row>
    <row r="219" spans="1:23" ht="14.25">
      <c r="A219" s="186" t="s">
        <v>125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4.3038886999999999</v>
      </c>
      <c r="C220" s="181">
        <v>2.3954300000000001E-2</v>
      </c>
      <c r="D220" s="181">
        <v>6.0531560000000004</v>
      </c>
      <c r="E220" s="181">
        <v>0.356323</v>
      </c>
      <c r="F220" s="181">
        <v>0</v>
      </c>
      <c r="G220" s="181">
        <v>1.661438</v>
      </c>
      <c r="H220" s="181">
        <v>16.954722</v>
      </c>
      <c r="I220" s="181">
        <v>8.2999999999999998E-5</v>
      </c>
      <c r="J220" s="181">
        <v>0</v>
      </c>
      <c r="K220" s="181">
        <v>0.39652700000000002</v>
      </c>
      <c r="L220" s="181">
        <v>3.1826829999999999</v>
      </c>
      <c r="M220" s="181">
        <v>8.4551500000000002E-2</v>
      </c>
      <c r="N220" s="181">
        <v>0.2291175</v>
      </c>
      <c r="O220" s="184">
        <v>33.246443999999997</v>
      </c>
      <c r="P220" s="181">
        <v>-1.95244</v>
      </c>
      <c r="Q220" s="181">
        <v>-0.10290199999999999</v>
      </c>
      <c r="R220" s="181">
        <v>-3.1062470000000002</v>
      </c>
      <c r="S220" s="184">
        <v>28.084855000000001</v>
      </c>
      <c r="V220" s="206">
        <f>IFERROR(H220/O220*100,"")</f>
        <v>50.997099118329771</v>
      </c>
    </row>
    <row r="221" spans="1:23" ht="14.25">
      <c r="A221" s="207">
        <v>2</v>
      </c>
      <c r="B221" s="181">
        <v>3.8197303200000001</v>
      </c>
      <c r="C221" s="181">
        <v>0.17076668</v>
      </c>
      <c r="D221" s="181">
        <v>6.0519439999999998</v>
      </c>
      <c r="E221" s="181">
        <v>0.27436100000000002</v>
      </c>
      <c r="F221" s="181">
        <v>0</v>
      </c>
      <c r="G221" s="181">
        <v>0.966418</v>
      </c>
      <c r="H221" s="181">
        <v>17.126860000000001</v>
      </c>
      <c r="I221" s="181">
        <v>8.3999999999999995E-5</v>
      </c>
      <c r="J221" s="181">
        <v>0</v>
      </c>
      <c r="K221" s="181">
        <v>0.38391399999999998</v>
      </c>
      <c r="L221" s="181">
        <v>3.1238549999999998</v>
      </c>
      <c r="M221" s="181">
        <v>8.2594000000000001E-2</v>
      </c>
      <c r="N221" s="181">
        <v>0.22709199999999999</v>
      </c>
      <c r="O221" s="184">
        <v>32.227618999999997</v>
      </c>
      <c r="P221" s="181">
        <v>-2.6110009999999999</v>
      </c>
      <c r="Q221" s="181">
        <v>-8.208E-2</v>
      </c>
      <c r="R221" s="181">
        <v>-3.4462640000000002</v>
      </c>
      <c r="S221" s="184">
        <v>26.088273999999998</v>
      </c>
      <c r="V221" s="206">
        <f t="shared" ref="V221:V246" si="35">IFERROR(H221/O221*100,"")</f>
        <v>53.143423347533073</v>
      </c>
    </row>
    <row r="222" spans="1:23" ht="14.25">
      <c r="A222" s="207">
        <v>3</v>
      </c>
      <c r="B222" s="181">
        <v>3.48565528</v>
      </c>
      <c r="C222" s="181">
        <v>0.34644572000000001</v>
      </c>
      <c r="D222" s="181">
        <v>6.0536700000000003</v>
      </c>
      <c r="E222" s="181">
        <v>0.25687700000000002</v>
      </c>
      <c r="F222" s="181">
        <v>0</v>
      </c>
      <c r="G222" s="181">
        <v>1.065043</v>
      </c>
      <c r="H222" s="181">
        <v>16.806878999999999</v>
      </c>
      <c r="I222" s="181">
        <v>1.21E-4</v>
      </c>
      <c r="J222" s="181">
        <v>0</v>
      </c>
      <c r="K222" s="181">
        <v>0.38609399999999999</v>
      </c>
      <c r="L222" s="181">
        <v>3.1169829999999998</v>
      </c>
      <c r="M222" s="181">
        <v>8.1846500000000003E-2</v>
      </c>
      <c r="N222" s="181">
        <v>0.22626950000000001</v>
      </c>
      <c r="O222" s="184">
        <v>31.825883999999999</v>
      </c>
      <c r="P222" s="181">
        <v>-3.2030259999999999</v>
      </c>
      <c r="Q222" s="181">
        <v>-8.1906999999999994E-2</v>
      </c>
      <c r="R222" s="181">
        <v>-3.7192249999999998</v>
      </c>
      <c r="S222" s="184">
        <v>24.821726000000002</v>
      </c>
      <c r="V222" s="206">
        <f t="shared" si="35"/>
        <v>52.808836354710522</v>
      </c>
    </row>
    <row r="223" spans="1:23" ht="14.25">
      <c r="A223" s="207">
        <v>4</v>
      </c>
      <c r="B223" s="181">
        <v>3.3063636299999999</v>
      </c>
      <c r="C223" s="181">
        <v>0.34629310000000002</v>
      </c>
      <c r="D223" s="181">
        <v>6.0524040000000001</v>
      </c>
      <c r="E223" s="181">
        <v>0.24174499999999999</v>
      </c>
      <c r="F223" s="181">
        <v>0</v>
      </c>
      <c r="G223" s="181">
        <v>0.912435</v>
      </c>
      <c r="H223" s="181">
        <v>16.582954999999998</v>
      </c>
      <c r="I223" s="181">
        <v>1.44E-4</v>
      </c>
      <c r="J223" s="181">
        <v>0</v>
      </c>
      <c r="K223" s="181">
        <v>0.38233600000000001</v>
      </c>
      <c r="L223" s="181">
        <v>3.081588</v>
      </c>
      <c r="M223" s="181">
        <v>8.2388000000000003E-2</v>
      </c>
      <c r="N223" s="181">
        <v>0.223639</v>
      </c>
      <c r="O223" s="184">
        <v>31.212290729999999</v>
      </c>
      <c r="P223" s="181">
        <v>-3.3621509999999999</v>
      </c>
      <c r="Q223" s="181">
        <v>-8.1864000000000006E-2</v>
      </c>
      <c r="R223" s="181">
        <v>-3.6681469999999998</v>
      </c>
      <c r="S223" s="184">
        <v>24.100128730000002</v>
      </c>
      <c r="V223" s="206">
        <f t="shared" si="35"/>
        <v>53.129567270309728</v>
      </c>
    </row>
    <row r="224" spans="1:23" ht="14.25">
      <c r="A224" s="207">
        <v>5</v>
      </c>
      <c r="B224" s="181">
        <v>3.34468392</v>
      </c>
      <c r="C224" s="181">
        <v>0.34354987999999997</v>
      </c>
      <c r="D224" s="181">
        <v>6.0545679999999997</v>
      </c>
      <c r="E224" s="181">
        <v>0.24637100000000001</v>
      </c>
      <c r="F224" s="181">
        <v>0</v>
      </c>
      <c r="G224" s="181">
        <v>0.83118099999999995</v>
      </c>
      <c r="H224" s="181">
        <v>16.40109</v>
      </c>
      <c r="I224" s="181">
        <v>1.2300000000000001E-4</v>
      </c>
      <c r="J224" s="181">
        <v>0</v>
      </c>
      <c r="K224" s="181">
        <v>0.37877</v>
      </c>
      <c r="L224" s="181">
        <v>3.0476679999999998</v>
      </c>
      <c r="M224" s="181">
        <v>8.3636000000000002E-2</v>
      </c>
      <c r="N224" s="181">
        <v>0.22394600000000001</v>
      </c>
      <c r="O224" s="184">
        <v>30.955586799999999</v>
      </c>
      <c r="P224" s="181">
        <v>-3.3394360000000001</v>
      </c>
      <c r="Q224" s="181">
        <v>-8.1864000000000006E-2</v>
      </c>
      <c r="R224" s="181">
        <v>-3.5751430000000002</v>
      </c>
      <c r="S224" s="184">
        <v>23.9591438</v>
      </c>
      <c r="V224" s="206">
        <f t="shared" si="35"/>
        <v>52.982649322609511</v>
      </c>
    </row>
    <row r="225" spans="1:22" ht="14.25">
      <c r="A225" s="207">
        <v>6</v>
      </c>
      <c r="B225" s="181">
        <v>3.5093751900000001</v>
      </c>
      <c r="C225" s="181">
        <v>0.34392706000000001</v>
      </c>
      <c r="D225" s="181">
        <v>6.0515439999999998</v>
      </c>
      <c r="E225" s="181">
        <v>0.26481199999999999</v>
      </c>
      <c r="F225" s="181">
        <v>0</v>
      </c>
      <c r="G225" s="181">
        <v>1.068719</v>
      </c>
      <c r="H225" s="181">
        <v>16.436323999999999</v>
      </c>
      <c r="I225" s="181">
        <v>1.4899999999999999E-4</v>
      </c>
      <c r="J225" s="181">
        <v>0</v>
      </c>
      <c r="K225" s="181">
        <v>0.38365300000000002</v>
      </c>
      <c r="L225" s="181">
        <v>3.0722870000000002</v>
      </c>
      <c r="M225" s="181">
        <v>8.3097000000000004E-2</v>
      </c>
      <c r="N225" s="181">
        <v>0.22056100000000001</v>
      </c>
      <c r="O225" s="184">
        <v>31.434448249999999</v>
      </c>
      <c r="P225" s="181">
        <v>-3.2104979999999999</v>
      </c>
      <c r="Q225" s="181">
        <v>-8.2295999999999994E-2</v>
      </c>
      <c r="R225" s="181">
        <v>-3.4954839999999998</v>
      </c>
      <c r="S225" s="184">
        <v>24.646170250000001</v>
      </c>
      <c r="V225" s="206">
        <f t="shared" si="35"/>
        <v>52.287617295779953</v>
      </c>
    </row>
    <row r="226" spans="1:22" ht="14.25">
      <c r="A226" s="207">
        <v>7</v>
      </c>
      <c r="B226" s="181">
        <v>3.8883645599999999</v>
      </c>
      <c r="C226" s="181">
        <v>0.16278118</v>
      </c>
      <c r="D226" s="181">
        <v>6.0510890000000002</v>
      </c>
      <c r="E226" s="181">
        <v>0.26794400000000002</v>
      </c>
      <c r="F226" s="181">
        <v>0</v>
      </c>
      <c r="G226" s="181">
        <v>1.3866529999999999</v>
      </c>
      <c r="H226" s="181">
        <v>16.499853999999999</v>
      </c>
      <c r="I226" s="181">
        <v>2.33E-4</v>
      </c>
      <c r="J226" s="181">
        <v>0</v>
      </c>
      <c r="K226" s="181">
        <v>0.39203100000000002</v>
      </c>
      <c r="L226" s="181">
        <v>3.086551</v>
      </c>
      <c r="M226" s="181">
        <v>8.1233E-2</v>
      </c>
      <c r="N226" s="181">
        <v>0.22042600000000001</v>
      </c>
      <c r="O226" s="184">
        <v>32.03715974</v>
      </c>
      <c r="P226" s="181">
        <v>-1.816049</v>
      </c>
      <c r="Q226" s="181">
        <v>-0.102384</v>
      </c>
      <c r="R226" s="181">
        <v>-2.6088809999999998</v>
      </c>
      <c r="S226" s="184">
        <v>27.509845739999999</v>
      </c>
      <c r="V226" s="206">
        <f t="shared" si="35"/>
        <v>51.502237195512393</v>
      </c>
    </row>
    <row r="227" spans="1:22" ht="14.25">
      <c r="A227" s="207">
        <v>8</v>
      </c>
      <c r="B227" s="181">
        <v>4.7755520000000002</v>
      </c>
      <c r="C227" s="181">
        <v>0.38658300000000001</v>
      </c>
      <c r="D227" s="181">
        <v>6.0493880000000004</v>
      </c>
      <c r="E227" s="181">
        <v>0.27150299999999999</v>
      </c>
      <c r="F227" s="181">
        <v>0</v>
      </c>
      <c r="G227" s="181">
        <v>1.9704060000000001</v>
      </c>
      <c r="H227" s="181">
        <v>16.222811</v>
      </c>
      <c r="I227" s="181">
        <v>5.0299999999999997E-4</v>
      </c>
      <c r="J227" s="181">
        <v>0</v>
      </c>
      <c r="K227" s="181">
        <v>0.40537600000000001</v>
      </c>
      <c r="L227" s="181">
        <v>3.187103</v>
      </c>
      <c r="M227" s="181">
        <v>8.21075E-2</v>
      </c>
      <c r="N227" s="181">
        <v>0.2206265</v>
      </c>
      <c r="O227" s="184">
        <v>33.571959</v>
      </c>
      <c r="P227" s="181">
        <v>-0.192356</v>
      </c>
      <c r="Q227" s="181">
        <v>-0.17508899999999999</v>
      </c>
      <c r="R227" s="181">
        <v>-1.2398610000000001</v>
      </c>
      <c r="S227" s="184">
        <v>31.964652999999998</v>
      </c>
      <c r="V227" s="206">
        <f t="shared" si="35"/>
        <v>48.32250331295829</v>
      </c>
    </row>
    <row r="228" spans="1:22" ht="14.25">
      <c r="A228" s="207">
        <v>9</v>
      </c>
      <c r="B228" s="181">
        <v>5.2770919999999997</v>
      </c>
      <c r="C228" s="181">
        <v>0.83035999999999999</v>
      </c>
      <c r="D228" s="181">
        <v>6.0502010000000004</v>
      </c>
      <c r="E228" s="181">
        <v>0.25571500000000003</v>
      </c>
      <c r="F228" s="181">
        <v>0</v>
      </c>
      <c r="G228" s="181">
        <v>1.754302</v>
      </c>
      <c r="H228" s="181">
        <v>16.296681</v>
      </c>
      <c r="I228" s="181">
        <v>2.8767999999999998E-2</v>
      </c>
      <c r="J228" s="181">
        <v>0</v>
      </c>
      <c r="K228" s="181">
        <v>0.41100900000000001</v>
      </c>
      <c r="L228" s="181">
        <v>3.2639360000000002</v>
      </c>
      <c r="M228" s="181">
        <v>8.5264499999999993E-2</v>
      </c>
      <c r="N228" s="181">
        <v>0.22274749999999999</v>
      </c>
      <c r="O228" s="184">
        <v>34.476075999999999</v>
      </c>
      <c r="P228" s="181">
        <v>-2.2130000000000001E-3</v>
      </c>
      <c r="Q228" s="181">
        <v>-0.20368900000000001</v>
      </c>
      <c r="R228" s="181">
        <v>-6.2673000000000006E-2</v>
      </c>
      <c r="S228" s="184">
        <v>34.207501000000001</v>
      </c>
      <c r="V228" s="206">
        <f t="shared" si="35"/>
        <v>47.269535546910852</v>
      </c>
    </row>
    <row r="229" spans="1:22" ht="14.25">
      <c r="A229" s="207">
        <v>10</v>
      </c>
      <c r="B229" s="181">
        <v>5.5621869999999998</v>
      </c>
      <c r="C229" s="181">
        <v>0.38295499999999999</v>
      </c>
      <c r="D229" s="181">
        <v>6.0534410000000003</v>
      </c>
      <c r="E229" s="181">
        <v>0.28704099999999999</v>
      </c>
      <c r="F229" s="181">
        <v>0</v>
      </c>
      <c r="G229" s="181">
        <v>2.126951</v>
      </c>
      <c r="H229" s="181">
        <v>16.079094999999999</v>
      </c>
      <c r="I229" s="181">
        <v>0.41551900000000003</v>
      </c>
      <c r="J229" s="181">
        <v>0</v>
      </c>
      <c r="K229" s="181">
        <v>0.41944999999999999</v>
      </c>
      <c r="L229" s="181">
        <v>3.293504</v>
      </c>
      <c r="M229" s="181">
        <v>8.6667499999999995E-2</v>
      </c>
      <c r="N229" s="181">
        <v>0.22460649999999999</v>
      </c>
      <c r="O229" s="184">
        <v>34.931417000000003</v>
      </c>
      <c r="P229" s="181">
        <v>-2.5669999999999998E-3</v>
      </c>
      <c r="Q229" s="181">
        <v>-0.20407600000000001</v>
      </c>
      <c r="R229" s="181">
        <v>0.31532900000000003</v>
      </c>
      <c r="S229" s="184">
        <v>35.040103000000002</v>
      </c>
      <c r="V229" s="206">
        <f t="shared" si="35"/>
        <v>46.030468789743047</v>
      </c>
    </row>
    <row r="230" spans="1:22" ht="14.25">
      <c r="A230" s="207">
        <v>11</v>
      </c>
      <c r="B230" s="181">
        <v>5.6537769999999998</v>
      </c>
      <c r="C230" s="181">
        <v>0.49623499999999998</v>
      </c>
      <c r="D230" s="181">
        <v>6.0533440000000001</v>
      </c>
      <c r="E230" s="181">
        <v>0.31739800000000001</v>
      </c>
      <c r="F230" s="181">
        <v>0</v>
      </c>
      <c r="G230" s="181">
        <v>2.0082960000000001</v>
      </c>
      <c r="H230" s="181">
        <v>15.923812</v>
      </c>
      <c r="I230" s="181">
        <v>1.111777</v>
      </c>
      <c r="J230" s="181">
        <v>0</v>
      </c>
      <c r="K230" s="181">
        <v>0.42183700000000002</v>
      </c>
      <c r="L230" s="181">
        <v>3.3101769999999999</v>
      </c>
      <c r="M230" s="181">
        <v>8.5814500000000002E-2</v>
      </c>
      <c r="N230" s="181">
        <v>0.22471450000000001</v>
      </c>
      <c r="O230" s="184">
        <v>35.607182000000002</v>
      </c>
      <c r="P230" s="181">
        <v>-2.5149999999999999E-3</v>
      </c>
      <c r="Q230" s="181">
        <v>-0.20399100000000001</v>
      </c>
      <c r="R230" s="181">
        <v>-0.13624600000000001</v>
      </c>
      <c r="S230" s="184">
        <v>35.264429999999997</v>
      </c>
      <c r="V230" s="206">
        <f t="shared" si="35"/>
        <v>44.720786946858077</v>
      </c>
    </row>
    <row r="231" spans="1:22" ht="14.25">
      <c r="A231" s="207">
        <v>12</v>
      </c>
      <c r="B231" s="181">
        <v>5.2025949999999996</v>
      </c>
      <c r="C231" s="181">
        <v>0.46784700000000001</v>
      </c>
      <c r="D231" s="181">
        <v>6.0556330000000003</v>
      </c>
      <c r="E231" s="181">
        <v>0.311334</v>
      </c>
      <c r="F231" s="181">
        <v>0</v>
      </c>
      <c r="G231" s="181">
        <v>1.8630819999999999</v>
      </c>
      <c r="H231" s="181">
        <v>16.027996999999999</v>
      </c>
      <c r="I231" s="181">
        <v>1.7068049999999999</v>
      </c>
      <c r="J231" s="181">
        <v>0</v>
      </c>
      <c r="K231" s="181">
        <v>0.42293900000000001</v>
      </c>
      <c r="L231" s="181">
        <v>3.3279049999999999</v>
      </c>
      <c r="M231" s="181">
        <v>8.49935E-2</v>
      </c>
      <c r="N231" s="181">
        <v>0.22371650000000001</v>
      </c>
      <c r="O231" s="184">
        <v>35.694847000000003</v>
      </c>
      <c r="P231" s="181">
        <v>-2.3379999999999998E-3</v>
      </c>
      <c r="Q231" s="181">
        <v>-0.20394699999999999</v>
      </c>
      <c r="R231" s="181">
        <v>-0.30895899999999998</v>
      </c>
      <c r="S231" s="184">
        <v>35.179603</v>
      </c>
      <c r="V231" s="206">
        <f t="shared" si="35"/>
        <v>44.902831492736183</v>
      </c>
    </row>
    <row r="232" spans="1:22" ht="14.25">
      <c r="A232" s="207">
        <v>13</v>
      </c>
      <c r="B232" s="181">
        <v>5.2865849999999996</v>
      </c>
      <c r="C232" s="181">
        <v>0.40753699999999998</v>
      </c>
      <c r="D232" s="181">
        <v>6.055212</v>
      </c>
      <c r="E232" s="181">
        <v>0.29623500000000003</v>
      </c>
      <c r="F232" s="181">
        <v>0</v>
      </c>
      <c r="G232" s="181">
        <v>1.943616</v>
      </c>
      <c r="H232" s="181">
        <v>16.158940000000001</v>
      </c>
      <c r="I232" s="181">
        <v>1.9307399999999999</v>
      </c>
      <c r="J232" s="181">
        <v>0</v>
      </c>
      <c r="K232" s="181">
        <v>0.41631000000000001</v>
      </c>
      <c r="L232" s="181">
        <v>3.3536190000000001</v>
      </c>
      <c r="M232" s="181">
        <v>8.4247500000000003E-2</v>
      </c>
      <c r="N232" s="181">
        <v>0.22324050000000001</v>
      </c>
      <c r="O232" s="184">
        <v>36.156281999999997</v>
      </c>
      <c r="P232" s="181">
        <v>-2.4979999999999998E-3</v>
      </c>
      <c r="Q232" s="181">
        <v>-0.20394699999999999</v>
      </c>
      <c r="R232" s="181">
        <v>-1.017026</v>
      </c>
      <c r="S232" s="184">
        <v>34.932811000000001</v>
      </c>
      <c r="V232" s="206">
        <f t="shared" si="35"/>
        <v>44.691929330565578</v>
      </c>
    </row>
    <row r="233" spans="1:22" ht="14.25">
      <c r="A233" s="207">
        <v>14</v>
      </c>
      <c r="B233" s="181">
        <v>5.1504709999999996</v>
      </c>
      <c r="C233" s="181">
        <v>0.41714400000000001</v>
      </c>
      <c r="D233" s="181">
        <v>6.0550629999999996</v>
      </c>
      <c r="E233" s="181">
        <v>0.29026099999999999</v>
      </c>
      <c r="F233" s="181">
        <v>0</v>
      </c>
      <c r="G233" s="181">
        <v>1.8652930000000001</v>
      </c>
      <c r="H233" s="181">
        <v>16.526743</v>
      </c>
      <c r="I233" s="181">
        <v>1.836789</v>
      </c>
      <c r="J233" s="181">
        <v>0</v>
      </c>
      <c r="K233" s="181">
        <v>0.386071</v>
      </c>
      <c r="L233" s="181">
        <v>3.3423509999999998</v>
      </c>
      <c r="M233" s="181">
        <v>8.5930000000000006E-2</v>
      </c>
      <c r="N233" s="181">
        <v>0.224268</v>
      </c>
      <c r="O233" s="184">
        <v>36.180383999999997</v>
      </c>
      <c r="P233" s="181">
        <v>-2.5739999999999999E-3</v>
      </c>
      <c r="Q233" s="181">
        <v>-0.20403399999999999</v>
      </c>
      <c r="R233" s="181">
        <v>-1.155918</v>
      </c>
      <c r="S233" s="184">
        <v>34.817858000000001</v>
      </c>
      <c r="V233" s="206">
        <f t="shared" si="35"/>
        <v>45.678738512006952</v>
      </c>
    </row>
    <row r="234" spans="1:22" ht="14.25">
      <c r="A234" s="207">
        <v>15</v>
      </c>
      <c r="B234" s="181">
        <v>4.7159120000000003</v>
      </c>
      <c r="C234" s="181">
        <v>0.200655</v>
      </c>
      <c r="D234" s="181">
        <v>6.0533000000000001</v>
      </c>
      <c r="E234" s="181">
        <v>0.27928199999999997</v>
      </c>
      <c r="F234" s="181">
        <v>0</v>
      </c>
      <c r="G234" s="181">
        <v>1.6629879999999999</v>
      </c>
      <c r="H234" s="181">
        <v>17.030169999999998</v>
      </c>
      <c r="I234" s="181">
        <v>1.6705950000000001</v>
      </c>
      <c r="J234" s="181">
        <v>5.7159999999999997E-3</v>
      </c>
      <c r="K234" s="181">
        <v>0.370338</v>
      </c>
      <c r="L234" s="181">
        <v>3.3519839999999999</v>
      </c>
      <c r="M234" s="181">
        <v>8.5778499999999994E-2</v>
      </c>
      <c r="N234" s="181">
        <v>0.22730149999999999</v>
      </c>
      <c r="O234" s="184">
        <v>35.654020000000003</v>
      </c>
      <c r="P234" s="181">
        <v>-2.1579999999999998E-2</v>
      </c>
      <c r="Q234" s="181">
        <v>-0.203904</v>
      </c>
      <c r="R234" s="181">
        <v>-1.80087</v>
      </c>
      <c r="S234" s="184">
        <v>33.627665999999998</v>
      </c>
      <c r="V234" s="206">
        <f t="shared" si="35"/>
        <v>47.765076701028377</v>
      </c>
    </row>
    <row r="235" spans="1:22" ht="14.25">
      <c r="A235" s="207">
        <v>16</v>
      </c>
      <c r="B235" s="181">
        <v>4.9126750000000001</v>
      </c>
      <c r="C235" s="181">
        <v>0.25487700000000002</v>
      </c>
      <c r="D235" s="181">
        <v>6.0536440000000002</v>
      </c>
      <c r="E235" s="181">
        <v>0.29348200000000002</v>
      </c>
      <c r="F235" s="181">
        <v>0</v>
      </c>
      <c r="G235" s="181">
        <v>1.54803</v>
      </c>
      <c r="H235" s="181">
        <v>17.039985999999999</v>
      </c>
      <c r="I235" s="181">
        <v>1.2940689999999999</v>
      </c>
      <c r="J235" s="181">
        <v>1.9849999999999998E-3</v>
      </c>
      <c r="K235" s="181">
        <v>0.37737399999999999</v>
      </c>
      <c r="L235" s="181">
        <v>3.344446</v>
      </c>
      <c r="M235" s="181">
        <v>8.7053000000000005E-2</v>
      </c>
      <c r="N235" s="181">
        <v>0.22770199999999999</v>
      </c>
      <c r="O235" s="184">
        <v>35.435322999999997</v>
      </c>
      <c r="P235" s="181">
        <v>-0.17790900000000001</v>
      </c>
      <c r="Q235" s="181">
        <v>-0.20399</v>
      </c>
      <c r="R235" s="181">
        <v>-2.0831689999999998</v>
      </c>
      <c r="S235" s="184">
        <v>32.970255000000002</v>
      </c>
      <c r="V235" s="206">
        <f t="shared" si="35"/>
        <v>48.087570698875808</v>
      </c>
    </row>
    <row r="236" spans="1:22" ht="14.25">
      <c r="A236" s="207">
        <v>17</v>
      </c>
      <c r="B236" s="181">
        <v>4.9111000000000002</v>
      </c>
      <c r="C236" s="181">
        <v>0.29269200000000001</v>
      </c>
      <c r="D236" s="181">
        <v>6.0509269999999997</v>
      </c>
      <c r="E236" s="181">
        <v>0.29311100000000001</v>
      </c>
      <c r="F236" s="181">
        <v>0</v>
      </c>
      <c r="G236" s="181">
        <v>1.453864</v>
      </c>
      <c r="H236" s="181">
        <v>17.040565999999998</v>
      </c>
      <c r="I236" s="181">
        <v>0.65398900000000004</v>
      </c>
      <c r="J236" s="181">
        <v>7.724E-3</v>
      </c>
      <c r="K236" s="181">
        <v>0.372251</v>
      </c>
      <c r="L236" s="181">
        <v>3.3569559999999998</v>
      </c>
      <c r="M236" s="181">
        <v>8.7451000000000001E-2</v>
      </c>
      <c r="N236" s="181">
        <v>0.23263700000000001</v>
      </c>
      <c r="O236" s="184">
        <v>34.753267999999998</v>
      </c>
      <c r="P236" s="181">
        <v>-1.97E-3</v>
      </c>
      <c r="Q236" s="181">
        <v>-0.20481199999999999</v>
      </c>
      <c r="R236" s="181">
        <v>-1.7198979999999999</v>
      </c>
      <c r="S236" s="184">
        <v>32.826588000000001</v>
      </c>
      <c r="V236" s="206">
        <f t="shared" si="35"/>
        <v>49.032988782522551</v>
      </c>
    </row>
    <row r="237" spans="1:22" ht="14.25">
      <c r="A237" s="207">
        <v>18</v>
      </c>
      <c r="B237" s="181">
        <v>5.4087779999999999</v>
      </c>
      <c r="C237" s="181">
        <v>0.276727</v>
      </c>
      <c r="D237" s="181">
        <v>6.0517029999999998</v>
      </c>
      <c r="E237" s="181">
        <v>0.29069699999999998</v>
      </c>
      <c r="F237" s="181">
        <v>0</v>
      </c>
      <c r="G237" s="181">
        <v>1.521506</v>
      </c>
      <c r="H237" s="181">
        <v>16.950958</v>
      </c>
      <c r="I237" s="181">
        <v>0.111522</v>
      </c>
      <c r="J237" s="181">
        <v>8.7790000000000003E-3</v>
      </c>
      <c r="K237" s="181">
        <v>0.37345</v>
      </c>
      <c r="L237" s="181">
        <v>3.4170370000000001</v>
      </c>
      <c r="M237" s="181">
        <v>8.8252999999999998E-2</v>
      </c>
      <c r="N237" s="181">
        <v>0.23025499999999999</v>
      </c>
      <c r="O237" s="184">
        <v>34.729664999999997</v>
      </c>
      <c r="P237" s="181">
        <v>-2.1289999999999998E-3</v>
      </c>
      <c r="Q237" s="181">
        <v>-0.23496400000000001</v>
      </c>
      <c r="R237" s="181">
        <v>-1.173724</v>
      </c>
      <c r="S237" s="184">
        <v>33.318848000000003</v>
      </c>
      <c r="V237" s="206">
        <f t="shared" si="35"/>
        <v>48.808296883946333</v>
      </c>
    </row>
    <row r="238" spans="1:22" ht="14.25">
      <c r="A238" s="207">
        <v>19</v>
      </c>
      <c r="B238" s="181">
        <v>5.5624180000000001</v>
      </c>
      <c r="C238" s="181">
        <v>0.26316299999999998</v>
      </c>
      <c r="D238" s="181">
        <v>6.0528789999999999</v>
      </c>
      <c r="E238" s="181">
        <v>0.29329100000000002</v>
      </c>
      <c r="F238" s="181">
        <v>0</v>
      </c>
      <c r="G238" s="181">
        <v>1.6879090000000001</v>
      </c>
      <c r="H238" s="181">
        <v>16.893809000000001</v>
      </c>
      <c r="I238" s="181">
        <v>4.8700000000000002E-4</v>
      </c>
      <c r="J238" s="181">
        <v>0</v>
      </c>
      <c r="K238" s="181">
        <v>0.374253</v>
      </c>
      <c r="L238" s="181">
        <v>3.456747</v>
      </c>
      <c r="M238" s="181">
        <v>8.7337999999999999E-2</v>
      </c>
      <c r="N238" s="181">
        <v>0.23602899999999999</v>
      </c>
      <c r="O238" s="184">
        <v>34.908323000000003</v>
      </c>
      <c r="P238" s="181">
        <v>-1.9789999999999999E-3</v>
      </c>
      <c r="Q238" s="181">
        <v>-0.236175</v>
      </c>
      <c r="R238" s="181">
        <v>-7.5979999999999997E-3</v>
      </c>
      <c r="S238" s="184">
        <v>34.662571</v>
      </c>
      <c r="V238" s="206">
        <f t="shared" si="35"/>
        <v>48.394788257230232</v>
      </c>
    </row>
    <row r="239" spans="1:22" ht="14.25">
      <c r="A239" s="207">
        <v>20</v>
      </c>
      <c r="B239" s="181">
        <v>5.6740029999999999</v>
      </c>
      <c r="C239" s="181">
        <v>0.251</v>
      </c>
      <c r="D239" s="181">
        <v>6.0521479999999999</v>
      </c>
      <c r="E239" s="181">
        <v>0.29327399999999998</v>
      </c>
      <c r="F239" s="181">
        <v>0</v>
      </c>
      <c r="G239" s="181">
        <v>1.926188</v>
      </c>
      <c r="H239" s="181">
        <v>16.805154000000002</v>
      </c>
      <c r="I239" s="181">
        <v>1.13E-4</v>
      </c>
      <c r="J239" s="181">
        <v>0</v>
      </c>
      <c r="K239" s="181">
        <v>0.378583</v>
      </c>
      <c r="L239" s="181">
        <v>3.4638010000000001</v>
      </c>
      <c r="M239" s="181">
        <v>8.6952000000000002E-2</v>
      </c>
      <c r="N239" s="181">
        <v>0.23665700000000001</v>
      </c>
      <c r="O239" s="184">
        <v>35.167873</v>
      </c>
      <c r="P239" s="181">
        <v>-2.016E-3</v>
      </c>
      <c r="Q239" s="181">
        <v>-0.26632800000000001</v>
      </c>
      <c r="R239" s="181">
        <v>-1.096E-3</v>
      </c>
      <c r="S239" s="184">
        <v>34.898432999999997</v>
      </c>
      <c r="V239" s="206">
        <f t="shared" si="35"/>
        <v>47.785528570351701</v>
      </c>
    </row>
    <row r="240" spans="1:22" ht="14.25">
      <c r="A240" s="207">
        <v>21</v>
      </c>
      <c r="B240" s="181">
        <v>5.7794990000000004</v>
      </c>
      <c r="C240" s="181">
        <v>0.119974</v>
      </c>
      <c r="D240" s="181">
        <v>6.0530049999999997</v>
      </c>
      <c r="E240" s="181">
        <v>0.29387200000000002</v>
      </c>
      <c r="F240" s="181">
        <v>0</v>
      </c>
      <c r="G240" s="181">
        <v>1.83108</v>
      </c>
      <c r="H240" s="181">
        <v>16.618784000000002</v>
      </c>
      <c r="I240" s="181">
        <v>1.17E-4</v>
      </c>
      <c r="J240" s="181">
        <v>0</v>
      </c>
      <c r="K240" s="181">
        <v>0.40070099999999997</v>
      </c>
      <c r="L240" s="181">
        <v>3.4539970000000002</v>
      </c>
      <c r="M240" s="181">
        <v>8.50355E-2</v>
      </c>
      <c r="N240" s="181">
        <v>0.23636750000000001</v>
      </c>
      <c r="O240" s="184">
        <v>34.872432000000003</v>
      </c>
      <c r="P240" s="181">
        <v>-0.25295699999999999</v>
      </c>
      <c r="Q240" s="181">
        <v>-0.26563700000000001</v>
      </c>
      <c r="R240" s="181">
        <v>0.39816000000000001</v>
      </c>
      <c r="S240" s="184">
        <v>34.751998</v>
      </c>
      <c r="V240" s="206">
        <f t="shared" si="35"/>
        <v>47.655936356833386</v>
      </c>
    </row>
    <row r="241" spans="1:22" ht="14.25">
      <c r="A241" s="207">
        <v>22</v>
      </c>
      <c r="B241" s="181">
        <v>5.9933709999999998</v>
      </c>
      <c r="C241" s="181">
        <v>0.143679</v>
      </c>
      <c r="D241" s="181">
        <v>6.0530030000000004</v>
      </c>
      <c r="E241" s="181">
        <v>0.27633000000000002</v>
      </c>
      <c r="F241" s="181">
        <v>0</v>
      </c>
      <c r="G241" s="181">
        <v>1.693174</v>
      </c>
      <c r="H241" s="181">
        <v>16.312692999999999</v>
      </c>
      <c r="I241" s="181">
        <v>1.15E-4</v>
      </c>
      <c r="J241" s="181">
        <v>0</v>
      </c>
      <c r="K241" s="181">
        <v>0.39928599999999997</v>
      </c>
      <c r="L241" s="181">
        <v>3.4556469999999999</v>
      </c>
      <c r="M241" s="181">
        <v>8.3757999999999999E-2</v>
      </c>
      <c r="N241" s="181">
        <v>0.234545</v>
      </c>
      <c r="O241" s="184">
        <v>34.645600999999999</v>
      </c>
      <c r="P241" s="181">
        <v>-0.37430200000000002</v>
      </c>
      <c r="Q241" s="181">
        <v>-0.23457600000000001</v>
      </c>
      <c r="R241" s="181">
        <v>-9.2121999999999996E-2</v>
      </c>
      <c r="S241" s="184">
        <v>33.944600999999999</v>
      </c>
      <c r="V241" s="206">
        <f t="shared" si="35"/>
        <v>47.084456696248395</v>
      </c>
    </row>
    <row r="242" spans="1:22" ht="14.25">
      <c r="A242" s="207">
        <v>23</v>
      </c>
      <c r="B242" s="181">
        <v>5.6320040000000002</v>
      </c>
      <c r="C242" s="181">
        <v>6.3056000000000001E-2</v>
      </c>
      <c r="D242" s="181">
        <v>6.0570000000000004</v>
      </c>
      <c r="E242" s="181">
        <v>0.18630099999999999</v>
      </c>
      <c r="F242" s="181">
        <v>0</v>
      </c>
      <c r="G242" s="181">
        <v>1.2793939999999999</v>
      </c>
      <c r="H242" s="181">
        <v>16.195934999999999</v>
      </c>
      <c r="I242" s="181">
        <v>1.1E-4</v>
      </c>
      <c r="J242" s="181">
        <v>0</v>
      </c>
      <c r="K242" s="181">
        <v>0.39643499999999998</v>
      </c>
      <c r="L242" s="181">
        <v>3.434701</v>
      </c>
      <c r="M242" s="181">
        <v>8.4960499999999994E-2</v>
      </c>
      <c r="N242" s="181">
        <v>0.22829050000000001</v>
      </c>
      <c r="O242" s="184">
        <v>33.558186999999997</v>
      </c>
      <c r="P242" s="181">
        <v>-0.56424399999999997</v>
      </c>
      <c r="Q242" s="181">
        <v>-0.20308300000000001</v>
      </c>
      <c r="R242" s="181">
        <v>-1.1599619999999999</v>
      </c>
      <c r="S242" s="184">
        <v>31.630897999999998</v>
      </c>
      <c r="V242" s="206">
        <f t="shared" si="35"/>
        <v>48.262246705997555</v>
      </c>
    </row>
    <row r="243" spans="1:22" ht="14.25">
      <c r="A243" s="207">
        <v>24</v>
      </c>
      <c r="B243" s="181">
        <v>5.0209773000000002</v>
      </c>
      <c r="C243" s="181">
        <v>0.31337420999999999</v>
      </c>
      <c r="D243" s="181">
        <v>6.0551130000000004</v>
      </c>
      <c r="E243" s="181">
        <v>5.4456999999999998E-2</v>
      </c>
      <c r="F243" s="181">
        <v>0</v>
      </c>
      <c r="G243" s="181">
        <v>1.4597610000000001</v>
      </c>
      <c r="H243" s="181">
        <v>15.964724</v>
      </c>
      <c r="I243" s="181">
        <v>9.2E-5</v>
      </c>
      <c r="J243" s="181">
        <v>0</v>
      </c>
      <c r="K243" s="181">
        <v>0.39077499999999998</v>
      </c>
      <c r="L243" s="181">
        <v>3.3374039999999998</v>
      </c>
      <c r="M243" s="181">
        <v>8.4946999999999995E-2</v>
      </c>
      <c r="N243" s="181">
        <v>0.22143599999999999</v>
      </c>
      <c r="O243" s="184">
        <v>32.903060510000003</v>
      </c>
      <c r="P243" s="181">
        <v>-1.49417</v>
      </c>
      <c r="Q243" s="181">
        <v>-0.15379100000000001</v>
      </c>
      <c r="R243" s="181">
        <v>-2.1551439999999999</v>
      </c>
      <c r="S243" s="184">
        <v>29.099955510000001</v>
      </c>
      <c r="V243" s="206">
        <f t="shared" si="35"/>
        <v>48.520483360956504</v>
      </c>
    </row>
    <row r="244" spans="1:22" ht="14.25">
      <c r="V244" s="206" t="str">
        <f t="shared" si="35"/>
        <v/>
      </c>
    </row>
    <row r="245" spans="1:22" ht="14.25">
      <c r="V245" s="206" t="str">
        <f t="shared" si="35"/>
        <v/>
      </c>
    </row>
    <row r="246" spans="1:22" ht="14.25">
      <c r="V246" s="206" t="str">
        <f t="shared" si="35"/>
        <v/>
      </c>
    </row>
    <row r="248" spans="1:22">
      <c r="A248" s="278"/>
      <c r="B248" s="278" t="s">
        <v>30</v>
      </c>
      <c r="C248" s="279" t="s">
        <v>573</v>
      </c>
      <c r="D248" s="279" t="s">
        <v>574</v>
      </c>
      <c r="E248" s="279" t="s">
        <v>575</v>
      </c>
      <c r="F248" s="279" t="s">
        <v>576</v>
      </c>
      <c r="G248" s="279" t="s">
        <v>578</v>
      </c>
      <c r="H248" s="279" t="s">
        <v>579</v>
      </c>
      <c r="I248" s="279" t="s">
        <v>602</v>
      </c>
      <c r="J248" s="279" t="s">
        <v>609</v>
      </c>
      <c r="K248" s="279" t="s">
        <v>611</v>
      </c>
      <c r="L248" s="279" t="s">
        <v>613</v>
      </c>
      <c r="M248" s="279" t="s">
        <v>615</v>
      </c>
      <c r="N248" s="279" t="s">
        <v>616</v>
      </c>
      <c r="O248" s="279" t="s">
        <v>618</v>
      </c>
    </row>
    <row r="249" spans="1:22">
      <c r="A249" s="278"/>
      <c r="B249" s="278" t="s">
        <v>109</v>
      </c>
      <c r="C249" s="279" t="s">
        <v>599</v>
      </c>
      <c r="D249" s="279" t="s">
        <v>599</v>
      </c>
      <c r="E249" s="279" t="s">
        <v>599</v>
      </c>
      <c r="F249" s="279" t="s">
        <v>599</v>
      </c>
      <c r="G249" s="279" t="s">
        <v>599</v>
      </c>
      <c r="H249" s="279" t="s">
        <v>599</v>
      </c>
      <c r="I249" s="279" t="s">
        <v>599</v>
      </c>
      <c r="J249" s="279" t="s">
        <v>599</v>
      </c>
      <c r="K249" s="279" t="s">
        <v>599</v>
      </c>
      <c r="L249" s="279" t="s">
        <v>599</v>
      </c>
      <c r="M249" s="279" t="s">
        <v>599</v>
      </c>
      <c r="N249" s="279" t="s">
        <v>599</v>
      </c>
      <c r="O249" s="279" t="s">
        <v>599</v>
      </c>
    </row>
    <row r="250" spans="1:22">
      <c r="A250" s="278" t="s">
        <v>600</v>
      </c>
      <c r="B250" s="278" t="s">
        <v>601</v>
      </c>
      <c r="C250" s="280"/>
      <c r="D250" s="280"/>
      <c r="E250" s="280"/>
      <c r="F250" s="280"/>
      <c r="G250" s="280"/>
      <c r="H250" s="280"/>
      <c r="I250" s="280"/>
      <c r="J250" s="280"/>
      <c r="K250" s="280"/>
      <c r="L250" s="280"/>
      <c r="M250" s="280"/>
      <c r="N250" s="280"/>
      <c r="O250" s="280"/>
    </row>
    <row r="251" spans="1:22">
      <c r="A251" s="327" t="s">
        <v>4</v>
      </c>
      <c r="B251" s="281" t="s">
        <v>590</v>
      </c>
      <c r="C251" s="286">
        <v>1917420.2803199999</v>
      </c>
      <c r="D251" s="286">
        <v>1909384.4687999999</v>
      </c>
      <c r="E251" s="286">
        <v>1619098.7980800001</v>
      </c>
      <c r="F251" s="286">
        <v>485666.06208</v>
      </c>
      <c r="G251" s="286">
        <v>451946.12448</v>
      </c>
      <c r="H251" s="286">
        <v>56286.794880000001</v>
      </c>
      <c r="I251" s="286">
        <v>148217.568</v>
      </c>
      <c r="J251" s="286">
        <v>388947.94751999999</v>
      </c>
      <c r="K251" s="286">
        <v>58820.014080000001</v>
      </c>
      <c r="L251" s="286">
        <v>206569.31424000001</v>
      </c>
      <c r="M251" s="286">
        <v>381354.56543999998</v>
      </c>
      <c r="N251" s="286">
        <v>258482.12736000001</v>
      </c>
      <c r="O251" s="286">
        <v>123424.8048</v>
      </c>
    </row>
    <row r="252" spans="1:22">
      <c r="A252" s="324"/>
      <c r="B252" s="281" t="s">
        <v>591</v>
      </c>
      <c r="C252" s="286">
        <v>813981.68640000001</v>
      </c>
      <c r="D252" s="286">
        <v>1042627.6521600001</v>
      </c>
      <c r="E252" s="286">
        <v>537806.37216000003</v>
      </c>
      <c r="F252" s="286">
        <v>305989.14432000002</v>
      </c>
      <c r="G252" s="286">
        <v>242064.01344000001</v>
      </c>
      <c r="H252" s="286">
        <v>285585.61343999999</v>
      </c>
      <c r="I252" s="286">
        <v>252712.90752000001</v>
      </c>
      <c r="J252" s="286">
        <v>246479.69664000001</v>
      </c>
      <c r="K252" s="286">
        <v>282083.2464</v>
      </c>
      <c r="L252" s="286">
        <v>221304.99840000001</v>
      </c>
      <c r="M252" s="286">
        <v>267245.49696000002</v>
      </c>
      <c r="N252" s="286">
        <v>268534.22879999998</v>
      </c>
      <c r="O252" s="286">
        <v>245442.38303999999</v>
      </c>
    </row>
    <row r="253" spans="1:22">
      <c r="A253" s="281" t="s">
        <v>98</v>
      </c>
      <c r="B253" s="281" t="s">
        <v>612</v>
      </c>
      <c r="C253" s="286"/>
      <c r="D253" s="286"/>
      <c r="E253" s="286"/>
      <c r="F253" s="286"/>
      <c r="G253" s="286">
        <v>7.6999999999999996E-4</v>
      </c>
      <c r="H253" s="286"/>
      <c r="I253" s="286"/>
      <c r="J253" s="286">
        <v>7.6999999999999996E-4</v>
      </c>
      <c r="K253" s="286"/>
      <c r="L253" s="286">
        <v>7.6999999999999996E-4</v>
      </c>
      <c r="M253" s="286"/>
      <c r="N253" s="286"/>
      <c r="O253" s="286"/>
    </row>
    <row r="254" spans="1:22">
      <c r="A254" s="281" t="s">
        <v>11</v>
      </c>
      <c r="B254" s="281" t="s">
        <v>592</v>
      </c>
      <c r="C254" s="286">
        <v>1071775.6396600001</v>
      </c>
      <c r="D254" s="286">
        <v>1183534.18147</v>
      </c>
      <c r="E254" s="286">
        <v>907689.22958000004</v>
      </c>
      <c r="F254" s="286">
        <v>787732.14636999997</v>
      </c>
      <c r="G254" s="286">
        <v>1004272.69314</v>
      </c>
      <c r="H254" s="286">
        <v>1442814.1512200001</v>
      </c>
      <c r="I254" s="286">
        <v>1889758.4569300001</v>
      </c>
      <c r="J254" s="286">
        <v>2573952.2489999998</v>
      </c>
      <c r="K254" s="286">
        <v>2596132.6138399998</v>
      </c>
      <c r="L254" s="286">
        <v>2008088.10143</v>
      </c>
      <c r="M254" s="286">
        <v>2080519.65848</v>
      </c>
      <c r="N254" s="286">
        <v>1427850.9068499999</v>
      </c>
      <c r="O254" s="286">
        <v>1019587.48006</v>
      </c>
    </row>
    <row r="255" spans="1:22">
      <c r="A255" s="322" t="s">
        <v>9</v>
      </c>
      <c r="B255" s="281" t="s">
        <v>593</v>
      </c>
      <c r="C255" s="286">
        <v>96827.102639999997</v>
      </c>
      <c r="D255" s="286">
        <v>101166.55662</v>
      </c>
      <c r="E255" s="286">
        <v>88192.471839999998</v>
      </c>
      <c r="F255" s="286">
        <v>96008.609360000002</v>
      </c>
      <c r="G255" s="286">
        <v>87140.999179999999</v>
      </c>
      <c r="H255" s="286">
        <v>94121.108009999996</v>
      </c>
      <c r="I255" s="286">
        <v>91903.878570000001</v>
      </c>
      <c r="J255" s="286">
        <v>92286.736439999993</v>
      </c>
      <c r="K255" s="286">
        <v>87788.82922</v>
      </c>
      <c r="L255" s="286">
        <v>86400.444180000006</v>
      </c>
      <c r="M255" s="286">
        <v>96126.421430000002</v>
      </c>
      <c r="N255" s="286">
        <v>85436.503899999996</v>
      </c>
      <c r="O255" s="286">
        <v>70509.7641</v>
      </c>
    </row>
    <row r="256" spans="1:22">
      <c r="A256" s="323"/>
      <c r="B256" s="281" t="s">
        <v>594</v>
      </c>
      <c r="C256" s="286">
        <v>838697.15737999999</v>
      </c>
      <c r="D256" s="286">
        <v>886402.94717000006</v>
      </c>
      <c r="E256" s="286">
        <v>796008.58756999997</v>
      </c>
      <c r="F256" s="286">
        <v>862150.63523999997</v>
      </c>
      <c r="G256" s="286">
        <v>833369.06562000001</v>
      </c>
      <c r="H256" s="286">
        <v>847098.06399000005</v>
      </c>
      <c r="I256" s="286">
        <v>802908.74716999999</v>
      </c>
      <c r="J256" s="286">
        <v>816305.52624000004</v>
      </c>
      <c r="K256" s="286">
        <v>782743.29946999997</v>
      </c>
      <c r="L256" s="286">
        <v>783524.73577000003</v>
      </c>
      <c r="M256" s="286">
        <v>821970.21958000003</v>
      </c>
      <c r="N256" s="286">
        <v>826026.50294000003</v>
      </c>
      <c r="O256" s="286">
        <v>792704.84794999997</v>
      </c>
    </row>
    <row r="257" spans="1:15">
      <c r="A257" s="324"/>
      <c r="B257" s="281" t="s">
        <v>595</v>
      </c>
      <c r="C257" s="286">
        <v>554.02912000000003</v>
      </c>
      <c r="D257" s="286">
        <v>870.30956000000003</v>
      </c>
      <c r="E257" s="286">
        <v>604.42460000000005</v>
      </c>
      <c r="F257" s="286">
        <v>623.68161999999995</v>
      </c>
      <c r="G257" s="286">
        <v>632.00588000000005</v>
      </c>
      <c r="H257" s="286">
        <v>376.72142000000002</v>
      </c>
      <c r="I257" s="286">
        <v>519.81559000000004</v>
      </c>
      <c r="J257" s="286">
        <v>702.55489</v>
      </c>
      <c r="K257" s="286">
        <v>545.94536000000005</v>
      </c>
      <c r="L257" s="286">
        <v>632.43471</v>
      </c>
      <c r="M257" s="286">
        <v>750.82767999999999</v>
      </c>
      <c r="N257" s="286">
        <v>661.03719000000001</v>
      </c>
      <c r="O257" s="286">
        <v>603.63354000000004</v>
      </c>
    </row>
    <row r="258" spans="1:15">
      <c r="A258" s="322" t="s">
        <v>71</v>
      </c>
      <c r="B258" s="281" t="s">
        <v>596</v>
      </c>
      <c r="C258" s="286">
        <v>7917.6338400000004</v>
      </c>
      <c r="D258" s="286">
        <v>7953.0204000000003</v>
      </c>
      <c r="E258" s="286">
        <v>6168.3804</v>
      </c>
      <c r="F258" s="286">
        <v>8019.8299200000001</v>
      </c>
      <c r="G258" s="286">
        <v>4337.0940000000001</v>
      </c>
      <c r="H258" s="286">
        <v>7869.9403199999997</v>
      </c>
      <c r="I258" s="286">
        <v>1500.3434400000001</v>
      </c>
      <c r="J258" s="286">
        <v>0.34392</v>
      </c>
      <c r="K258" s="286">
        <v>5270.1722399999999</v>
      </c>
      <c r="L258" s="286">
        <v>7720.9783200000002</v>
      </c>
      <c r="M258" s="286">
        <v>8039.5617599999996</v>
      </c>
      <c r="N258" s="286">
        <v>2983.2844799999998</v>
      </c>
      <c r="O258" s="286">
        <v>6166.9329600000001</v>
      </c>
    </row>
    <row r="259" spans="1:15">
      <c r="A259" s="323"/>
      <c r="B259" s="281" t="s">
        <v>597</v>
      </c>
      <c r="C259" s="286">
        <v>16779.08352</v>
      </c>
      <c r="D259" s="286">
        <v>15240.875040000001</v>
      </c>
      <c r="E259" s="286">
        <v>14854.025519999999</v>
      </c>
      <c r="F259" s="286">
        <v>16166.545319999999</v>
      </c>
      <c r="G259" s="286">
        <v>15402.968639999999</v>
      </c>
      <c r="H259" s="286">
        <v>8748.1466400000008</v>
      </c>
      <c r="I259" s="286">
        <v>15029.088599999999</v>
      </c>
      <c r="J259" s="286">
        <v>15746.034600000001</v>
      </c>
      <c r="K259" s="286">
        <v>15876.14352</v>
      </c>
      <c r="L259" s="286">
        <v>15293.751</v>
      </c>
      <c r="M259" s="286">
        <v>14874.28152</v>
      </c>
      <c r="N259" s="286">
        <v>14435.970359999999</v>
      </c>
      <c r="O259" s="286">
        <v>15681.006960000001</v>
      </c>
    </row>
    <row r="260" spans="1:15">
      <c r="A260" s="324"/>
      <c r="B260" s="281" t="s">
        <v>598</v>
      </c>
      <c r="C260" s="286">
        <v>21085.878239999998</v>
      </c>
      <c r="D260" s="286">
        <v>23988.917519999999</v>
      </c>
      <c r="E260" s="286">
        <v>22357.412639999999</v>
      </c>
      <c r="F260" s="286">
        <v>24000.707279999999</v>
      </c>
      <c r="G260" s="286">
        <v>22342.164720000001</v>
      </c>
      <c r="H260" s="286">
        <v>20505.638640000001</v>
      </c>
      <c r="I260" s="286">
        <v>21125.249039999999</v>
      </c>
      <c r="J260" s="286">
        <v>22967.451840000002</v>
      </c>
      <c r="K260" s="286">
        <v>22608.357120000001</v>
      </c>
      <c r="L260" s="286">
        <v>22109.333279999999</v>
      </c>
      <c r="M260" s="286">
        <v>17736.444479999998</v>
      </c>
      <c r="N260" s="286">
        <v>17280.756959999999</v>
      </c>
      <c r="O260" s="286">
        <v>16790.25288</v>
      </c>
    </row>
    <row r="261" spans="1:15">
      <c r="A261" s="282" t="s">
        <v>15</v>
      </c>
      <c r="B261" s="283"/>
      <c r="C261" s="287">
        <v>4785038.4911200004</v>
      </c>
      <c r="D261" s="287">
        <v>5171168.9287400004</v>
      </c>
      <c r="E261" s="287">
        <v>3992779.7023900002</v>
      </c>
      <c r="F261" s="287">
        <v>2586357.3615100002</v>
      </c>
      <c r="G261" s="287">
        <v>2661507.1298699998</v>
      </c>
      <c r="H261" s="287">
        <v>2763406.1785599999</v>
      </c>
      <c r="I261" s="287">
        <v>3223676.05486</v>
      </c>
      <c r="J261" s="287">
        <v>4157388.5418600002</v>
      </c>
      <c r="K261" s="287">
        <v>3851868.6212499999</v>
      </c>
      <c r="L261" s="287">
        <v>3351644.0921</v>
      </c>
      <c r="M261" s="287">
        <v>3688617.4773300001</v>
      </c>
      <c r="N261" s="287">
        <v>2901691.3188399998</v>
      </c>
      <c r="O261" s="287">
        <v>2290911.10629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77:S177"/>
    <mergeCell ref="A255:A257"/>
    <mergeCell ref="A258:A260"/>
    <mergeCell ref="B215:S215"/>
    <mergeCell ref="B115:Z115"/>
    <mergeCell ref="B116:Z116"/>
    <mergeCell ref="B175:S175"/>
    <mergeCell ref="B176:S176"/>
    <mergeCell ref="B216:S216"/>
    <mergeCell ref="B217:S217"/>
    <mergeCell ref="A251:A252"/>
  </mergeCells>
  <conditionalFormatting sqref="V220:V246">
    <cfRule type="cellIs" dxfId="1" priority="2" operator="equal">
      <formula>$V$176</formula>
    </cfRule>
  </conditionalFormatting>
  <conditionalFormatting sqref="V180:V211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73" workbookViewId="0">
      <selection activeCell="G291" sqref="G291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9" customWidth="1"/>
    <col min="7" max="7" width="7.7109375" style="210" customWidth="1"/>
  </cols>
  <sheetData>
    <row r="1" spans="1:6">
      <c r="C1" s="213" t="s">
        <v>32</v>
      </c>
      <c r="D1" s="213" t="s">
        <v>33</v>
      </c>
      <c r="E1" s="213" t="s">
        <v>34</v>
      </c>
    </row>
    <row r="2" spans="1:6">
      <c r="C2" s="328" t="s">
        <v>138</v>
      </c>
      <c r="D2" s="329"/>
      <c r="E2" s="329"/>
    </row>
    <row r="3" spans="1:6">
      <c r="A3">
        <v>0</v>
      </c>
      <c r="B3" s="46">
        <v>43435</v>
      </c>
      <c r="C3" s="285">
        <v>90.406102360286781</v>
      </c>
      <c r="D3" s="285">
        <v>101.95753277636452</v>
      </c>
      <c r="E3" s="181">
        <f>IF(C3&lt;D3,C3,D3)</f>
        <v>90.406102360286781</v>
      </c>
      <c r="F3" s="20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43436</v>
      </c>
      <c r="C4" s="285">
        <v>84.877445290285849</v>
      </c>
      <c r="D4" s="285">
        <v>101.95753277636452</v>
      </c>
      <c r="E4" s="181">
        <f t="shared" ref="E4:E67" si="0">IF(C4&lt;D4,C4,D4)</f>
        <v>84.877445290285849</v>
      </c>
      <c r="F4" s="20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43437</v>
      </c>
      <c r="C5" s="285">
        <v>108.38442733628585</v>
      </c>
      <c r="D5" s="285">
        <v>101.95753277636452</v>
      </c>
      <c r="E5" s="181">
        <f t="shared" si="0"/>
        <v>101.95753277636452</v>
      </c>
      <c r="F5" s="209" t="str">
        <f t="shared" si="1"/>
        <v/>
      </c>
    </row>
    <row r="6" spans="1:6">
      <c r="A6">
        <v>3</v>
      </c>
      <c r="B6" s="46">
        <v>43438</v>
      </c>
      <c r="C6" s="285">
        <v>126.39369236228585</v>
      </c>
      <c r="D6" s="285">
        <v>101.95753277636452</v>
      </c>
      <c r="E6" s="181">
        <f t="shared" si="0"/>
        <v>101.95753277636452</v>
      </c>
      <c r="F6" s="209" t="str">
        <f t="shared" si="1"/>
        <v/>
      </c>
    </row>
    <row r="7" spans="1:6">
      <c r="A7">
        <v>4</v>
      </c>
      <c r="B7" s="46">
        <v>43439</v>
      </c>
      <c r="C7" s="285">
        <v>87.530024344428583</v>
      </c>
      <c r="D7" s="285">
        <v>101.95753277636452</v>
      </c>
      <c r="E7" s="181">
        <f t="shared" si="0"/>
        <v>87.530024344428583</v>
      </c>
      <c r="F7" s="209" t="str">
        <f t="shared" si="1"/>
        <v/>
      </c>
    </row>
    <row r="8" spans="1:6">
      <c r="A8">
        <v>5</v>
      </c>
      <c r="B8" s="46">
        <v>43440</v>
      </c>
      <c r="C8" s="285">
        <v>77.79707729442859</v>
      </c>
      <c r="D8" s="285">
        <v>101.95753277636452</v>
      </c>
      <c r="E8" s="181">
        <f t="shared" si="0"/>
        <v>77.79707729442859</v>
      </c>
      <c r="F8" s="209" t="str">
        <f t="shared" si="1"/>
        <v/>
      </c>
    </row>
    <row r="9" spans="1:6">
      <c r="A9">
        <v>6</v>
      </c>
      <c r="B9" s="46">
        <v>43441</v>
      </c>
      <c r="C9" s="285">
        <v>62.221405000428589</v>
      </c>
      <c r="D9" s="285">
        <v>101.95753277636452</v>
      </c>
      <c r="E9" s="181">
        <f t="shared" si="0"/>
        <v>62.221405000428589</v>
      </c>
      <c r="F9" s="209" t="str">
        <f t="shared" si="1"/>
        <v/>
      </c>
    </row>
    <row r="10" spans="1:6">
      <c r="A10">
        <v>7</v>
      </c>
      <c r="B10" s="46">
        <v>43442</v>
      </c>
      <c r="C10" s="285">
        <v>55.722765724428598</v>
      </c>
      <c r="D10" s="285">
        <v>101.95753277636452</v>
      </c>
      <c r="E10" s="181">
        <f t="shared" si="0"/>
        <v>55.722765724428598</v>
      </c>
      <c r="F10" s="209" t="str">
        <f t="shared" si="1"/>
        <v/>
      </c>
    </row>
    <row r="11" spans="1:6">
      <c r="A11">
        <v>8</v>
      </c>
      <c r="B11" s="46">
        <v>43443</v>
      </c>
      <c r="C11" s="285">
        <v>55.570950698428589</v>
      </c>
      <c r="D11" s="285">
        <v>101.95753277636452</v>
      </c>
      <c r="E11" s="181">
        <f t="shared" si="0"/>
        <v>55.570950698428589</v>
      </c>
      <c r="F11" s="209" t="str">
        <f t="shared" si="1"/>
        <v/>
      </c>
    </row>
    <row r="12" spans="1:6">
      <c r="A12">
        <v>9</v>
      </c>
      <c r="B12" s="46">
        <v>43444</v>
      </c>
      <c r="C12" s="285">
        <v>67.086032550428584</v>
      </c>
      <c r="D12" s="285">
        <v>101.95753277636452</v>
      </c>
      <c r="E12" s="181">
        <f t="shared" si="0"/>
        <v>67.086032550428584</v>
      </c>
      <c r="F12" s="209" t="str">
        <f t="shared" si="1"/>
        <v/>
      </c>
    </row>
    <row r="13" spans="1:6">
      <c r="A13">
        <v>10</v>
      </c>
      <c r="B13" s="46">
        <v>43445</v>
      </c>
      <c r="C13" s="285">
        <v>96.116496704428585</v>
      </c>
      <c r="D13" s="285">
        <v>101.95753277636452</v>
      </c>
      <c r="E13" s="181">
        <f t="shared" si="0"/>
        <v>96.116496704428585</v>
      </c>
      <c r="F13" s="209" t="str">
        <f t="shared" si="1"/>
        <v/>
      </c>
    </row>
    <row r="14" spans="1:6">
      <c r="A14">
        <v>11</v>
      </c>
      <c r="B14" s="46">
        <v>43446</v>
      </c>
      <c r="C14" s="285">
        <v>108.89356766227644</v>
      </c>
      <c r="D14" s="285">
        <v>101.95753277636452</v>
      </c>
      <c r="E14" s="181">
        <f t="shared" si="0"/>
        <v>101.95753277636452</v>
      </c>
      <c r="F14" s="209" t="str">
        <f t="shared" si="1"/>
        <v/>
      </c>
    </row>
    <row r="15" spans="1:6">
      <c r="A15">
        <v>12</v>
      </c>
      <c r="B15" s="46">
        <v>43447</v>
      </c>
      <c r="C15" s="285">
        <v>84.367956072275518</v>
      </c>
      <c r="D15" s="285">
        <v>101.95753277636452</v>
      </c>
      <c r="E15" s="181">
        <f t="shared" si="0"/>
        <v>84.367956072275518</v>
      </c>
      <c r="F15" s="209" t="str">
        <f t="shared" si="1"/>
        <v/>
      </c>
    </row>
    <row r="16" spans="1:6">
      <c r="A16">
        <v>13</v>
      </c>
      <c r="B16" s="46">
        <v>43448</v>
      </c>
      <c r="C16" s="285">
        <v>86.439192054275509</v>
      </c>
      <c r="D16" s="285">
        <v>101.95753277636452</v>
      </c>
      <c r="E16" s="181">
        <f t="shared" si="0"/>
        <v>86.439192054275509</v>
      </c>
      <c r="F16" s="209" t="str">
        <f t="shared" si="1"/>
        <v/>
      </c>
    </row>
    <row r="17" spans="1:7">
      <c r="A17">
        <v>14</v>
      </c>
      <c r="B17" s="46">
        <v>43449</v>
      </c>
      <c r="C17" s="285">
        <v>74.558017642275516</v>
      </c>
      <c r="D17" s="285">
        <v>101.95753277636452</v>
      </c>
      <c r="E17" s="181">
        <f t="shared" si="0"/>
        <v>74.558017642275516</v>
      </c>
      <c r="F17" s="20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D</v>
      </c>
      <c r="G17" s="210">
        <f>IF(DAY(B17)=15,D17,"")</f>
        <v>101.95753277636452</v>
      </c>
    </row>
    <row r="18" spans="1:7">
      <c r="A18">
        <v>15</v>
      </c>
      <c r="B18" s="46">
        <v>43450</v>
      </c>
      <c r="C18" s="285">
        <v>69.979588598275512</v>
      </c>
      <c r="D18" s="285">
        <v>101.95753277636452</v>
      </c>
      <c r="E18" s="181">
        <f t="shared" si="0"/>
        <v>69.979588598275512</v>
      </c>
      <c r="F18" s="209" t="str">
        <f t="shared" si="1"/>
        <v/>
      </c>
    </row>
    <row r="19" spans="1:7">
      <c r="A19">
        <v>16</v>
      </c>
      <c r="B19" s="46">
        <v>43451</v>
      </c>
      <c r="C19" s="285">
        <v>111.35579548227645</v>
      </c>
      <c r="D19" s="285">
        <v>101.95753277636452</v>
      </c>
      <c r="E19" s="181">
        <f t="shared" si="0"/>
        <v>101.95753277636452</v>
      </c>
      <c r="F19" s="209" t="str">
        <f t="shared" si="1"/>
        <v/>
      </c>
    </row>
    <row r="20" spans="1:7">
      <c r="A20">
        <v>17</v>
      </c>
      <c r="B20" s="46">
        <v>43452</v>
      </c>
      <c r="C20" s="285">
        <v>93.976316482275507</v>
      </c>
      <c r="D20" s="285">
        <v>101.95753277636452</v>
      </c>
      <c r="E20" s="181">
        <f t="shared" si="0"/>
        <v>93.976316482275507</v>
      </c>
      <c r="F20" s="209" t="str">
        <f t="shared" si="1"/>
        <v/>
      </c>
    </row>
    <row r="21" spans="1:7">
      <c r="A21">
        <v>18</v>
      </c>
      <c r="B21" s="46">
        <v>43453</v>
      </c>
      <c r="C21" s="285">
        <v>100.39496794998715</v>
      </c>
      <c r="D21" s="285">
        <v>101.95753277636452</v>
      </c>
      <c r="E21" s="181">
        <f t="shared" si="0"/>
        <v>100.39496794998715</v>
      </c>
      <c r="F21" s="209" t="str">
        <f t="shared" si="1"/>
        <v/>
      </c>
    </row>
    <row r="22" spans="1:7">
      <c r="A22">
        <v>19</v>
      </c>
      <c r="B22" s="46">
        <v>43454</v>
      </c>
      <c r="C22" s="285">
        <v>105.42220162998713</v>
      </c>
      <c r="D22" s="285">
        <v>101.95753277636452</v>
      </c>
      <c r="E22" s="181">
        <f t="shared" si="0"/>
        <v>101.95753277636452</v>
      </c>
      <c r="F22" s="209" t="str">
        <f t="shared" si="1"/>
        <v/>
      </c>
    </row>
    <row r="23" spans="1:7">
      <c r="A23">
        <v>20</v>
      </c>
      <c r="B23" s="46">
        <v>43455</v>
      </c>
      <c r="C23" s="285">
        <v>94.193360369987133</v>
      </c>
      <c r="D23" s="285">
        <v>101.95753277636452</v>
      </c>
      <c r="E23" s="181">
        <f t="shared" si="0"/>
        <v>94.193360369987133</v>
      </c>
      <c r="F23" s="209" t="str">
        <f t="shared" si="1"/>
        <v/>
      </c>
    </row>
    <row r="24" spans="1:7">
      <c r="A24">
        <v>21</v>
      </c>
      <c r="B24" s="46">
        <v>43456</v>
      </c>
      <c r="C24" s="285">
        <v>95.961340389987129</v>
      </c>
      <c r="D24" s="285">
        <v>101.95753277636452</v>
      </c>
      <c r="E24" s="181">
        <f t="shared" si="0"/>
        <v>95.961340389987129</v>
      </c>
      <c r="F24" s="209" t="str">
        <f t="shared" si="1"/>
        <v/>
      </c>
    </row>
    <row r="25" spans="1:7">
      <c r="A25">
        <v>22</v>
      </c>
      <c r="B25" s="46">
        <v>43457</v>
      </c>
      <c r="C25" s="285">
        <v>90.140903709987128</v>
      </c>
      <c r="D25" s="285">
        <v>101.95753277636452</v>
      </c>
      <c r="E25" s="181">
        <f t="shared" si="0"/>
        <v>90.140903709987128</v>
      </c>
      <c r="F25" s="209" t="str">
        <f t="shared" si="1"/>
        <v/>
      </c>
    </row>
    <row r="26" spans="1:7">
      <c r="A26">
        <v>23</v>
      </c>
      <c r="B26" s="46">
        <v>43458</v>
      </c>
      <c r="C26" s="285">
        <v>92.598722409987133</v>
      </c>
      <c r="D26" s="285">
        <v>101.95753277636452</v>
      </c>
      <c r="E26" s="181">
        <f t="shared" si="0"/>
        <v>92.598722409987133</v>
      </c>
      <c r="F26" s="209" t="str">
        <f t="shared" si="1"/>
        <v/>
      </c>
    </row>
    <row r="27" spans="1:7">
      <c r="A27">
        <v>24</v>
      </c>
      <c r="B27" s="46">
        <v>43459</v>
      </c>
      <c r="C27" s="285">
        <v>78.200598777987139</v>
      </c>
      <c r="D27" s="285">
        <v>101.95753277636452</v>
      </c>
      <c r="E27" s="181">
        <f t="shared" si="0"/>
        <v>78.200598777987139</v>
      </c>
      <c r="F27" s="209" t="str">
        <f t="shared" si="1"/>
        <v/>
      </c>
    </row>
    <row r="28" spans="1:7">
      <c r="A28">
        <v>25</v>
      </c>
      <c r="B28" s="46">
        <v>43460</v>
      </c>
      <c r="C28" s="285">
        <v>80.392952800517691</v>
      </c>
      <c r="D28" s="285">
        <v>101.95753277636452</v>
      </c>
      <c r="E28" s="181">
        <f t="shared" si="0"/>
        <v>80.392952800517691</v>
      </c>
      <c r="F28" s="209" t="str">
        <f t="shared" si="1"/>
        <v/>
      </c>
    </row>
    <row r="29" spans="1:7">
      <c r="A29">
        <v>26</v>
      </c>
      <c r="B29" s="46">
        <v>43461</v>
      </c>
      <c r="C29" s="285">
        <v>100.61535695651676</v>
      </c>
      <c r="D29" s="285">
        <v>101.95753277636452</v>
      </c>
      <c r="E29" s="181">
        <f t="shared" si="0"/>
        <v>100.61535695651676</v>
      </c>
      <c r="F29" s="209" t="str">
        <f t="shared" si="1"/>
        <v/>
      </c>
    </row>
    <row r="30" spans="1:7">
      <c r="A30">
        <v>27</v>
      </c>
      <c r="B30" s="46">
        <v>43462</v>
      </c>
      <c r="C30" s="285">
        <v>78.507003536517686</v>
      </c>
      <c r="D30" s="285">
        <v>101.95753277636452</v>
      </c>
      <c r="E30" s="181">
        <f t="shared" si="0"/>
        <v>78.507003536517686</v>
      </c>
      <c r="F30" s="209" t="str">
        <f t="shared" si="1"/>
        <v/>
      </c>
    </row>
    <row r="31" spans="1:7">
      <c r="A31">
        <v>28</v>
      </c>
      <c r="B31" s="46">
        <v>43463</v>
      </c>
      <c r="C31" s="285">
        <v>61.730001186517676</v>
      </c>
      <c r="D31" s="285">
        <v>101.95753277636452</v>
      </c>
      <c r="E31" s="181">
        <f t="shared" si="0"/>
        <v>61.730001186517676</v>
      </c>
      <c r="F31" s="209" t="str">
        <f t="shared" si="1"/>
        <v/>
      </c>
    </row>
    <row r="32" spans="1:7">
      <c r="A32">
        <v>29</v>
      </c>
      <c r="B32" s="46">
        <v>43464</v>
      </c>
      <c r="C32" s="285">
        <v>62.125770364517678</v>
      </c>
      <c r="D32" s="285">
        <v>101.95753277636452</v>
      </c>
      <c r="E32" s="181">
        <f t="shared" si="0"/>
        <v>62.125770364517678</v>
      </c>
      <c r="F32" s="209" t="str">
        <f t="shared" si="1"/>
        <v/>
      </c>
    </row>
    <row r="33" spans="1:7">
      <c r="A33">
        <v>30</v>
      </c>
      <c r="B33" s="46">
        <v>43465</v>
      </c>
      <c r="C33" s="285">
        <v>67.709005472517688</v>
      </c>
      <c r="D33" s="285">
        <v>101.95753277636452</v>
      </c>
      <c r="E33" s="181">
        <f t="shared" si="0"/>
        <v>67.709005472517688</v>
      </c>
      <c r="F33" s="209" t="str">
        <f t="shared" si="1"/>
        <v/>
      </c>
    </row>
    <row r="34" spans="1:7">
      <c r="A34">
        <v>31</v>
      </c>
      <c r="B34" s="46">
        <v>43466</v>
      </c>
      <c r="C34" s="285">
        <v>48.123127146517682</v>
      </c>
      <c r="D34" s="285">
        <v>120.59631724353227</v>
      </c>
      <c r="E34" s="181">
        <f t="shared" si="0"/>
        <v>48.123127146517682</v>
      </c>
      <c r="F34" s="209" t="str">
        <f t="shared" si="1"/>
        <v/>
      </c>
    </row>
    <row r="35" spans="1:7">
      <c r="A35">
        <v>32</v>
      </c>
      <c r="B35" s="46">
        <v>43467</v>
      </c>
      <c r="C35" s="285">
        <v>42.636473521669153</v>
      </c>
      <c r="D35" s="285">
        <v>120.59631724353227</v>
      </c>
      <c r="E35" s="181">
        <f t="shared" si="0"/>
        <v>42.636473521669153</v>
      </c>
      <c r="F35" s="209" t="str">
        <f t="shared" si="1"/>
        <v/>
      </c>
    </row>
    <row r="36" spans="1:7">
      <c r="A36">
        <v>33</v>
      </c>
      <c r="B36" s="46">
        <v>43468</v>
      </c>
      <c r="C36" s="285">
        <v>64.323681971667284</v>
      </c>
      <c r="D36" s="285">
        <v>120.59631724353227</v>
      </c>
      <c r="E36" s="181">
        <f t="shared" si="0"/>
        <v>64.323681971667284</v>
      </c>
      <c r="F36" s="209" t="str">
        <f t="shared" si="1"/>
        <v/>
      </c>
    </row>
    <row r="37" spans="1:7">
      <c r="A37">
        <v>34</v>
      </c>
      <c r="B37" s="46">
        <v>43469</v>
      </c>
      <c r="C37" s="285">
        <v>75.643640243669154</v>
      </c>
      <c r="D37" s="285">
        <v>120.59631724353227</v>
      </c>
      <c r="E37" s="181">
        <f t="shared" si="0"/>
        <v>75.643640243669154</v>
      </c>
      <c r="F37" s="209" t="str">
        <f t="shared" si="1"/>
        <v/>
      </c>
    </row>
    <row r="38" spans="1:7">
      <c r="A38">
        <v>35</v>
      </c>
      <c r="B38" s="46">
        <v>43470</v>
      </c>
      <c r="C38" s="285">
        <v>40.164393683671022</v>
      </c>
      <c r="D38" s="285">
        <v>120.59631724353227</v>
      </c>
      <c r="E38" s="181">
        <f t="shared" si="0"/>
        <v>40.164393683671022</v>
      </c>
      <c r="F38" s="209" t="str">
        <f t="shared" si="1"/>
        <v/>
      </c>
    </row>
    <row r="39" spans="1:7">
      <c r="A39">
        <v>36</v>
      </c>
      <c r="B39" s="46">
        <v>43471</v>
      </c>
      <c r="C39" s="285">
        <v>23.406447041667292</v>
      </c>
      <c r="D39" s="285">
        <v>120.59631724353227</v>
      </c>
      <c r="E39" s="181">
        <f t="shared" si="0"/>
        <v>23.406447041667292</v>
      </c>
      <c r="F39" s="209" t="str">
        <f t="shared" si="1"/>
        <v/>
      </c>
    </row>
    <row r="40" spans="1:7">
      <c r="A40">
        <v>37</v>
      </c>
      <c r="B40" s="46">
        <v>43472</v>
      </c>
      <c r="C40" s="285">
        <v>48.050071631669155</v>
      </c>
      <c r="D40" s="285">
        <v>120.59631724353227</v>
      </c>
      <c r="E40" s="181">
        <f t="shared" si="0"/>
        <v>48.050071631669155</v>
      </c>
      <c r="F40" s="209" t="str">
        <f t="shared" si="1"/>
        <v/>
      </c>
    </row>
    <row r="41" spans="1:7">
      <c r="A41">
        <v>38</v>
      </c>
      <c r="B41" s="46">
        <v>43473</v>
      </c>
      <c r="C41" s="285">
        <v>49.386536037670083</v>
      </c>
      <c r="D41" s="285">
        <v>120.59631724353227</v>
      </c>
      <c r="E41" s="181">
        <f t="shared" si="0"/>
        <v>49.386536037670083</v>
      </c>
      <c r="F41" s="209" t="str">
        <f t="shared" si="1"/>
        <v/>
      </c>
    </row>
    <row r="42" spans="1:7">
      <c r="A42">
        <v>39</v>
      </c>
      <c r="B42" s="46">
        <v>43474</v>
      </c>
      <c r="C42" s="285">
        <v>33.719116509774096</v>
      </c>
      <c r="D42" s="285">
        <v>120.59631724353227</v>
      </c>
      <c r="E42" s="181">
        <f t="shared" si="0"/>
        <v>33.719116509774096</v>
      </c>
      <c r="F42" s="209" t="str">
        <f t="shared" si="1"/>
        <v/>
      </c>
    </row>
    <row r="43" spans="1:7">
      <c r="A43">
        <v>40</v>
      </c>
      <c r="B43" s="46">
        <v>43475</v>
      </c>
      <c r="C43" s="285">
        <v>47.290569803776897</v>
      </c>
      <c r="D43" s="285">
        <v>120.59631724353227</v>
      </c>
      <c r="E43" s="181">
        <f t="shared" si="0"/>
        <v>47.290569803776897</v>
      </c>
      <c r="F43" s="209" t="str">
        <f t="shared" si="1"/>
        <v/>
      </c>
    </row>
    <row r="44" spans="1:7">
      <c r="A44">
        <v>41</v>
      </c>
      <c r="B44" s="46">
        <v>43476</v>
      </c>
      <c r="C44" s="285">
        <v>49.306202171775034</v>
      </c>
      <c r="D44" s="285">
        <v>120.59631724353227</v>
      </c>
      <c r="E44" s="181">
        <f t="shared" si="0"/>
        <v>49.306202171775034</v>
      </c>
      <c r="F44" s="209" t="str">
        <f t="shared" si="1"/>
        <v/>
      </c>
    </row>
    <row r="45" spans="1:7">
      <c r="A45">
        <v>42</v>
      </c>
      <c r="B45" s="46">
        <v>43477</v>
      </c>
      <c r="C45" s="285">
        <v>21.417700821775025</v>
      </c>
      <c r="D45" s="285">
        <v>120.59631724353227</v>
      </c>
      <c r="E45" s="181">
        <f t="shared" si="0"/>
        <v>21.417700821775025</v>
      </c>
      <c r="F45" s="209" t="str">
        <f t="shared" si="1"/>
        <v/>
      </c>
    </row>
    <row r="46" spans="1:7">
      <c r="A46">
        <v>43</v>
      </c>
      <c r="B46" s="46">
        <v>43478</v>
      </c>
      <c r="C46" s="285">
        <v>27.372357911775957</v>
      </c>
      <c r="D46" s="285">
        <v>120.59631724353227</v>
      </c>
      <c r="E46" s="181">
        <f t="shared" si="0"/>
        <v>27.372357911775957</v>
      </c>
      <c r="F46" s="209" t="str">
        <f t="shared" si="1"/>
        <v/>
      </c>
    </row>
    <row r="47" spans="1:7">
      <c r="A47">
        <v>44</v>
      </c>
      <c r="B47" s="46">
        <v>43479</v>
      </c>
      <c r="C47" s="285">
        <v>38.601003241775963</v>
      </c>
      <c r="D47" s="285">
        <v>120.59631724353227</v>
      </c>
      <c r="E47" s="181">
        <f t="shared" si="0"/>
        <v>38.601003241775963</v>
      </c>
      <c r="F47" s="209" t="str">
        <f t="shared" si="1"/>
        <v/>
      </c>
    </row>
    <row r="48" spans="1:7">
      <c r="A48">
        <v>45</v>
      </c>
      <c r="B48" s="46">
        <v>43480</v>
      </c>
      <c r="C48" s="285">
        <v>66.269905331775973</v>
      </c>
      <c r="D48" s="285">
        <v>120.59631724353227</v>
      </c>
      <c r="E48" s="181">
        <f t="shared" si="0"/>
        <v>66.269905331775973</v>
      </c>
      <c r="F48" s="209" t="str">
        <f t="shared" si="1"/>
        <v>E</v>
      </c>
      <c r="G48" s="210">
        <f>IF(DAY(B48)=15,D48,"")</f>
        <v>120.59631724353227</v>
      </c>
    </row>
    <row r="49" spans="1:6">
      <c r="A49">
        <v>46</v>
      </c>
      <c r="B49" s="46">
        <v>43481</v>
      </c>
      <c r="C49" s="285">
        <v>57.049382584859849</v>
      </c>
      <c r="D49" s="285">
        <v>120.59631724353227</v>
      </c>
      <c r="E49" s="181">
        <f t="shared" si="0"/>
        <v>57.049382584859849</v>
      </c>
      <c r="F49" s="209" t="str">
        <f t="shared" si="1"/>
        <v/>
      </c>
    </row>
    <row r="50" spans="1:6">
      <c r="A50">
        <v>47</v>
      </c>
      <c r="B50" s="46">
        <v>43482</v>
      </c>
      <c r="C50" s="285">
        <v>47.086793530857058</v>
      </c>
      <c r="D50" s="285">
        <v>120.59631724353227</v>
      </c>
      <c r="E50" s="181">
        <f t="shared" si="0"/>
        <v>47.086793530857058</v>
      </c>
      <c r="F50" s="209" t="str">
        <f t="shared" si="1"/>
        <v/>
      </c>
    </row>
    <row r="51" spans="1:6">
      <c r="A51">
        <v>48</v>
      </c>
      <c r="B51" s="46">
        <v>43483</v>
      </c>
      <c r="C51" s="285">
        <v>75.72736085885893</v>
      </c>
      <c r="D51" s="285">
        <v>120.59631724353227</v>
      </c>
      <c r="E51" s="181">
        <f t="shared" si="0"/>
        <v>75.72736085885893</v>
      </c>
      <c r="F51" s="209" t="str">
        <f t="shared" si="1"/>
        <v/>
      </c>
    </row>
    <row r="52" spans="1:6">
      <c r="A52">
        <v>49</v>
      </c>
      <c r="B52" s="46">
        <v>43484</v>
      </c>
      <c r="C52" s="285">
        <v>43.378133048858913</v>
      </c>
      <c r="D52" s="285">
        <v>120.59631724353227</v>
      </c>
      <c r="E52" s="181">
        <f t="shared" si="0"/>
        <v>43.378133048858913</v>
      </c>
      <c r="F52" s="209" t="str">
        <f t="shared" si="1"/>
        <v/>
      </c>
    </row>
    <row r="53" spans="1:6">
      <c r="A53">
        <v>50</v>
      </c>
      <c r="B53" s="46">
        <v>43485</v>
      </c>
      <c r="C53" s="285">
        <v>21.839733468858917</v>
      </c>
      <c r="D53" s="285">
        <v>120.59631724353227</v>
      </c>
      <c r="E53" s="181">
        <f t="shared" si="0"/>
        <v>21.839733468858917</v>
      </c>
      <c r="F53" s="209" t="str">
        <f t="shared" si="1"/>
        <v/>
      </c>
    </row>
    <row r="54" spans="1:6">
      <c r="A54">
        <v>51</v>
      </c>
      <c r="B54" s="46">
        <v>43486</v>
      </c>
      <c r="C54" s="285">
        <v>65.404301698859854</v>
      </c>
      <c r="D54" s="285">
        <v>120.59631724353227</v>
      </c>
      <c r="E54" s="181">
        <f t="shared" si="0"/>
        <v>65.404301698859854</v>
      </c>
      <c r="F54" s="209" t="str">
        <f t="shared" si="1"/>
        <v/>
      </c>
    </row>
    <row r="55" spans="1:6">
      <c r="A55">
        <v>52</v>
      </c>
      <c r="B55" s="46">
        <v>43487</v>
      </c>
      <c r="C55" s="285">
        <v>50.40606404885893</v>
      </c>
      <c r="D55" s="285">
        <v>120.59631724353227</v>
      </c>
      <c r="E55" s="181">
        <f t="shared" si="0"/>
        <v>50.40606404885893</v>
      </c>
      <c r="F55" s="209" t="str">
        <f t="shared" si="1"/>
        <v/>
      </c>
    </row>
    <row r="56" spans="1:6">
      <c r="A56">
        <v>53</v>
      </c>
      <c r="B56" s="46">
        <v>43488</v>
      </c>
      <c r="C56" s="285">
        <v>86.933992344619128</v>
      </c>
      <c r="D56" s="285">
        <v>120.59631724353227</v>
      </c>
      <c r="E56" s="181">
        <f t="shared" si="0"/>
        <v>86.933992344619128</v>
      </c>
      <c r="F56" s="209" t="str">
        <f t="shared" si="1"/>
        <v/>
      </c>
    </row>
    <row r="57" spans="1:6">
      <c r="A57">
        <v>54</v>
      </c>
      <c r="B57" s="46">
        <v>43489</v>
      </c>
      <c r="C57" s="285">
        <v>93.897589926620057</v>
      </c>
      <c r="D57" s="285">
        <v>120.59631724353227</v>
      </c>
      <c r="E57" s="181">
        <f t="shared" si="0"/>
        <v>93.897589926620057</v>
      </c>
      <c r="F57" s="209" t="str">
        <f t="shared" si="1"/>
        <v/>
      </c>
    </row>
    <row r="58" spans="1:6">
      <c r="A58">
        <v>55</v>
      </c>
      <c r="B58" s="46">
        <v>43490</v>
      </c>
      <c r="C58" s="285">
        <v>99.325622760620988</v>
      </c>
      <c r="D58" s="285">
        <v>120.59631724353227</v>
      </c>
      <c r="E58" s="181">
        <f t="shared" si="0"/>
        <v>99.325622760620988</v>
      </c>
      <c r="F58" s="209" t="str">
        <f t="shared" si="1"/>
        <v/>
      </c>
    </row>
    <row r="59" spans="1:6">
      <c r="A59">
        <v>56</v>
      </c>
      <c r="B59" s="46">
        <v>43491</v>
      </c>
      <c r="C59" s="285">
        <v>91.521473510619117</v>
      </c>
      <c r="D59" s="285">
        <v>120.59631724353227</v>
      </c>
      <c r="E59" s="181">
        <f t="shared" si="0"/>
        <v>91.521473510619117</v>
      </c>
      <c r="F59" s="209" t="str">
        <f t="shared" si="1"/>
        <v/>
      </c>
    </row>
    <row r="60" spans="1:6">
      <c r="A60">
        <v>57</v>
      </c>
      <c r="B60" s="46">
        <v>43492</v>
      </c>
      <c r="C60" s="285">
        <v>77.209113650621902</v>
      </c>
      <c r="D60" s="285">
        <v>120.59631724353227</v>
      </c>
      <c r="E60" s="181">
        <f t="shared" si="0"/>
        <v>77.209113650621902</v>
      </c>
      <c r="F60" s="209" t="str">
        <f t="shared" si="1"/>
        <v/>
      </c>
    </row>
    <row r="61" spans="1:6">
      <c r="A61">
        <v>58</v>
      </c>
      <c r="B61" s="46">
        <v>43493</v>
      </c>
      <c r="C61" s="285">
        <v>99.019040460619109</v>
      </c>
      <c r="D61" s="285">
        <v>120.59631724353227</v>
      </c>
      <c r="E61" s="181">
        <f t="shared" si="0"/>
        <v>99.019040460619109</v>
      </c>
      <c r="F61" s="209" t="str">
        <f t="shared" si="1"/>
        <v/>
      </c>
    </row>
    <row r="62" spans="1:6">
      <c r="A62">
        <v>59</v>
      </c>
      <c r="B62" s="46">
        <v>43494</v>
      </c>
      <c r="C62" s="285">
        <v>101.45238873061912</v>
      </c>
      <c r="D62" s="285">
        <v>120.59631724353227</v>
      </c>
      <c r="E62" s="181">
        <f t="shared" si="0"/>
        <v>101.45238873061912</v>
      </c>
      <c r="F62" s="209" t="str">
        <f t="shared" si="1"/>
        <v/>
      </c>
    </row>
    <row r="63" spans="1:6">
      <c r="A63">
        <v>60</v>
      </c>
      <c r="B63" s="46">
        <v>43495</v>
      </c>
      <c r="C63" s="285">
        <v>167.32990158214932</v>
      </c>
      <c r="D63" s="285">
        <v>120.59631724353227</v>
      </c>
      <c r="E63" s="181">
        <f t="shared" si="0"/>
        <v>120.59631724353227</v>
      </c>
      <c r="F63" s="209" t="str">
        <f t="shared" si="1"/>
        <v/>
      </c>
    </row>
    <row r="64" spans="1:6">
      <c r="A64">
        <v>61</v>
      </c>
      <c r="B64" s="46">
        <v>43496</v>
      </c>
      <c r="C64" s="285">
        <v>172.57129317015026</v>
      </c>
      <c r="D64" s="285">
        <v>120.59631724353227</v>
      </c>
      <c r="E64" s="181">
        <f t="shared" si="0"/>
        <v>120.59631724353227</v>
      </c>
      <c r="F64" s="209" t="str">
        <f t="shared" si="1"/>
        <v/>
      </c>
    </row>
    <row r="65" spans="1:7">
      <c r="A65">
        <v>62</v>
      </c>
      <c r="B65" s="46">
        <v>43497</v>
      </c>
      <c r="C65" s="285">
        <v>185.58193324014655</v>
      </c>
      <c r="D65" s="285">
        <v>120.04142913099631</v>
      </c>
      <c r="E65" s="181">
        <f t="shared" si="0"/>
        <v>120.04142913099631</v>
      </c>
      <c r="F65" s="209" t="str">
        <f t="shared" si="1"/>
        <v/>
      </c>
    </row>
    <row r="66" spans="1:7">
      <c r="A66">
        <v>63</v>
      </c>
      <c r="B66" s="46">
        <v>43498</v>
      </c>
      <c r="C66" s="285">
        <v>185.57443929814841</v>
      </c>
      <c r="D66" s="285">
        <v>120.04142913099631</v>
      </c>
      <c r="E66" s="181">
        <f t="shared" si="0"/>
        <v>120.04142913099631</v>
      </c>
      <c r="F66" s="209" t="str">
        <f t="shared" si="1"/>
        <v/>
      </c>
    </row>
    <row r="67" spans="1:7">
      <c r="A67">
        <v>64</v>
      </c>
      <c r="B67" s="46">
        <v>43499</v>
      </c>
      <c r="C67" s="285">
        <v>184.96758135014844</v>
      </c>
      <c r="D67" s="285">
        <v>120.04142913099631</v>
      </c>
      <c r="E67" s="181">
        <f t="shared" si="0"/>
        <v>120.04142913099631</v>
      </c>
      <c r="F67" s="209" t="str">
        <f t="shared" si="1"/>
        <v/>
      </c>
    </row>
    <row r="68" spans="1:7">
      <c r="A68">
        <v>65</v>
      </c>
      <c r="B68" s="46">
        <v>43500</v>
      </c>
      <c r="C68" s="285">
        <v>193.9985455941484</v>
      </c>
      <c r="D68" s="285">
        <v>120.04142913099631</v>
      </c>
      <c r="E68" s="181">
        <f t="shared" ref="E68:E131" si="2">IF(C68&lt;D68,C68,D68)</f>
        <v>120.04142913099631</v>
      </c>
      <c r="F68" s="20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43501</v>
      </c>
      <c r="C69" s="285">
        <v>194.73273308214843</v>
      </c>
      <c r="D69" s="285">
        <v>120.04142913099631</v>
      </c>
      <c r="E69" s="181">
        <f t="shared" si="2"/>
        <v>120.04142913099631</v>
      </c>
      <c r="F69" s="209" t="str">
        <f t="shared" si="3"/>
        <v/>
      </c>
    </row>
    <row r="70" spans="1:7">
      <c r="A70">
        <v>67</v>
      </c>
      <c r="B70" s="46">
        <v>43502</v>
      </c>
      <c r="C70" s="285">
        <v>141.24960643784806</v>
      </c>
      <c r="D70" s="285">
        <v>120.04142913099631</v>
      </c>
      <c r="E70" s="181">
        <f t="shared" si="2"/>
        <v>120.04142913099631</v>
      </c>
      <c r="F70" s="209" t="str">
        <f t="shared" si="3"/>
        <v/>
      </c>
    </row>
    <row r="71" spans="1:7">
      <c r="A71">
        <v>68</v>
      </c>
      <c r="B71" s="46">
        <v>43503</v>
      </c>
      <c r="C71" s="285">
        <v>141.99456505784809</v>
      </c>
      <c r="D71" s="285">
        <v>120.04142913099631</v>
      </c>
      <c r="E71" s="181">
        <f t="shared" si="2"/>
        <v>120.04142913099631</v>
      </c>
      <c r="F71" s="209" t="str">
        <f t="shared" si="3"/>
        <v/>
      </c>
    </row>
    <row r="72" spans="1:7">
      <c r="A72">
        <v>69</v>
      </c>
      <c r="B72" s="46">
        <v>43504</v>
      </c>
      <c r="C72" s="285">
        <v>133.18816221984807</v>
      </c>
      <c r="D72" s="285">
        <v>120.04142913099631</v>
      </c>
      <c r="E72" s="181">
        <f t="shared" si="2"/>
        <v>120.04142913099631</v>
      </c>
      <c r="F72" s="209" t="str">
        <f t="shared" si="3"/>
        <v/>
      </c>
    </row>
    <row r="73" spans="1:7">
      <c r="A73">
        <v>70</v>
      </c>
      <c r="B73" s="46">
        <v>43505</v>
      </c>
      <c r="C73" s="285">
        <v>126.08179446984809</v>
      </c>
      <c r="D73" s="285">
        <v>120.04142913099631</v>
      </c>
      <c r="E73" s="181">
        <f t="shared" si="2"/>
        <v>120.04142913099631</v>
      </c>
      <c r="F73" s="209" t="str">
        <f t="shared" si="3"/>
        <v/>
      </c>
    </row>
    <row r="74" spans="1:7">
      <c r="A74">
        <v>71</v>
      </c>
      <c r="B74" s="46">
        <v>43506</v>
      </c>
      <c r="C74" s="285">
        <v>114.24660454384994</v>
      </c>
      <c r="D74" s="285">
        <v>120.04142913099631</v>
      </c>
      <c r="E74" s="181">
        <f t="shared" si="2"/>
        <v>114.24660454384994</v>
      </c>
      <c r="F74" s="209" t="str">
        <f t="shared" si="3"/>
        <v/>
      </c>
    </row>
    <row r="75" spans="1:7">
      <c r="A75">
        <v>72</v>
      </c>
      <c r="B75" s="46">
        <v>43507</v>
      </c>
      <c r="C75" s="285">
        <v>123.23982218384808</v>
      </c>
      <c r="D75" s="285">
        <v>120.04142913099631</v>
      </c>
      <c r="E75" s="181">
        <f t="shared" si="2"/>
        <v>120.04142913099631</v>
      </c>
      <c r="F75" s="209" t="str">
        <f t="shared" si="3"/>
        <v/>
      </c>
    </row>
    <row r="76" spans="1:7">
      <c r="A76">
        <v>73</v>
      </c>
      <c r="B76" s="46">
        <v>43508</v>
      </c>
      <c r="C76" s="285">
        <v>139.96621025384809</v>
      </c>
      <c r="D76" s="285">
        <v>120.04142913099631</v>
      </c>
      <c r="E76" s="181">
        <f t="shared" si="2"/>
        <v>120.04142913099631</v>
      </c>
      <c r="F76" s="209" t="str">
        <f t="shared" si="3"/>
        <v/>
      </c>
    </row>
    <row r="77" spans="1:7">
      <c r="A77">
        <v>74</v>
      </c>
      <c r="B77" s="46">
        <v>43509</v>
      </c>
      <c r="C77" s="285">
        <v>120.51201069644542</v>
      </c>
      <c r="D77" s="285">
        <v>120.04142913099631</v>
      </c>
      <c r="E77" s="181">
        <f t="shared" si="2"/>
        <v>120.04142913099631</v>
      </c>
      <c r="F77" s="209" t="str">
        <f t="shared" si="3"/>
        <v/>
      </c>
    </row>
    <row r="78" spans="1:7">
      <c r="A78">
        <v>75</v>
      </c>
      <c r="B78" s="46">
        <v>43510</v>
      </c>
      <c r="C78" s="285">
        <v>103.62366132644726</v>
      </c>
      <c r="D78" s="285">
        <v>120.04142913099631</v>
      </c>
      <c r="E78" s="181">
        <f t="shared" si="2"/>
        <v>103.62366132644726</v>
      </c>
      <c r="F78" s="209" t="str">
        <f t="shared" si="3"/>
        <v/>
      </c>
      <c r="G78" s="210" t="str">
        <f t="shared" ref="G78:G109" si="4">IF(DAY(B78)=15,D78,"")</f>
        <v/>
      </c>
    </row>
    <row r="79" spans="1:7">
      <c r="A79">
        <v>76</v>
      </c>
      <c r="B79" s="46">
        <v>43511</v>
      </c>
      <c r="C79" s="285">
        <v>107.92361247844542</v>
      </c>
      <c r="D79" s="285">
        <v>120.04142913099631</v>
      </c>
      <c r="E79" s="181">
        <f t="shared" si="2"/>
        <v>107.92361247844542</v>
      </c>
      <c r="F79" s="209" t="str">
        <f t="shared" si="3"/>
        <v>F</v>
      </c>
      <c r="G79" s="210">
        <f>IF(DAY(B79)=15,D79,"")</f>
        <v>120.04142913099631</v>
      </c>
    </row>
    <row r="80" spans="1:7">
      <c r="A80">
        <v>77</v>
      </c>
      <c r="B80" s="46">
        <v>43512</v>
      </c>
      <c r="C80" s="285">
        <v>94.661395232447276</v>
      </c>
      <c r="D80" s="285">
        <v>120.04142913099631</v>
      </c>
      <c r="E80" s="181">
        <f t="shared" si="2"/>
        <v>94.661395232447276</v>
      </c>
      <c r="F80" s="209" t="str">
        <f t="shared" si="3"/>
        <v/>
      </c>
    </row>
    <row r="81" spans="1:6">
      <c r="A81">
        <v>78</v>
      </c>
      <c r="B81" s="46">
        <v>43513</v>
      </c>
      <c r="C81" s="285">
        <v>84.417533128447275</v>
      </c>
      <c r="D81" s="285">
        <v>120.04142913099631</v>
      </c>
      <c r="E81" s="181">
        <f t="shared" si="2"/>
        <v>84.417533128447275</v>
      </c>
      <c r="F81" s="209" t="str">
        <f t="shared" si="3"/>
        <v/>
      </c>
    </row>
    <row r="82" spans="1:6">
      <c r="A82">
        <v>79</v>
      </c>
      <c r="B82" s="46">
        <v>43514</v>
      </c>
      <c r="C82" s="285">
        <v>109.91697916244728</v>
      </c>
      <c r="D82" s="285">
        <v>120.04142913099631</v>
      </c>
      <c r="E82" s="181">
        <f t="shared" si="2"/>
        <v>109.91697916244728</v>
      </c>
      <c r="F82" s="209" t="str">
        <f t="shared" si="3"/>
        <v/>
      </c>
    </row>
    <row r="83" spans="1:6">
      <c r="A83">
        <v>80</v>
      </c>
      <c r="B83" s="46">
        <v>43515</v>
      </c>
      <c r="C83" s="285">
        <v>119.44313481844542</v>
      </c>
      <c r="D83" s="285">
        <v>120.04142913099631</v>
      </c>
      <c r="E83" s="181">
        <f t="shared" si="2"/>
        <v>119.44313481844542</v>
      </c>
      <c r="F83" s="209" t="str">
        <f t="shared" si="3"/>
        <v/>
      </c>
    </row>
    <row r="84" spans="1:6">
      <c r="A84">
        <v>81</v>
      </c>
      <c r="B84" s="46">
        <v>43516</v>
      </c>
      <c r="C84" s="285">
        <v>87.669133587945765</v>
      </c>
      <c r="D84" s="285">
        <v>120.04142913099631</v>
      </c>
      <c r="E84" s="181">
        <f t="shared" si="2"/>
        <v>87.669133587945765</v>
      </c>
      <c r="F84" s="209" t="str">
        <f t="shared" si="3"/>
        <v/>
      </c>
    </row>
    <row r="85" spans="1:6">
      <c r="A85">
        <v>82</v>
      </c>
      <c r="B85" s="46">
        <v>43517</v>
      </c>
      <c r="C85" s="285">
        <v>79.117863777947633</v>
      </c>
      <c r="D85" s="285">
        <v>120.04142913099631</v>
      </c>
      <c r="E85" s="181">
        <f t="shared" si="2"/>
        <v>79.117863777947633</v>
      </c>
      <c r="F85" s="209" t="str">
        <f t="shared" si="3"/>
        <v/>
      </c>
    </row>
    <row r="86" spans="1:6">
      <c r="A86">
        <v>83</v>
      </c>
      <c r="B86" s="46">
        <v>43518</v>
      </c>
      <c r="C86" s="285">
        <v>75.298925477949496</v>
      </c>
      <c r="D86" s="285">
        <v>120.04142913099631</v>
      </c>
      <c r="E86" s="181">
        <f t="shared" si="2"/>
        <v>75.298925477949496</v>
      </c>
      <c r="F86" s="209" t="str">
        <f t="shared" si="3"/>
        <v/>
      </c>
    </row>
    <row r="87" spans="1:6">
      <c r="A87">
        <v>84</v>
      </c>
      <c r="B87" s="46">
        <v>43519</v>
      </c>
      <c r="C87" s="285">
        <v>64.675635013947627</v>
      </c>
      <c r="D87" s="285">
        <v>120.04142913099631</v>
      </c>
      <c r="E87" s="181">
        <f t="shared" si="2"/>
        <v>64.675635013947627</v>
      </c>
      <c r="F87" s="209" t="str">
        <f t="shared" si="3"/>
        <v/>
      </c>
    </row>
    <row r="88" spans="1:6">
      <c r="A88">
        <v>85</v>
      </c>
      <c r="B88" s="46">
        <v>43520</v>
      </c>
      <c r="C88" s="285">
        <v>66.564979371945768</v>
      </c>
      <c r="D88" s="285">
        <v>120.04142913099631</v>
      </c>
      <c r="E88" s="181">
        <f t="shared" si="2"/>
        <v>66.564979371945768</v>
      </c>
      <c r="F88" s="209" t="str">
        <f t="shared" si="3"/>
        <v/>
      </c>
    </row>
    <row r="89" spans="1:6">
      <c r="A89">
        <v>86</v>
      </c>
      <c r="B89" s="46">
        <v>43521</v>
      </c>
      <c r="C89" s="285">
        <v>91.917289957949492</v>
      </c>
      <c r="D89" s="285">
        <v>120.04142913099631</v>
      </c>
      <c r="E89" s="181">
        <f t="shared" si="2"/>
        <v>91.917289957949492</v>
      </c>
      <c r="F89" s="209" t="str">
        <f t="shared" si="3"/>
        <v/>
      </c>
    </row>
    <row r="90" spans="1:6">
      <c r="A90">
        <v>87</v>
      </c>
      <c r="B90" s="46">
        <v>43522</v>
      </c>
      <c r="C90" s="285">
        <v>75.530994327947624</v>
      </c>
      <c r="D90" s="285">
        <v>120.04142913099631</v>
      </c>
      <c r="E90" s="181">
        <f t="shared" si="2"/>
        <v>75.530994327947624</v>
      </c>
      <c r="F90" s="209" t="str">
        <f t="shared" si="3"/>
        <v/>
      </c>
    </row>
    <row r="91" spans="1:6">
      <c r="A91">
        <v>88</v>
      </c>
      <c r="B91" s="46">
        <v>43523</v>
      </c>
      <c r="C91" s="285">
        <v>69.289270910230613</v>
      </c>
      <c r="D91" s="285">
        <v>120.04142913099631</v>
      </c>
      <c r="E91" s="181">
        <f t="shared" si="2"/>
        <v>69.289270910230613</v>
      </c>
      <c r="F91" s="209" t="str">
        <f t="shared" si="3"/>
        <v/>
      </c>
    </row>
    <row r="92" spans="1:6">
      <c r="A92">
        <v>89</v>
      </c>
      <c r="B92" s="46">
        <v>43524</v>
      </c>
      <c r="C92" s="285">
        <v>63.050235326230613</v>
      </c>
      <c r="D92" s="285">
        <v>120.04142913099631</v>
      </c>
      <c r="E92" s="181">
        <f t="shared" si="2"/>
        <v>63.050235326230613</v>
      </c>
      <c r="F92" s="209" t="str">
        <f t="shared" si="3"/>
        <v/>
      </c>
    </row>
    <row r="93" spans="1:6">
      <c r="A93">
        <v>90</v>
      </c>
      <c r="B93" s="46">
        <v>43525</v>
      </c>
      <c r="C93" s="285">
        <v>70.279727594230607</v>
      </c>
      <c r="D93" s="285">
        <v>132.90693384979679</v>
      </c>
      <c r="E93" s="181">
        <f t="shared" si="2"/>
        <v>70.279727594230607</v>
      </c>
      <c r="F93" s="209" t="str">
        <f t="shared" si="3"/>
        <v/>
      </c>
    </row>
    <row r="94" spans="1:6">
      <c r="A94">
        <v>91</v>
      </c>
      <c r="B94" s="46">
        <v>43526</v>
      </c>
      <c r="C94" s="285">
        <v>55.067245526230607</v>
      </c>
      <c r="D94" s="285">
        <v>132.90693384979679</v>
      </c>
      <c r="E94" s="181">
        <f t="shared" si="2"/>
        <v>55.067245526230607</v>
      </c>
      <c r="F94" s="209" t="str">
        <f t="shared" si="3"/>
        <v/>
      </c>
    </row>
    <row r="95" spans="1:6">
      <c r="A95">
        <v>92</v>
      </c>
      <c r="B95" s="46">
        <v>43527</v>
      </c>
      <c r="C95" s="285">
        <v>40.961962326230605</v>
      </c>
      <c r="D95" s="285">
        <v>132.90693384979679</v>
      </c>
      <c r="E95" s="181">
        <f t="shared" si="2"/>
        <v>40.961962326230605</v>
      </c>
      <c r="F95" s="209" t="str">
        <f t="shared" si="3"/>
        <v/>
      </c>
    </row>
    <row r="96" spans="1:6">
      <c r="A96">
        <v>93</v>
      </c>
      <c r="B96" s="46">
        <v>43528</v>
      </c>
      <c r="C96" s="285">
        <v>48.808900076230607</v>
      </c>
      <c r="D96" s="285">
        <v>132.90693384979679</v>
      </c>
      <c r="E96" s="181">
        <f t="shared" si="2"/>
        <v>48.808900076230607</v>
      </c>
      <c r="F96" s="209" t="str">
        <f t="shared" si="3"/>
        <v/>
      </c>
    </row>
    <row r="97" spans="1:7">
      <c r="A97">
        <v>94</v>
      </c>
      <c r="B97" s="46">
        <v>43529</v>
      </c>
      <c r="C97" s="285">
        <v>50.550977536232473</v>
      </c>
      <c r="D97" s="285">
        <v>132.90693384979679</v>
      </c>
      <c r="E97" s="181">
        <f t="shared" si="2"/>
        <v>50.550977536232473</v>
      </c>
      <c r="F97" s="209" t="str">
        <f t="shared" si="3"/>
        <v/>
      </c>
    </row>
    <row r="98" spans="1:7">
      <c r="A98">
        <v>95</v>
      </c>
      <c r="B98" s="46">
        <v>43530</v>
      </c>
      <c r="C98" s="285">
        <v>97.01795352355073</v>
      </c>
      <c r="D98" s="285">
        <v>132.90693384979679</v>
      </c>
      <c r="E98" s="181">
        <f t="shared" si="2"/>
        <v>97.01795352355073</v>
      </c>
      <c r="F98" s="209" t="str">
        <f t="shared" si="3"/>
        <v/>
      </c>
    </row>
    <row r="99" spans="1:7">
      <c r="A99">
        <v>96</v>
      </c>
      <c r="B99" s="46">
        <v>43531</v>
      </c>
      <c r="C99" s="285">
        <v>113.77763996755631</v>
      </c>
      <c r="D99" s="285">
        <v>132.90693384979679</v>
      </c>
      <c r="E99" s="181">
        <f t="shared" si="2"/>
        <v>113.77763996755631</v>
      </c>
      <c r="F99" s="209" t="str">
        <f t="shared" si="3"/>
        <v/>
      </c>
    </row>
    <row r="100" spans="1:7">
      <c r="A100">
        <v>97</v>
      </c>
      <c r="B100" s="46">
        <v>43532</v>
      </c>
      <c r="C100" s="285">
        <v>134.52090230355446</v>
      </c>
      <c r="D100" s="285">
        <v>132.90693384979679</v>
      </c>
      <c r="E100" s="181">
        <f t="shared" si="2"/>
        <v>132.90693384979679</v>
      </c>
      <c r="F100" s="209" t="str">
        <f t="shared" si="3"/>
        <v/>
      </c>
    </row>
    <row r="101" spans="1:7">
      <c r="A101">
        <v>98</v>
      </c>
      <c r="B101" s="46">
        <v>43533</v>
      </c>
      <c r="C101" s="285">
        <v>133.51544254355261</v>
      </c>
      <c r="D101" s="285">
        <v>132.90693384979679</v>
      </c>
      <c r="E101" s="181">
        <f t="shared" si="2"/>
        <v>132.90693384979679</v>
      </c>
      <c r="F101" s="209" t="str">
        <f t="shared" si="3"/>
        <v/>
      </c>
    </row>
    <row r="102" spans="1:7">
      <c r="A102">
        <v>99</v>
      </c>
      <c r="B102" s="46">
        <v>43534</v>
      </c>
      <c r="C102" s="285">
        <v>106.08530919355445</v>
      </c>
      <c r="D102" s="285">
        <v>132.90693384979679</v>
      </c>
      <c r="E102" s="181">
        <f t="shared" si="2"/>
        <v>106.08530919355445</v>
      </c>
      <c r="F102" s="209" t="str">
        <f t="shared" si="3"/>
        <v/>
      </c>
    </row>
    <row r="103" spans="1:7">
      <c r="A103">
        <v>100</v>
      </c>
      <c r="B103" s="46">
        <v>43535</v>
      </c>
      <c r="C103" s="285">
        <v>131.25554703755444</v>
      </c>
      <c r="D103" s="285">
        <v>132.90693384979679</v>
      </c>
      <c r="E103" s="181">
        <f t="shared" si="2"/>
        <v>131.25554703755444</v>
      </c>
      <c r="F103" s="209" t="str">
        <f t="shared" si="3"/>
        <v/>
      </c>
    </row>
    <row r="104" spans="1:7">
      <c r="A104">
        <v>101</v>
      </c>
      <c r="B104" s="46">
        <v>43536</v>
      </c>
      <c r="C104" s="285">
        <v>122.2313333735526</v>
      </c>
      <c r="D104" s="285">
        <v>132.90693384979679</v>
      </c>
      <c r="E104" s="181">
        <f t="shared" si="2"/>
        <v>122.2313333735526</v>
      </c>
      <c r="F104" s="209" t="str">
        <f t="shared" si="3"/>
        <v/>
      </c>
    </row>
    <row r="105" spans="1:7">
      <c r="A105">
        <v>102</v>
      </c>
      <c r="B105" s="46">
        <v>43537</v>
      </c>
      <c r="C105" s="285">
        <v>66.422230921277958</v>
      </c>
      <c r="D105" s="285">
        <v>132.90693384979679</v>
      </c>
      <c r="E105" s="181">
        <f t="shared" si="2"/>
        <v>66.422230921277958</v>
      </c>
      <c r="F105" s="209" t="str">
        <f t="shared" si="3"/>
        <v/>
      </c>
    </row>
    <row r="106" spans="1:7">
      <c r="A106">
        <v>103</v>
      </c>
      <c r="B106" s="46">
        <v>43538</v>
      </c>
      <c r="C106" s="285">
        <v>83.603457791279808</v>
      </c>
      <c r="D106" s="285">
        <v>132.90693384979679</v>
      </c>
      <c r="E106" s="181">
        <f t="shared" si="2"/>
        <v>83.603457791279808</v>
      </c>
      <c r="F106" s="209" t="str">
        <f t="shared" si="3"/>
        <v/>
      </c>
    </row>
    <row r="107" spans="1:7">
      <c r="A107">
        <v>104</v>
      </c>
      <c r="B107" s="46">
        <v>43539</v>
      </c>
      <c r="C107" s="285">
        <v>97.312987301277957</v>
      </c>
      <c r="D107" s="285">
        <v>132.90693384979679</v>
      </c>
      <c r="E107" s="181">
        <f t="shared" si="2"/>
        <v>97.312987301277957</v>
      </c>
      <c r="F107" s="209" t="str">
        <f t="shared" si="3"/>
        <v>M</v>
      </c>
      <c r="G107" s="210">
        <f>IF(DAY(B107)=15,D107,"")</f>
        <v>132.90693384979679</v>
      </c>
    </row>
    <row r="108" spans="1:7">
      <c r="A108">
        <v>105</v>
      </c>
      <c r="B108" s="46">
        <v>43540</v>
      </c>
      <c r="C108" s="285">
        <v>74.714766641279809</v>
      </c>
      <c r="D108" s="285">
        <v>132.90693384979679</v>
      </c>
      <c r="E108" s="181">
        <f t="shared" si="2"/>
        <v>74.714766641279809</v>
      </c>
      <c r="F108" s="209" t="str">
        <f t="shared" si="3"/>
        <v/>
      </c>
      <c r="G108" s="210" t="str">
        <f t="shared" si="4"/>
        <v/>
      </c>
    </row>
    <row r="109" spans="1:7">
      <c r="A109">
        <v>106</v>
      </c>
      <c r="B109" s="46">
        <v>43541</v>
      </c>
      <c r="C109" s="285">
        <v>41.087115621277952</v>
      </c>
      <c r="D109" s="285">
        <v>132.90693384979679</v>
      </c>
      <c r="E109" s="181">
        <f t="shared" si="2"/>
        <v>41.087115621277952</v>
      </c>
      <c r="F109" s="209" t="str">
        <f t="shared" si="3"/>
        <v/>
      </c>
      <c r="G109" s="210" t="str">
        <f t="shared" si="4"/>
        <v/>
      </c>
    </row>
    <row r="110" spans="1:7">
      <c r="A110">
        <v>107</v>
      </c>
      <c r="B110" s="46">
        <v>43542</v>
      </c>
      <c r="C110" s="285">
        <v>61.18239848127795</v>
      </c>
      <c r="D110" s="285">
        <v>132.90693384979679</v>
      </c>
      <c r="E110" s="181">
        <f t="shared" si="2"/>
        <v>61.18239848127795</v>
      </c>
      <c r="F110" s="209" t="str">
        <f t="shared" si="3"/>
        <v/>
      </c>
    </row>
    <row r="111" spans="1:7">
      <c r="A111">
        <v>108</v>
      </c>
      <c r="B111" s="46">
        <v>43543</v>
      </c>
      <c r="C111" s="285">
        <v>62.000907013279814</v>
      </c>
      <c r="D111" s="285">
        <v>132.90693384979679</v>
      </c>
      <c r="E111" s="181">
        <f t="shared" si="2"/>
        <v>62.000907013279814</v>
      </c>
      <c r="F111" s="209" t="str">
        <f t="shared" si="3"/>
        <v/>
      </c>
    </row>
    <row r="112" spans="1:7">
      <c r="A112">
        <v>109</v>
      </c>
      <c r="B112" s="46">
        <v>43544</v>
      </c>
      <c r="C112" s="285">
        <v>59.069677764690461</v>
      </c>
      <c r="D112" s="285">
        <v>132.90693384979679</v>
      </c>
      <c r="E112" s="181">
        <f t="shared" si="2"/>
        <v>59.069677764690461</v>
      </c>
      <c r="F112" s="209" t="str">
        <f t="shared" si="3"/>
        <v/>
      </c>
    </row>
    <row r="113" spans="1:6">
      <c r="A113">
        <v>110</v>
      </c>
      <c r="B113" s="46">
        <v>43545</v>
      </c>
      <c r="C113" s="285">
        <v>74.912399428690463</v>
      </c>
      <c r="D113" s="285">
        <v>132.90693384979679</v>
      </c>
      <c r="E113" s="181">
        <f t="shared" si="2"/>
        <v>74.912399428690463</v>
      </c>
      <c r="F113" s="209" t="str">
        <f t="shared" si="3"/>
        <v/>
      </c>
    </row>
    <row r="114" spans="1:6">
      <c r="A114">
        <v>111</v>
      </c>
      <c r="B114" s="46">
        <v>43546</v>
      </c>
      <c r="C114" s="285">
        <v>98.957296132692321</v>
      </c>
      <c r="D114" s="285">
        <v>132.90693384979679</v>
      </c>
      <c r="E114" s="181">
        <f t="shared" si="2"/>
        <v>98.957296132692321</v>
      </c>
      <c r="F114" s="209" t="str">
        <f t="shared" si="3"/>
        <v/>
      </c>
    </row>
    <row r="115" spans="1:6">
      <c r="A115">
        <v>112</v>
      </c>
      <c r="B115" s="46">
        <v>43547</v>
      </c>
      <c r="C115" s="285">
        <v>68.347545472690456</v>
      </c>
      <c r="D115" s="285">
        <v>132.90693384979679</v>
      </c>
      <c r="E115" s="181">
        <f t="shared" si="2"/>
        <v>68.347545472690456</v>
      </c>
      <c r="F115" s="209" t="str">
        <f t="shared" si="3"/>
        <v/>
      </c>
    </row>
    <row r="116" spans="1:6">
      <c r="A116">
        <v>113</v>
      </c>
      <c r="B116" s="46">
        <v>43548</v>
      </c>
      <c r="C116" s="285">
        <v>41.337805642692324</v>
      </c>
      <c r="D116" s="285">
        <v>132.90693384979679</v>
      </c>
      <c r="E116" s="181">
        <f t="shared" si="2"/>
        <v>41.337805642692324</v>
      </c>
      <c r="F116" s="209" t="str">
        <f t="shared" si="3"/>
        <v/>
      </c>
    </row>
    <row r="117" spans="1:6">
      <c r="A117">
        <v>114</v>
      </c>
      <c r="B117" s="46">
        <v>43549</v>
      </c>
      <c r="C117" s="285">
        <v>42.095181022690454</v>
      </c>
      <c r="D117" s="285">
        <v>132.90693384979679</v>
      </c>
      <c r="E117" s="181">
        <f t="shared" si="2"/>
        <v>42.095181022690454</v>
      </c>
      <c r="F117" s="209" t="str">
        <f t="shared" si="3"/>
        <v/>
      </c>
    </row>
    <row r="118" spans="1:6">
      <c r="A118">
        <v>115</v>
      </c>
      <c r="B118" s="46">
        <v>43550</v>
      </c>
      <c r="C118" s="285">
        <v>37.959048062692325</v>
      </c>
      <c r="D118" s="285">
        <v>132.90693384979679</v>
      </c>
      <c r="E118" s="181">
        <f t="shared" si="2"/>
        <v>37.959048062692325</v>
      </c>
      <c r="F118" s="209" t="str">
        <f t="shared" si="3"/>
        <v/>
      </c>
    </row>
    <row r="119" spans="1:6">
      <c r="A119">
        <v>116</v>
      </c>
      <c r="B119" s="46">
        <v>43551</v>
      </c>
      <c r="C119" s="285">
        <v>39.210651627381345</v>
      </c>
      <c r="D119" s="285">
        <v>132.90693384979679</v>
      </c>
      <c r="E119" s="181">
        <f t="shared" si="2"/>
        <v>39.210651627381345</v>
      </c>
      <c r="F119" s="209" t="str">
        <f t="shared" si="3"/>
        <v/>
      </c>
    </row>
    <row r="120" spans="1:6">
      <c r="A120">
        <v>117</v>
      </c>
      <c r="B120" s="46">
        <v>43552</v>
      </c>
      <c r="C120" s="285">
        <v>50.566903553377628</v>
      </c>
      <c r="D120" s="285">
        <v>132.90693384979679</v>
      </c>
      <c r="E120" s="181">
        <f t="shared" si="2"/>
        <v>50.566903553377628</v>
      </c>
      <c r="F120" s="209" t="str">
        <f t="shared" si="3"/>
        <v/>
      </c>
    </row>
    <row r="121" spans="1:6">
      <c r="A121">
        <v>118</v>
      </c>
      <c r="B121" s="46">
        <v>43553</v>
      </c>
      <c r="C121" s="285">
        <v>62.55005746738135</v>
      </c>
      <c r="D121" s="285">
        <v>132.90693384979679</v>
      </c>
      <c r="E121" s="181">
        <f t="shared" si="2"/>
        <v>62.55005746738135</v>
      </c>
      <c r="F121" s="209" t="str">
        <f t="shared" si="3"/>
        <v/>
      </c>
    </row>
    <row r="122" spans="1:6">
      <c r="A122">
        <v>119</v>
      </c>
      <c r="B122" s="46">
        <v>43554</v>
      </c>
      <c r="C122" s="285">
        <v>40.608588867379488</v>
      </c>
      <c r="D122" s="285">
        <v>132.90693384979679</v>
      </c>
      <c r="E122" s="181">
        <f t="shared" si="2"/>
        <v>40.608588867379488</v>
      </c>
      <c r="F122" s="209" t="str">
        <f t="shared" si="3"/>
        <v/>
      </c>
    </row>
    <row r="123" spans="1:6">
      <c r="A123">
        <v>120</v>
      </c>
      <c r="B123" s="46">
        <v>43555</v>
      </c>
      <c r="C123" s="285">
        <v>51.831602707379488</v>
      </c>
      <c r="D123" s="285">
        <v>132.90693384979679</v>
      </c>
      <c r="E123" s="181">
        <f t="shared" si="2"/>
        <v>51.831602707379488</v>
      </c>
      <c r="F123" s="209" t="str">
        <f t="shared" si="3"/>
        <v/>
      </c>
    </row>
    <row r="124" spans="1:6">
      <c r="A124">
        <v>121</v>
      </c>
      <c r="B124" s="46">
        <v>43556</v>
      </c>
      <c r="C124" s="285">
        <v>76.662643839381346</v>
      </c>
      <c r="D124" s="285">
        <v>128.77123560535</v>
      </c>
      <c r="E124" s="181">
        <f t="shared" si="2"/>
        <v>76.662643839381346</v>
      </c>
      <c r="F124" s="209" t="str">
        <f t="shared" si="3"/>
        <v/>
      </c>
    </row>
    <row r="125" spans="1:6">
      <c r="A125">
        <v>122</v>
      </c>
      <c r="B125" s="46">
        <v>43557</v>
      </c>
      <c r="C125" s="285">
        <v>73.117034955377619</v>
      </c>
      <c r="D125" s="285">
        <v>128.77123560535</v>
      </c>
      <c r="E125" s="181">
        <f t="shared" si="2"/>
        <v>73.117034955377619</v>
      </c>
      <c r="F125" s="209" t="str">
        <f t="shared" si="3"/>
        <v/>
      </c>
    </row>
    <row r="126" spans="1:6">
      <c r="A126">
        <v>123</v>
      </c>
      <c r="B126" s="46">
        <v>43558</v>
      </c>
      <c r="C126" s="285">
        <v>45.024506179779593</v>
      </c>
      <c r="D126" s="285">
        <v>128.77123560535</v>
      </c>
      <c r="E126" s="181">
        <f t="shared" si="2"/>
        <v>45.024506179779593</v>
      </c>
      <c r="F126" s="209" t="str">
        <f t="shared" si="3"/>
        <v/>
      </c>
    </row>
    <row r="127" spans="1:6">
      <c r="A127">
        <v>124</v>
      </c>
      <c r="B127" s="46">
        <v>43559</v>
      </c>
      <c r="C127" s="285">
        <v>42.33311552377959</v>
      </c>
      <c r="D127" s="285">
        <v>128.77123560535</v>
      </c>
      <c r="E127" s="181">
        <f t="shared" si="2"/>
        <v>42.33311552377959</v>
      </c>
      <c r="F127" s="209" t="str">
        <f t="shared" si="3"/>
        <v/>
      </c>
    </row>
    <row r="128" spans="1:6">
      <c r="A128">
        <v>125</v>
      </c>
      <c r="B128" s="46">
        <v>43560</v>
      </c>
      <c r="C128" s="285">
        <v>53.148606071777728</v>
      </c>
      <c r="D128" s="285">
        <v>128.77123560535</v>
      </c>
      <c r="E128" s="181">
        <f t="shared" si="2"/>
        <v>53.148606071777728</v>
      </c>
      <c r="F128" s="209" t="str">
        <f t="shared" si="3"/>
        <v/>
      </c>
    </row>
    <row r="129" spans="1:7">
      <c r="A129">
        <v>126</v>
      </c>
      <c r="B129" s="46">
        <v>43561</v>
      </c>
      <c r="C129" s="285">
        <v>35.40131546777959</v>
      </c>
      <c r="D129" s="285">
        <v>128.77123560535</v>
      </c>
      <c r="E129" s="181">
        <f t="shared" si="2"/>
        <v>35.40131546777959</v>
      </c>
      <c r="F129" s="209" t="str">
        <f t="shared" si="3"/>
        <v/>
      </c>
    </row>
    <row r="130" spans="1:7">
      <c r="A130">
        <v>127</v>
      </c>
      <c r="B130" s="46">
        <v>43562</v>
      </c>
      <c r="C130" s="285">
        <v>30.369701119777734</v>
      </c>
      <c r="D130" s="285">
        <v>128.77123560535</v>
      </c>
      <c r="E130" s="181">
        <f t="shared" si="2"/>
        <v>30.369701119777734</v>
      </c>
      <c r="F130" s="209" t="str">
        <f t="shared" si="3"/>
        <v/>
      </c>
    </row>
    <row r="131" spans="1:7">
      <c r="A131">
        <v>128</v>
      </c>
      <c r="B131" s="46">
        <v>43563</v>
      </c>
      <c r="C131" s="285">
        <v>38.897896747777729</v>
      </c>
      <c r="D131" s="285">
        <v>128.77123560535</v>
      </c>
      <c r="E131" s="181">
        <f t="shared" si="2"/>
        <v>38.897896747777729</v>
      </c>
      <c r="F131" s="209" t="str">
        <f t="shared" si="3"/>
        <v/>
      </c>
    </row>
    <row r="132" spans="1:7">
      <c r="A132">
        <v>129</v>
      </c>
      <c r="B132" s="46">
        <v>43564</v>
      </c>
      <c r="C132" s="285">
        <v>35.460223803779591</v>
      </c>
      <c r="D132" s="285">
        <v>128.77123560535</v>
      </c>
      <c r="E132" s="181">
        <f t="shared" ref="E132:E195" si="5">IF(C132&lt;D132,C132,D132)</f>
        <v>35.460223803779591</v>
      </c>
      <c r="F132" s="209" t="str">
        <f t="shared" ref="F132:F195" si="6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43565</v>
      </c>
      <c r="C133" s="285">
        <v>73.590745241523095</v>
      </c>
      <c r="D133" s="285">
        <v>128.77123560535</v>
      </c>
      <c r="E133" s="181">
        <f t="shared" si="5"/>
        <v>73.590745241523095</v>
      </c>
      <c r="F133" s="209" t="str">
        <f t="shared" si="6"/>
        <v/>
      </c>
    </row>
    <row r="134" spans="1:7">
      <c r="A134">
        <v>131</v>
      </c>
      <c r="B134" s="46">
        <v>43566</v>
      </c>
      <c r="C134" s="285">
        <v>81.935471213523101</v>
      </c>
      <c r="D134" s="285">
        <v>128.77123560535</v>
      </c>
      <c r="E134" s="181">
        <f t="shared" si="5"/>
        <v>81.935471213523101</v>
      </c>
      <c r="F134" s="209" t="str">
        <f t="shared" si="6"/>
        <v/>
      </c>
    </row>
    <row r="135" spans="1:7">
      <c r="A135">
        <v>132</v>
      </c>
      <c r="B135" s="46">
        <v>43567</v>
      </c>
      <c r="C135" s="285">
        <v>81.298658489523092</v>
      </c>
      <c r="D135" s="285">
        <v>128.77123560535</v>
      </c>
      <c r="E135" s="181">
        <f t="shared" si="5"/>
        <v>81.298658489523092</v>
      </c>
      <c r="F135" s="209" t="str">
        <f t="shared" si="6"/>
        <v/>
      </c>
    </row>
    <row r="136" spans="1:7">
      <c r="A136">
        <v>133</v>
      </c>
      <c r="B136" s="46">
        <v>43568</v>
      </c>
      <c r="C136" s="285">
        <v>71.775422277523091</v>
      </c>
      <c r="D136" s="285">
        <v>128.77123560535</v>
      </c>
      <c r="E136" s="181">
        <f t="shared" si="5"/>
        <v>71.775422277523091</v>
      </c>
      <c r="F136" s="209" t="str">
        <f t="shared" si="6"/>
        <v/>
      </c>
    </row>
    <row r="137" spans="1:7">
      <c r="A137">
        <v>134</v>
      </c>
      <c r="B137" s="46">
        <v>43569</v>
      </c>
      <c r="C137" s="285">
        <v>65.230425237523093</v>
      </c>
      <c r="D137" s="285">
        <v>128.77123560535</v>
      </c>
      <c r="E137" s="181">
        <f t="shared" si="5"/>
        <v>65.230425237523093</v>
      </c>
      <c r="F137" s="209" t="str">
        <f t="shared" si="6"/>
        <v/>
      </c>
      <c r="G137" s="210" t="str">
        <f t="shared" ref="G137" si="7">IF(DAY(B137)=15,D137,"")</f>
        <v/>
      </c>
    </row>
    <row r="138" spans="1:7">
      <c r="A138">
        <v>135</v>
      </c>
      <c r="B138" s="46">
        <v>43570</v>
      </c>
      <c r="C138" s="285">
        <v>75.106005453521234</v>
      </c>
      <c r="D138" s="285">
        <v>128.77123560535</v>
      </c>
      <c r="E138" s="181">
        <f t="shared" si="5"/>
        <v>75.106005453521234</v>
      </c>
      <c r="F138" s="209" t="str">
        <f t="shared" si="6"/>
        <v>A</v>
      </c>
      <c r="G138" s="210">
        <f>IF(DAY(B138)=15,D138,"")</f>
        <v>128.77123560535</v>
      </c>
    </row>
    <row r="139" spans="1:7">
      <c r="A139">
        <v>136</v>
      </c>
      <c r="B139" s="46">
        <v>43571</v>
      </c>
      <c r="C139" s="285">
        <v>82.865641981523098</v>
      </c>
      <c r="D139" s="285">
        <v>128.77123560535</v>
      </c>
      <c r="E139" s="181">
        <f t="shared" si="5"/>
        <v>82.865641981523098</v>
      </c>
      <c r="F139" s="209" t="str">
        <f t="shared" si="6"/>
        <v/>
      </c>
      <c r="G139" s="210" t="str">
        <f>IF(DAY(B139)=15,D139,"")</f>
        <v/>
      </c>
    </row>
    <row r="140" spans="1:7">
      <c r="A140">
        <v>137</v>
      </c>
      <c r="B140" s="46">
        <v>43572</v>
      </c>
      <c r="C140" s="285">
        <v>100.01872431620907</v>
      </c>
      <c r="D140" s="285">
        <v>128.77123560535</v>
      </c>
      <c r="E140" s="181">
        <f t="shared" si="5"/>
        <v>100.01872431620907</v>
      </c>
      <c r="F140" s="209" t="str">
        <f t="shared" si="6"/>
        <v/>
      </c>
      <c r="G140" s="210" t="str">
        <f>IF(DAY(B140)=15,D140,"")</f>
        <v/>
      </c>
    </row>
    <row r="141" spans="1:7">
      <c r="A141">
        <v>138</v>
      </c>
      <c r="B141" s="46">
        <v>43573</v>
      </c>
      <c r="C141" s="285">
        <v>97.640177000207203</v>
      </c>
      <c r="D141" s="285">
        <v>128.77123560535</v>
      </c>
      <c r="E141" s="181">
        <f t="shared" si="5"/>
        <v>97.640177000207203</v>
      </c>
      <c r="F141" s="209" t="str">
        <f t="shared" si="6"/>
        <v/>
      </c>
    </row>
    <row r="142" spans="1:7">
      <c r="A142">
        <v>139</v>
      </c>
      <c r="B142" s="46">
        <v>43574</v>
      </c>
      <c r="C142" s="285">
        <v>76.378072956209067</v>
      </c>
      <c r="D142" s="285">
        <v>128.77123560535</v>
      </c>
      <c r="E142" s="181">
        <f t="shared" si="5"/>
        <v>76.378072956209067</v>
      </c>
      <c r="F142" s="209" t="str">
        <f t="shared" si="6"/>
        <v/>
      </c>
    </row>
    <row r="143" spans="1:7">
      <c r="A143">
        <v>140</v>
      </c>
      <c r="B143" s="46">
        <v>43575</v>
      </c>
      <c r="C143" s="285">
        <v>73.470189276207208</v>
      </c>
      <c r="D143" s="285">
        <v>128.77123560535</v>
      </c>
      <c r="E143" s="181">
        <f t="shared" si="5"/>
        <v>73.470189276207208</v>
      </c>
      <c r="F143" s="209" t="str">
        <f t="shared" si="6"/>
        <v/>
      </c>
    </row>
    <row r="144" spans="1:7">
      <c r="A144">
        <v>141</v>
      </c>
      <c r="B144" s="46">
        <v>43576</v>
      </c>
      <c r="C144" s="285">
        <v>82.184180796209063</v>
      </c>
      <c r="D144" s="285">
        <v>128.77123560535</v>
      </c>
      <c r="E144" s="181">
        <f t="shared" si="5"/>
        <v>82.184180796209063</v>
      </c>
      <c r="F144" s="209" t="str">
        <f t="shared" si="6"/>
        <v/>
      </c>
    </row>
    <row r="145" spans="1:6">
      <c r="A145">
        <v>142</v>
      </c>
      <c r="B145" s="46">
        <v>43577</v>
      </c>
      <c r="C145" s="285">
        <v>83.15904527220907</v>
      </c>
      <c r="D145" s="285">
        <v>128.77123560535</v>
      </c>
      <c r="E145" s="181">
        <f t="shared" si="5"/>
        <v>83.15904527220907</v>
      </c>
      <c r="F145" s="209" t="str">
        <f t="shared" si="6"/>
        <v/>
      </c>
    </row>
    <row r="146" spans="1:6">
      <c r="A146">
        <v>143</v>
      </c>
      <c r="B146" s="46">
        <v>43578</v>
      </c>
      <c r="C146" s="285">
        <v>84.983474912207214</v>
      </c>
      <c r="D146" s="285">
        <v>128.77123560535</v>
      </c>
      <c r="E146" s="181">
        <f t="shared" si="5"/>
        <v>84.983474912207214</v>
      </c>
      <c r="F146" s="209" t="str">
        <f t="shared" si="6"/>
        <v/>
      </c>
    </row>
    <row r="147" spans="1:6">
      <c r="A147">
        <v>144</v>
      </c>
      <c r="B147" s="46">
        <v>43579</v>
      </c>
      <c r="C147" s="285">
        <v>120.16015579154841</v>
      </c>
      <c r="D147" s="285">
        <v>128.77123560535</v>
      </c>
      <c r="E147" s="181">
        <f t="shared" si="5"/>
        <v>120.16015579154841</v>
      </c>
      <c r="F147" s="209" t="str">
        <f t="shared" si="6"/>
        <v/>
      </c>
    </row>
    <row r="148" spans="1:6">
      <c r="A148">
        <v>145</v>
      </c>
      <c r="B148" s="46">
        <v>43580</v>
      </c>
      <c r="C148" s="285">
        <v>122.17053837154654</v>
      </c>
      <c r="D148" s="285">
        <v>128.77123560535</v>
      </c>
      <c r="E148" s="181">
        <f t="shared" si="5"/>
        <v>122.17053837154654</v>
      </c>
      <c r="F148" s="209" t="str">
        <f t="shared" si="6"/>
        <v/>
      </c>
    </row>
    <row r="149" spans="1:6">
      <c r="A149">
        <v>146</v>
      </c>
      <c r="B149" s="46">
        <v>43581</v>
      </c>
      <c r="C149" s="285">
        <v>133.72763285954653</v>
      </c>
      <c r="D149" s="285">
        <v>128.77123560535</v>
      </c>
      <c r="E149" s="181">
        <f t="shared" si="5"/>
        <v>128.77123560535</v>
      </c>
      <c r="F149" s="209" t="str">
        <f t="shared" si="6"/>
        <v/>
      </c>
    </row>
    <row r="150" spans="1:6">
      <c r="A150">
        <v>147</v>
      </c>
      <c r="B150" s="46">
        <v>43582</v>
      </c>
      <c r="C150" s="285">
        <v>132.62970923154842</v>
      </c>
      <c r="D150" s="285">
        <v>128.77123560535</v>
      </c>
      <c r="E150" s="181">
        <f t="shared" si="5"/>
        <v>128.77123560535</v>
      </c>
      <c r="F150" s="209" t="str">
        <f t="shared" si="6"/>
        <v/>
      </c>
    </row>
    <row r="151" spans="1:6">
      <c r="A151">
        <v>148</v>
      </c>
      <c r="B151" s="46">
        <v>43583</v>
      </c>
      <c r="C151" s="285">
        <v>124.85596989154841</v>
      </c>
      <c r="D151" s="285">
        <v>128.77123560535</v>
      </c>
      <c r="E151" s="181">
        <f t="shared" si="5"/>
        <v>124.85596989154841</v>
      </c>
      <c r="F151" s="209" t="str">
        <f t="shared" si="6"/>
        <v/>
      </c>
    </row>
    <row r="152" spans="1:6">
      <c r="A152">
        <v>149</v>
      </c>
      <c r="B152" s="46">
        <v>43584</v>
      </c>
      <c r="C152" s="285">
        <v>140.27391316354652</v>
      </c>
      <c r="D152" s="285">
        <v>128.77123560535</v>
      </c>
      <c r="E152" s="181">
        <f t="shared" si="5"/>
        <v>128.77123560535</v>
      </c>
      <c r="F152" s="209" t="str">
        <f t="shared" si="6"/>
        <v/>
      </c>
    </row>
    <row r="153" spans="1:6">
      <c r="A153">
        <v>150</v>
      </c>
      <c r="B153" s="46">
        <v>43585</v>
      </c>
      <c r="C153" s="285">
        <v>140.00868754754842</v>
      </c>
      <c r="D153" s="285">
        <v>128.77123560535</v>
      </c>
      <c r="E153" s="181">
        <f t="shared" si="5"/>
        <v>128.77123560535</v>
      </c>
      <c r="F153" s="209" t="str">
        <f t="shared" si="6"/>
        <v/>
      </c>
    </row>
    <row r="154" spans="1:6">
      <c r="A154">
        <v>151</v>
      </c>
      <c r="B154" s="46">
        <v>43586</v>
      </c>
      <c r="C154" s="285">
        <v>105.74095903098869</v>
      </c>
      <c r="D154" s="285">
        <v>105.65373260469035</v>
      </c>
      <c r="E154" s="181">
        <f t="shared" si="5"/>
        <v>105.65373260469035</v>
      </c>
      <c r="F154" s="209" t="str">
        <f t="shared" si="6"/>
        <v/>
      </c>
    </row>
    <row r="155" spans="1:6">
      <c r="A155">
        <v>152</v>
      </c>
      <c r="B155" s="46">
        <v>43587</v>
      </c>
      <c r="C155" s="285">
        <v>100.09574057899054</v>
      </c>
      <c r="D155" s="285">
        <v>105.65373260469035</v>
      </c>
      <c r="E155" s="181">
        <f t="shared" si="5"/>
        <v>100.09574057899054</v>
      </c>
      <c r="F155" s="209" t="str">
        <f t="shared" si="6"/>
        <v/>
      </c>
    </row>
    <row r="156" spans="1:6">
      <c r="A156">
        <v>153</v>
      </c>
      <c r="B156" s="46">
        <v>43588</v>
      </c>
      <c r="C156" s="285">
        <v>102.83984928298868</v>
      </c>
      <c r="D156" s="285">
        <v>105.65373260469035</v>
      </c>
      <c r="E156" s="181">
        <f t="shared" si="5"/>
        <v>102.83984928298868</v>
      </c>
      <c r="F156" s="209" t="str">
        <f t="shared" si="6"/>
        <v/>
      </c>
    </row>
    <row r="157" spans="1:6">
      <c r="A157">
        <v>154</v>
      </c>
      <c r="B157" s="46">
        <v>43589</v>
      </c>
      <c r="C157" s="285">
        <v>101.27127545099053</v>
      </c>
      <c r="D157" s="285">
        <v>105.65373260469035</v>
      </c>
      <c r="E157" s="181">
        <f t="shared" si="5"/>
        <v>101.27127545099053</v>
      </c>
      <c r="F157" s="209" t="str">
        <f t="shared" si="6"/>
        <v/>
      </c>
    </row>
    <row r="158" spans="1:6">
      <c r="A158">
        <v>155</v>
      </c>
      <c r="B158" s="46">
        <v>43590</v>
      </c>
      <c r="C158" s="285">
        <v>93.971423794990557</v>
      </c>
      <c r="D158" s="285">
        <v>105.65373260469035</v>
      </c>
      <c r="E158" s="181">
        <f t="shared" si="5"/>
        <v>93.971423794990557</v>
      </c>
      <c r="F158" s="209" t="str">
        <f t="shared" si="6"/>
        <v/>
      </c>
    </row>
    <row r="159" spans="1:6">
      <c r="A159">
        <v>156</v>
      </c>
      <c r="B159" s="46">
        <v>43591</v>
      </c>
      <c r="C159" s="285">
        <v>113.61467043498868</v>
      </c>
      <c r="D159" s="285">
        <v>105.65373260469035</v>
      </c>
      <c r="E159" s="181">
        <f t="shared" si="5"/>
        <v>105.65373260469035</v>
      </c>
      <c r="F159" s="209" t="str">
        <f t="shared" si="6"/>
        <v/>
      </c>
    </row>
    <row r="160" spans="1:6">
      <c r="A160">
        <v>157</v>
      </c>
      <c r="B160" s="46">
        <v>43592</v>
      </c>
      <c r="C160" s="285">
        <v>103.96177035099053</v>
      </c>
      <c r="D160" s="285">
        <v>105.65373260469035</v>
      </c>
      <c r="E160" s="181">
        <f t="shared" si="5"/>
        <v>103.96177035099053</v>
      </c>
      <c r="F160" s="209" t="str">
        <f t="shared" si="6"/>
        <v/>
      </c>
    </row>
    <row r="161" spans="1:7">
      <c r="A161">
        <v>158</v>
      </c>
      <c r="B161" s="46">
        <v>43593</v>
      </c>
      <c r="C161" s="285">
        <v>66.221452729308808</v>
      </c>
      <c r="D161" s="285">
        <v>105.65373260469035</v>
      </c>
      <c r="E161" s="181">
        <f t="shared" si="5"/>
        <v>66.221452729308808</v>
      </c>
      <c r="F161" s="209" t="str">
        <f t="shared" si="6"/>
        <v/>
      </c>
    </row>
    <row r="162" spans="1:7">
      <c r="A162">
        <v>159</v>
      </c>
      <c r="B162" s="46">
        <v>43594</v>
      </c>
      <c r="C162" s="285">
        <v>74.446018409306944</v>
      </c>
      <c r="D162" s="285">
        <v>105.65373260469035</v>
      </c>
      <c r="E162" s="181">
        <f t="shared" si="5"/>
        <v>74.446018409306944</v>
      </c>
      <c r="F162" s="209" t="str">
        <f t="shared" si="6"/>
        <v/>
      </c>
    </row>
    <row r="163" spans="1:7">
      <c r="A163">
        <v>160</v>
      </c>
      <c r="B163" s="46">
        <v>43595</v>
      </c>
      <c r="C163" s="285">
        <v>83.660476461306928</v>
      </c>
      <c r="D163" s="285">
        <v>105.65373260469035</v>
      </c>
      <c r="E163" s="181">
        <f t="shared" si="5"/>
        <v>83.660476461306928</v>
      </c>
      <c r="F163" s="209" t="str">
        <f t="shared" si="6"/>
        <v/>
      </c>
    </row>
    <row r="164" spans="1:7">
      <c r="A164">
        <v>161</v>
      </c>
      <c r="B164" s="46">
        <v>43596</v>
      </c>
      <c r="C164" s="285">
        <v>75.973093089306929</v>
      </c>
      <c r="D164" s="285">
        <v>105.65373260469035</v>
      </c>
      <c r="E164" s="181">
        <f t="shared" si="5"/>
        <v>75.973093089306929</v>
      </c>
      <c r="F164" s="209" t="str">
        <f t="shared" si="6"/>
        <v/>
      </c>
    </row>
    <row r="165" spans="1:7">
      <c r="A165">
        <v>162</v>
      </c>
      <c r="B165" s="46">
        <v>43597</v>
      </c>
      <c r="C165" s="285">
        <v>66.319120533306943</v>
      </c>
      <c r="D165" s="285">
        <v>105.65373260469035</v>
      </c>
      <c r="E165" s="181">
        <f t="shared" si="5"/>
        <v>66.319120533306943</v>
      </c>
      <c r="F165" s="209" t="str">
        <f t="shared" si="6"/>
        <v/>
      </c>
    </row>
    <row r="166" spans="1:7">
      <c r="A166">
        <v>163</v>
      </c>
      <c r="B166" s="46">
        <v>43598</v>
      </c>
      <c r="C166" s="285">
        <v>71.987889609306933</v>
      </c>
      <c r="D166" s="285">
        <v>105.65373260469035</v>
      </c>
      <c r="E166" s="181">
        <f t="shared" si="5"/>
        <v>71.987889609306933</v>
      </c>
      <c r="F166" s="209" t="str">
        <f t="shared" si="6"/>
        <v/>
      </c>
    </row>
    <row r="167" spans="1:7">
      <c r="A167">
        <v>164</v>
      </c>
      <c r="B167" s="46">
        <v>43599</v>
      </c>
      <c r="C167" s="285">
        <v>75.311342213308791</v>
      </c>
      <c r="D167" s="285">
        <v>105.65373260469035</v>
      </c>
      <c r="E167" s="181">
        <f t="shared" si="5"/>
        <v>75.311342213308791</v>
      </c>
      <c r="F167" s="209" t="str">
        <f t="shared" si="6"/>
        <v/>
      </c>
    </row>
    <row r="168" spans="1:7">
      <c r="A168">
        <v>165</v>
      </c>
      <c r="B168" s="46">
        <v>43600</v>
      </c>
      <c r="C168" s="285">
        <v>74.37980817415513</v>
      </c>
      <c r="D168" s="285">
        <v>105.65373260469035</v>
      </c>
      <c r="E168" s="181">
        <f t="shared" si="5"/>
        <v>74.37980817415513</v>
      </c>
      <c r="F168" s="209" t="str">
        <f t="shared" si="6"/>
        <v>M</v>
      </c>
      <c r="G168" s="210">
        <f>IF(DAY(B168)=15,D168,"")</f>
        <v>105.65373260469035</v>
      </c>
    </row>
    <row r="169" spans="1:7">
      <c r="A169">
        <v>166</v>
      </c>
      <c r="B169" s="46">
        <v>43601</v>
      </c>
      <c r="C169" s="285">
        <v>68.006816766156987</v>
      </c>
      <c r="D169" s="285">
        <v>105.65373260469035</v>
      </c>
      <c r="E169" s="181">
        <f t="shared" si="5"/>
        <v>68.006816766156987</v>
      </c>
      <c r="F169" s="209" t="str">
        <f t="shared" si="6"/>
        <v/>
      </c>
    </row>
    <row r="170" spans="1:7">
      <c r="A170">
        <v>167</v>
      </c>
      <c r="B170" s="46">
        <v>43602</v>
      </c>
      <c r="C170" s="285">
        <v>65.738982786156996</v>
      </c>
      <c r="D170" s="285">
        <v>105.65373260469035</v>
      </c>
      <c r="E170" s="181">
        <f t="shared" si="5"/>
        <v>65.738982786156996</v>
      </c>
      <c r="F170" s="209" t="str">
        <f t="shared" si="6"/>
        <v/>
      </c>
      <c r="G170" s="210" t="str">
        <f t="shared" ref="G170" si="8">IF(DAY(B170)=15,D170,"")</f>
        <v/>
      </c>
    </row>
    <row r="171" spans="1:7">
      <c r="A171">
        <v>168</v>
      </c>
      <c r="B171" s="46">
        <v>43603</v>
      </c>
      <c r="C171" s="285">
        <v>64.549248354155139</v>
      </c>
      <c r="D171" s="285">
        <v>105.65373260469035</v>
      </c>
      <c r="E171" s="181">
        <f t="shared" si="5"/>
        <v>64.549248354155139</v>
      </c>
      <c r="F171" s="209" t="str">
        <f t="shared" si="6"/>
        <v/>
      </c>
    </row>
    <row r="172" spans="1:7">
      <c r="A172">
        <v>169</v>
      </c>
      <c r="B172" s="46">
        <v>43604</v>
      </c>
      <c r="C172" s="285">
        <v>60.67698176215886</v>
      </c>
      <c r="D172" s="285">
        <v>105.65373260469035</v>
      </c>
      <c r="E172" s="181">
        <f t="shared" si="5"/>
        <v>60.67698176215886</v>
      </c>
      <c r="F172" s="209" t="str">
        <f t="shared" si="6"/>
        <v/>
      </c>
    </row>
    <row r="173" spans="1:7">
      <c r="A173">
        <v>170</v>
      </c>
      <c r="B173" s="46">
        <v>43605</v>
      </c>
      <c r="C173" s="285">
        <v>72.64989890615513</v>
      </c>
      <c r="D173" s="285">
        <v>105.65373260469035</v>
      </c>
      <c r="E173" s="181">
        <f t="shared" si="5"/>
        <v>72.64989890615513</v>
      </c>
      <c r="F173" s="209" t="str">
        <f t="shared" si="6"/>
        <v/>
      </c>
    </row>
    <row r="174" spans="1:7">
      <c r="A174">
        <v>171</v>
      </c>
      <c r="B174" s="46">
        <v>43606</v>
      </c>
      <c r="C174" s="285">
        <v>76.313361826155131</v>
      </c>
      <c r="D174" s="285">
        <v>105.65373260469035</v>
      </c>
      <c r="E174" s="181">
        <f t="shared" si="5"/>
        <v>76.313361826155131</v>
      </c>
      <c r="F174" s="209" t="str">
        <f t="shared" si="6"/>
        <v/>
      </c>
    </row>
    <row r="175" spans="1:7">
      <c r="A175">
        <v>172</v>
      </c>
      <c r="B175" s="46">
        <v>43607</v>
      </c>
      <c r="C175" s="285">
        <v>66.067444093736299</v>
      </c>
      <c r="D175" s="285">
        <v>105.65373260469035</v>
      </c>
      <c r="E175" s="181">
        <f t="shared" si="5"/>
        <v>66.067444093736299</v>
      </c>
      <c r="F175" s="209" t="str">
        <f t="shared" si="6"/>
        <v/>
      </c>
    </row>
    <row r="176" spans="1:7">
      <c r="A176">
        <v>173</v>
      </c>
      <c r="B176" s="46">
        <v>43608</v>
      </c>
      <c r="C176" s="285">
        <v>60.102267253734432</v>
      </c>
      <c r="D176" s="285">
        <v>105.65373260469035</v>
      </c>
      <c r="E176" s="181">
        <f t="shared" si="5"/>
        <v>60.102267253734432</v>
      </c>
      <c r="F176" s="209" t="str">
        <f t="shared" si="6"/>
        <v/>
      </c>
    </row>
    <row r="177" spans="1:6">
      <c r="A177">
        <v>174</v>
      </c>
      <c r="B177" s="46">
        <v>43609</v>
      </c>
      <c r="C177" s="285">
        <v>59.22299280573629</v>
      </c>
      <c r="D177" s="285">
        <v>105.65373260469035</v>
      </c>
      <c r="E177" s="181">
        <f t="shared" si="5"/>
        <v>59.22299280573629</v>
      </c>
      <c r="F177" s="209" t="str">
        <f t="shared" si="6"/>
        <v/>
      </c>
    </row>
    <row r="178" spans="1:6">
      <c r="A178">
        <v>175</v>
      </c>
      <c r="B178" s="46">
        <v>43610</v>
      </c>
      <c r="C178" s="285">
        <v>57.431285131732572</v>
      </c>
      <c r="D178" s="285">
        <v>105.65373260469035</v>
      </c>
      <c r="E178" s="181">
        <f t="shared" si="5"/>
        <v>57.431285131732572</v>
      </c>
      <c r="F178" s="209" t="str">
        <f t="shared" si="6"/>
        <v/>
      </c>
    </row>
    <row r="179" spans="1:6">
      <c r="A179">
        <v>176</v>
      </c>
      <c r="B179" s="46">
        <v>43611</v>
      </c>
      <c r="C179" s="285">
        <v>54.664174471738157</v>
      </c>
      <c r="D179" s="285">
        <v>105.65373260469035</v>
      </c>
      <c r="E179" s="181">
        <f t="shared" si="5"/>
        <v>54.664174471738157</v>
      </c>
      <c r="F179" s="209" t="str">
        <f t="shared" si="6"/>
        <v/>
      </c>
    </row>
    <row r="180" spans="1:6">
      <c r="A180">
        <v>177</v>
      </c>
      <c r="B180" s="46">
        <v>43612</v>
      </c>
      <c r="C180" s="285">
        <v>58.471831127732571</v>
      </c>
      <c r="D180" s="285">
        <v>105.65373260469035</v>
      </c>
      <c r="E180" s="181">
        <f t="shared" si="5"/>
        <v>58.471831127732571</v>
      </c>
      <c r="F180" s="209" t="str">
        <f t="shared" si="6"/>
        <v/>
      </c>
    </row>
    <row r="181" spans="1:6">
      <c r="A181">
        <v>178</v>
      </c>
      <c r="B181" s="46">
        <v>43613</v>
      </c>
      <c r="C181" s="285">
        <v>53.417569333734434</v>
      </c>
      <c r="D181" s="285">
        <v>105.65373260469035</v>
      </c>
      <c r="E181" s="181">
        <f t="shared" si="5"/>
        <v>53.417569333734434</v>
      </c>
      <c r="F181" s="209" t="str">
        <f t="shared" si="6"/>
        <v/>
      </c>
    </row>
    <row r="182" spans="1:6">
      <c r="A182">
        <v>179</v>
      </c>
      <c r="B182" s="46">
        <v>43614</v>
      </c>
      <c r="C182" s="285">
        <v>47.003361174643345</v>
      </c>
      <c r="D182" s="285">
        <v>105.65373260469035</v>
      </c>
      <c r="E182" s="181">
        <f t="shared" si="5"/>
        <v>47.003361174643345</v>
      </c>
      <c r="F182" s="209" t="str">
        <f t="shared" si="6"/>
        <v/>
      </c>
    </row>
    <row r="183" spans="1:6">
      <c r="A183">
        <v>180</v>
      </c>
      <c r="B183" s="46">
        <v>43615</v>
      </c>
      <c r="C183" s="285">
        <v>47.415259922641482</v>
      </c>
      <c r="D183" s="285">
        <v>105.65373260469035</v>
      </c>
      <c r="E183" s="181">
        <f t="shared" si="5"/>
        <v>47.415259922641482</v>
      </c>
      <c r="F183" s="209" t="str">
        <f t="shared" si="6"/>
        <v/>
      </c>
    </row>
    <row r="184" spans="1:6">
      <c r="A184">
        <v>181</v>
      </c>
      <c r="B184" s="46">
        <v>43616</v>
      </c>
      <c r="C184" s="285">
        <v>54.139165124643348</v>
      </c>
      <c r="D184" s="285">
        <v>105.65373260469035</v>
      </c>
      <c r="E184" s="181">
        <f t="shared" si="5"/>
        <v>54.139165124643348</v>
      </c>
      <c r="F184" s="209" t="str">
        <f t="shared" si="6"/>
        <v/>
      </c>
    </row>
    <row r="185" spans="1:6">
      <c r="A185">
        <v>182</v>
      </c>
      <c r="B185" s="46">
        <v>43617</v>
      </c>
      <c r="C185" s="285">
        <v>46.030866642641485</v>
      </c>
      <c r="D185" s="285">
        <v>65.277965296213353</v>
      </c>
      <c r="E185" s="181">
        <f t="shared" si="5"/>
        <v>46.030866642641485</v>
      </c>
      <c r="F185" s="209" t="str">
        <f t="shared" si="6"/>
        <v/>
      </c>
    </row>
    <row r="186" spans="1:6">
      <c r="A186">
        <v>183</v>
      </c>
      <c r="B186" s="46">
        <v>43618</v>
      </c>
      <c r="C186" s="285">
        <v>41.260838216643343</v>
      </c>
      <c r="D186" s="285">
        <v>65.277965296213353</v>
      </c>
      <c r="E186" s="181">
        <f t="shared" si="5"/>
        <v>41.260838216643343</v>
      </c>
      <c r="F186" s="209" t="str">
        <f t="shared" si="6"/>
        <v/>
      </c>
    </row>
    <row r="187" spans="1:6">
      <c r="A187">
        <v>184</v>
      </c>
      <c r="B187" s="46">
        <v>43619</v>
      </c>
      <c r="C187" s="285">
        <v>49.642918986643345</v>
      </c>
      <c r="D187" s="285">
        <v>65.277965296213353</v>
      </c>
      <c r="E187" s="181">
        <f t="shared" si="5"/>
        <v>49.642918986643345</v>
      </c>
      <c r="F187" s="209" t="str">
        <f t="shared" si="6"/>
        <v/>
      </c>
    </row>
    <row r="188" spans="1:6">
      <c r="A188">
        <v>185</v>
      </c>
      <c r="B188" s="46">
        <v>43620</v>
      </c>
      <c r="C188" s="285">
        <v>42.165727116641477</v>
      </c>
      <c r="D188" s="285">
        <v>65.277965296213353</v>
      </c>
      <c r="E188" s="181">
        <f t="shared" si="5"/>
        <v>42.165727116641477</v>
      </c>
      <c r="F188" s="209" t="str">
        <f t="shared" si="6"/>
        <v/>
      </c>
    </row>
    <row r="189" spans="1:6">
      <c r="A189">
        <v>186</v>
      </c>
      <c r="B189" s="46">
        <v>43621</v>
      </c>
      <c r="C189" s="285">
        <v>44.137358011716373</v>
      </c>
      <c r="D189" s="285">
        <v>65.277965296213353</v>
      </c>
      <c r="E189" s="181">
        <f t="shared" si="5"/>
        <v>44.137358011716373</v>
      </c>
      <c r="F189" s="209" t="str">
        <f t="shared" si="6"/>
        <v/>
      </c>
    </row>
    <row r="190" spans="1:6">
      <c r="A190">
        <v>187</v>
      </c>
      <c r="B190" s="46">
        <v>43622</v>
      </c>
      <c r="C190" s="285">
        <v>41.289462523716381</v>
      </c>
      <c r="D190" s="285">
        <v>65.277965296213353</v>
      </c>
      <c r="E190" s="181">
        <f t="shared" si="5"/>
        <v>41.289462523716381</v>
      </c>
      <c r="F190" s="209" t="str">
        <f t="shared" si="6"/>
        <v/>
      </c>
    </row>
    <row r="191" spans="1:6">
      <c r="A191">
        <v>188</v>
      </c>
      <c r="B191" s="46">
        <v>43623</v>
      </c>
      <c r="C191" s="285">
        <v>46.547876791718238</v>
      </c>
      <c r="D191" s="285">
        <v>65.277965296213353</v>
      </c>
      <c r="E191" s="181">
        <f t="shared" si="5"/>
        <v>46.547876791718238</v>
      </c>
      <c r="F191" s="209" t="str">
        <f t="shared" si="6"/>
        <v/>
      </c>
    </row>
    <row r="192" spans="1:6">
      <c r="A192">
        <v>189</v>
      </c>
      <c r="B192" s="46">
        <v>43624</v>
      </c>
      <c r="C192" s="285">
        <v>36.381198447716379</v>
      </c>
      <c r="D192" s="285">
        <v>65.277965296213353</v>
      </c>
      <c r="E192" s="181">
        <f t="shared" si="5"/>
        <v>36.381198447716379</v>
      </c>
      <c r="F192" s="209" t="str">
        <f t="shared" si="6"/>
        <v/>
      </c>
    </row>
    <row r="193" spans="1:7">
      <c r="A193">
        <v>190</v>
      </c>
      <c r="B193" s="46">
        <v>43625</v>
      </c>
      <c r="C193" s="285">
        <v>36.220912243718239</v>
      </c>
      <c r="D193" s="285">
        <v>65.277965296213353</v>
      </c>
      <c r="E193" s="181">
        <f t="shared" si="5"/>
        <v>36.220912243718239</v>
      </c>
      <c r="F193" s="209" t="str">
        <f t="shared" si="6"/>
        <v/>
      </c>
    </row>
    <row r="194" spans="1:7">
      <c r="A194">
        <v>191</v>
      </c>
      <c r="B194" s="46">
        <v>43626</v>
      </c>
      <c r="C194" s="285">
        <v>34.958879279718239</v>
      </c>
      <c r="D194" s="285">
        <v>65.277965296213353</v>
      </c>
      <c r="E194" s="181">
        <f t="shared" si="5"/>
        <v>34.958879279718239</v>
      </c>
      <c r="F194" s="209" t="str">
        <f t="shared" si="6"/>
        <v/>
      </c>
    </row>
    <row r="195" spans="1:7">
      <c r="A195">
        <v>192</v>
      </c>
      <c r="B195" s="46">
        <v>43627</v>
      </c>
      <c r="C195" s="285">
        <v>40.602532139716381</v>
      </c>
      <c r="D195" s="285">
        <v>65.277965296213353</v>
      </c>
      <c r="E195" s="181">
        <f t="shared" si="5"/>
        <v>40.602532139716381</v>
      </c>
      <c r="F195" s="209" t="str">
        <f t="shared" si="6"/>
        <v/>
      </c>
    </row>
    <row r="196" spans="1:7">
      <c r="A196">
        <v>193</v>
      </c>
      <c r="B196" s="46">
        <v>43628</v>
      </c>
      <c r="C196" s="285">
        <v>39.246824186815594</v>
      </c>
      <c r="D196" s="285">
        <v>65.277965296213353</v>
      </c>
      <c r="E196" s="181">
        <f t="shared" ref="E196:E259" si="9">IF(C196&lt;D196,C196,D196)</f>
        <v>39.246824186815594</v>
      </c>
      <c r="F196" s="209" t="str">
        <f t="shared" ref="F196:F259" si="10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43629</v>
      </c>
      <c r="C197" s="285">
        <v>28.642151794815597</v>
      </c>
      <c r="D197" s="285">
        <v>65.277965296213353</v>
      </c>
      <c r="E197" s="181">
        <f t="shared" si="9"/>
        <v>28.642151794815597</v>
      </c>
      <c r="F197" s="209" t="str">
        <f t="shared" si="10"/>
        <v/>
      </c>
    </row>
    <row r="198" spans="1:7">
      <c r="A198">
        <v>195</v>
      </c>
      <c r="B198" s="46">
        <v>43630</v>
      </c>
      <c r="C198" s="285">
        <v>32.449437178815593</v>
      </c>
      <c r="D198" s="285">
        <v>65.277965296213353</v>
      </c>
      <c r="E198" s="181">
        <f t="shared" si="9"/>
        <v>32.449437178815593</v>
      </c>
      <c r="F198" s="209" t="str">
        <f t="shared" si="10"/>
        <v/>
      </c>
      <c r="G198" s="210" t="str">
        <f t="shared" ref="G198" si="11">IF(DAY(B198)=15,D198,"")</f>
        <v/>
      </c>
    </row>
    <row r="199" spans="1:7">
      <c r="A199">
        <v>196</v>
      </c>
      <c r="B199" s="46">
        <v>43631</v>
      </c>
      <c r="C199" s="285">
        <v>29.766949250813735</v>
      </c>
      <c r="D199" s="285">
        <v>65.277965296213353</v>
      </c>
      <c r="E199" s="181">
        <f t="shared" si="9"/>
        <v>29.766949250813735</v>
      </c>
      <c r="F199" s="209" t="str">
        <f t="shared" si="10"/>
        <v>J</v>
      </c>
      <c r="G199" s="210">
        <f>IF(DAY(B199)=15,D199,"")</f>
        <v>65.277965296213353</v>
      </c>
    </row>
    <row r="200" spans="1:7">
      <c r="A200">
        <v>197</v>
      </c>
      <c r="B200" s="46">
        <v>43632</v>
      </c>
      <c r="C200" s="285">
        <v>32.916627950815595</v>
      </c>
      <c r="D200" s="285">
        <v>65.277965296213353</v>
      </c>
      <c r="E200" s="181">
        <f t="shared" si="9"/>
        <v>32.916627950815595</v>
      </c>
      <c r="F200" s="209" t="str">
        <f t="shared" si="10"/>
        <v/>
      </c>
      <c r="G200" s="210" t="str">
        <f>IF(DAY(B200)=15,D200,"")</f>
        <v/>
      </c>
    </row>
    <row r="201" spans="1:7">
      <c r="A201">
        <v>198</v>
      </c>
      <c r="B201" s="46">
        <v>43633</v>
      </c>
      <c r="C201" s="285">
        <v>39.099709578817453</v>
      </c>
      <c r="D201" s="285">
        <v>65.277965296213353</v>
      </c>
      <c r="E201" s="181">
        <f t="shared" si="9"/>
        <v>39.099709578817453</v>
      </c>
      <c r="F201" s="209" t="str">
        <f t="shared" si="10"/>
        <v/>
      </c>
      <c r="G201" s="210" t="str">
        <f>IF(DAY(B201)=15,D201,"")</f>
        <v/>
      </c>
    </row>
    <row r="202" spans="1:7">
      <c r="A202">
        <v>199</v>
      </c>
      <c r="B202" s="46">
        <v>43634</v>
      </c>
      <c r="C202" s="285">
        <v>30.571841338813734</v>
      </c>
      <c r="D202" s="285">
        <v>65.277965296213353</v>
      </c>
      <c r="E202" s="181">
        <f t="shared" si="9"/>
        <v>30.571841338813734</v>
      </c>
      <c r="F202" s="209" t="str">
        <f t="shared" si="10"/>
        <v/>
      </c>
    </row>
    <row r="203" spans="1:7">
      <c r="A203">
        <v>200</v>
      </c>
      <c r="B203" s="46">
        <v>43635</v>
      </c>
      <c r="C203" s="285">
        <v>41.691236397653192</v>
      </c>
      <c r="D203" s="285">
        <v>65.277965296213353</v>
      </c>
      <c r="E203" s="181">
        <f t="shared" si="9"/>
        <v>41.691236397653192</v>
      </c>
      <c r="F203" s="209" t="str">
        <f t="shared" si="10"/>
        <v/>
      </c>
    </row>
    <row r="204" spans="1:7">
      <c r="A204">
        <v>201</v>
      </c>
      <c r="B204" s="46">
        <v>43636</v>
      </c>
      <c r="C204" s="285">
        <v>34.646901205653194</v>
      </c>
      <c r="D204" s="285">
        <v>65.277965296213353</v>
      </c>
      <c r="E204" s="181">
        <f t="shared" si="9"/>
        <v>34.646901205653194</v>
      </c>
      <c r="F204" s="209" t="str">
        <f t="shared" si="10"/>
        <v/>
      </c>
    </row>
    <row r="205" spans="1:7">
      <c r="A205">
        <v>202</v>
      </c>
      <c r="B205" s="46">
        <v>43637</v>
      </c>
      <c r="C205" s="285">
        <v>40.428434057653199</v>
      </c>
      <c r="D205" s="285">
        <v>65.277965296213353</v>
      </c>
      <c r="E205" s="181">
        <f t="shared" si="9"/>
        <v>40.428434057653199</v>
      </c>
      <c r="F205" s="209" t="str">
        <f t="shared" si="10"/>
        <v/>
      </c>
    </row>
    <row r="206" spans="1:7">
      <c r="A206">
        <v>203</v>
      </c>
      <c r="B206" s="46">
        <v>43638</v>
      </c>
      <c r="C206" s="285">
        <v>28.841690745655061</v>
      </c>
      <c r="D206" s="285">
        <v>65.277965296213353</v>
      </c>
      <c r="E206" s="181">
        <f t="shared" si="9"/>
        <v>28.841690745655061</v>
      </c>
      <c r="F206" s="209" t="str">
        <f t="shared" si="10"/>
        <v/>
      </c>
    </row>
    <row r="207" spans="1:7">
      <c r="A207">
        <v>204</v>
      </c>
      <c r="B207" s="46">
        <v>43639</v>
      </c>
      <c r="C207" s="285">
        <v>27.14175294765133</v>
      </c>
      <c r="D207" s="285">
        <v>65.277965296213353</v>
      </c>
      <c r="E207" s="181">
        <f t="shared" si="9"/>
        <v>27.14175294765133</v>
      </c>
      <c r="F207" s="209" t="str">
        <f t="shared" si="10"/>
        <v/>
      </c>
    </row>
    <row r="208" spans="1:7">
      <c r="A208">
        <v>205</v>
      </c>
      <c r="B208" s="46">
        <v>43640</v>
      </c>
      <c r="C208" s="285">
        <v>32.885672653653195</v>
      </c>
      <c r="D208" s="285">
        <v>65.277965296213353</v>
      </c>
      <c r="E208" s="181">
        <f t="shared" si="9"/>
        <v>32.885672653653195</v>
      </c>
      <c r="F208" s="209" t="str">
        <f t="shared" si="10"/>
        <v/>
      </c>
    </row>
    <row r="209" spans="1:6">
      <c r="A209">
        <v>206</v>
      </c>
      <c r="B209" s="46">
        <v>43641</v>
      </c>
      <c r="C209" s="285">
        <v>46.071194117655061</v>
      </c>
      <c r="D209" s="285">
        <v>65.277965296213353</v>
      </c>
      <c r="E209" s="181">
        <f t="shared" si="9"/>
        <v>46.071194117655061</v>
      </c>
      <c r="F209" s="209" t="str">
        <f t="shared" si="10"/>
        <v/>
      </c>
    </row>
    <row r="210" spans="1:6">
      <c r="A210">
        <v>207</v>
      </c>
      <c r="B210" s="46">
        <v>43642</v>
      </c>
      <c r="C210" s="285">
        <v>29.630021615292456</v>
      </c>
      <c r="D210" s="285">
        <v>65.277965296213353</v>
      </c>
      <c r="E210" s="181">
        <f t="shared" si="9"/>
        <v>29.630021615292456</v>
      </c>
      <c r="F210" s="209" t="str">
        <f t="shared" si="10"/>
        <v/>
      </c>
    </row>
    <row r="211" spans="1:6">
      <c r="A211">
        <v>208</v>
      </c>
      <c r="B211" s="46">
        <v>43643</v>
      </c>
      <c r="C211" s="285">
        <v>25.563808355296175</v>
      </c>
      <c r="D211" s="285">
        <v>65.277965296213353</v>
      </c>
      <c r="E211" s="181">
        <f t="shared" si="9"/>
        <v>25.563808355296175</v>
      </c>
      <c r="F211" s="209" t="str">
        <f t="shared" si="10"/>
        <v/>
      </c>
    </row>
    <row r="212" spans="1:6">
      <c r="A212">
        <v>209</v>
      </c>
      <c r="B212" s="46">
        <v>43644</v>
      </c>
      <c r="C212" s="285">
        <v>35.391128383292454</v>
      </c>
      <c r="D212" s="285">
        <v>65.277965296213353</v>
      </c>
      <c r="E212" s="181">
        <f t="shared" si="9"/>
        <v>35.391128383292454</v>
      </c>
      <c r="F212" s="209" t="str">
        <f t="shared" si="10"/>
        <v/>
      </c>
    </row>
    <row r="213" spans="1:6">
      <c r="A213">
        <v>210</v>
      </c>
      <c r="B213" s="46">
        <v>43645</v>
      </c>
      <c r="C213" s="285">
        <v>19.282172891294316</v>
      </c>
      <c r="D213" s="285">
        <v>65.277965296213353</v>
      </c>
      <c r="E213" s="181">
        <f t="shared" si="9"/>
        <v>19.282172891294316</v>
      </c>
      <c r="F213" s="209" t="str">
        <f t="shared" si="10"/>
        <v/>
      </c>
    </row>
    <row r="214" spans="1:6">
      <c r="A214">
        <v>211</v>
      </c>
      <c r="B214" s="46">
        <v>43646</v>
      </c>
      <c r="C214" s="285">
        <v>18.156129819294314</v>
      </c>
      <c r="D214" s="285">
        <v>65.277965296213353</v>
      </c>
      <c r="E214" s="181">
        <f t="shared" si="9"/>
        <v>18.156129819294314</v>
      </c>
      <c r="F214" s="209" t="str">
        <f t="shared" si="10"/>
        <v/>
      </c>
    </row>
    <row r="215" spans="1:6">
      <c r="A215">
        <v>212</v>
      </c>
      <c r="B215" s="46">
        <v>43647</v>
      </c>
      <c r="C215" s="285">
        <v>29.004554399294314</v>
      </c>
      <c r="D215" s="285">
        <v>28.803266986435492</v>
      </c>
      <c r="E215" s="181">
        <f t="shared" si="9"/>
        <v>28.803266986435492</v>
      </c>
      <c r="F215" s="209" t="str">
        <f t="shared" si="10"/>
        <v/>
      </c>
    </row>
    <row r="216" spans="1:6">
      <c r="A216">
        <v>213</v>
      </c>
      <c r="B216" s="46">
        <v>43648</v>
      </c>
      <c r="C216" s="285">
        <v>23.819633133292452</v>
      </c>
      <c r="D216" s="285">
        <v>28.803266986435492</v>
      </c>
      <c r="E216" s="181">
        <f t="shared" si="9"/>
        <v>23.819633133292452</v>
      </c>
      <c r="F216" s="209" t="str">
        <f t="shared" si="10"/>
        <v/>
      </c>
    </row>
    <row r="217" spans="1:6">
      <c r="A217">
        <v>214</v>
      </c>
      <c r="B217" s="46">
        <v>43649</v>
      </c>
      <c r="C217" s="285">
        <v>24.155151294324533</v>
      </c>
      <c r="D217" s="285">
        <v>28.803266986435492</v>
      </c>
      <c r="E217" s="181">
        <f t="shared" si="9"/>
        <v>24.155151294324533</v>
      </c>
      <c r="F217" s="209" t="str">
        <f t="shared" si="10"/>
        <v/>
      </c>
    </row>
    <row r="218" spans="1:6">
      <c r="A218">
        <v>215</v>
      </c>
      <c r="B218" s="46">
        <v>43650</v>
      </c>
      <c r="C218" s="285">
        <v>24.502741548322664</v>
      </c>
      <c r="D218" s="285">
        <v>28.803266986435492</v>
      </c>
      <c r="E218" s="181">
        <f t="shared" si="9"/>
        <v>24.502741548322664</v>
      </c>
      <c r="F218" s="209" t="str">
        <f t="shared" si="10"/>
        <v/>
      </c>
    </row>
    <row r="219" spans="1:6">
      <c r="A219">
        <v>216</v>
      </c>
      <c r="B219" s="46">
        <v>43651</v>
      </c>
      <c r="C219" s="285">
        <v>40.249711306324535</v>
      </c>
      <c r="D219" s="285">
        <v>28.803266986435492</v>
      </c>
      <c r="E219" s="181">
        <f t="shared" si="9"/>
        <v>28.803266986435492</v>
      </c>
      <c r="F219" s="209" t="str">
        <f t="shared" si="10"/>
        <v/>
      </c>
    </row>
    <row r="220" spans="1:6">
      <c r="A220">
        <v>217</v>
      </c>
      <c r="B220" s="46">
        <v>43652</v>
      </c>
      <c r="C220" s="285">
        <v>13.159823920322669</v>
      </c>
      <c r="D220" s="285">
        <v>28.803266986435492</v>
      </c>
      <c r="E220" s="181">
        <f t="shared" si="9"/>
        <v>13.159823920322669</v>
      </c>
      <c r="F220" s="209" t="str">
        <f t="shared" si="10"/>
        <v/>
      </c>
    </row>
    <row r="221" spans="1:6">
      <c r="A221">
        <v>218</v>
      </c>
      <c r="B221" s="46">
        <v>43653</v>
      </c>
      <c r="C221" s="285">
        <v>7.1812377363226698</v>
      </c>
      <c r="D221" s="285">
        <v>28.803266986435492</v>
      </c>
      <c r="E221" s="181">
        <f t="shared" si="9"/>
        <v>7.1812377363226698</v>
      </c>
      <c r="F221" s="209" t="str">
        <f t="shared" si="10"/>
        <v/>
      </c>
    </row>
    <row r="222" spans="1:6">
      <c r="A222">
        <v>219</v>
      </c>
      <c r="B222" s="46">
        <v>43654</v>
      </c>
      <c r="C222" s="285">
        <v>8.1185563823245328</v>
      </c>
      <c r="D222" s="285">
        <v>28.803266986435492</v>
      </c>
      <c r="E222" s="181">
        <f t="shared" si="9"/>
        <v>8.1185563823245328</v>
      </c>
      <c r="F222" s="209" t="str">
        <f t="shared" si="10"/>
        <v/>
      </c>
    </row>
    <row r="223" spans="1:6">
      <c r="A223">
        <v>220</v>
      </c>
      <c r="B223" s="46">
        <v>43655</v>
      </c>
      <c r="C223" s="285">
        <v>10.871763208322664</v>
      </c>
      <c r="D223" s="285">
        <v>28.803266986435492</v>
      </c>
      <c r="E223" s="181">
        <f t="shared" si="9"/>
        <v>10.871763208322664</v>
      </c>
      <c r="F223" s="209" t="str">
        <f t="shared" si="10"/>
        <v/>
      </c>
    </row>
    <row r="224" spans="1:6">
      <c r="A224">
        <v>221</v>
      </c>
      <c r="B224" s="46">
        <v>43656</v>
      </c>
      <c r="C224" s="285">
        <v>20.648786620394116</v>
      </c>
      <c r="D224" s="285">
        <v>28.803266986435492</v>
      </c>
      <c r="E224" s="181">
        <f t="shared" si="9"/>
        <v>20.648786620394116</v>
      </c>
      <c r="F224" s="209" t="str">
        <f t="shared" si="10"/>
        <v/>
      </c>
    </row>
    <row r="225" spans="1:7">
      <c r="A225">
        <v>222</v>
      </c>
      <c r="B225" s="46">
        <v>43657</v>
      </c>
      <c r="C225" s="285">
        <v>33.778294168395973</v>
      </c>
      <c r="D225" s="285">
        <v>28.803266986435492</v>
      </c>
      <c r="E225" s="181">
        <f t="shared" si="9"/>
        <v>28.803266986435492</v>
      </c>
      <c r="F225" s="209" t="str">
        <f t="shared" si="10"/>
        <v/>
      </c>
    </row>
    <row r="226" spans="1:7">
      <c r="A226">
        <v>223</v>
      </c>
      <c r="B226" s="46">
        <v>43658</v>
      </c>
      <c r="C226" s="285">
        <v>47.432186778394112</v>
      </c>
      <c r="D226" s="285">
        <v>28.803266986435492</v>
      </c>
      <c r="E226" s="181">
        <f t="shared" si="9"/>
        <v>28.803266986435492</v>
      </c>
      <c r="F226" s="209" t="str">
        <f t="shared" si="10"/>
        <v/>
      </c>
    </row>
    <row r="227" spans="1:7">
      <c r="A227">
        <v>224</v>
      </c>
      <c r="B227" s="46">
        <v>43659</v>
      </c>
      <c r="C227" s="285">
        <v>12.599754404394115</v>
      </c>
      <c r="D227" s="285">
        <v>28.803266986435492</v>
      </c>
      <c r="E227" s="181">
        <f t="shared" si="9"/>
        <v>12.599754404394115</v>
      </c>
      <c r="F227" s="209" t="str">
        <f t="shared" si="10"/>
        <v/>
      </c>
    </row>
    <row r="228" spans="1:7">
      <c r="A228">
        <v>225</v>
      </c>
      <c r="B228" s="46">
        <v>43660</v>
      </c>
      <c r="C228" s="285">
        <v>5.0360476023959784</v>
      </c>
      <c r="D228" s="285">
        <v>28.803266986435492</v>
      </c>
      <c r="E228" s="181">
        <f t="shared" si="9"/>
        <v>5.0360476023959784</v>
      </c>
      <c r="F228" s="209" t="str">
        <f t="shared" si="10"/>
        <v/>
      </c>
    </row>
    <row r="229" spans="1:7">
      <c r="A229">
        <v>226</v>
      </c>
      <c r="B229" s="46">
        <v>43661</v>
      </c>
      <c r="C229" s="285">
        <v>21.666046580394113</v>
      </c>
      <c r="D229" s="285">
        <v>28.803266986435492</v>
      </c>
      <c r="E229" s="181">
        <f t="shared" si="9"/>
        <v>21.666046580394113</v>
      </c>
      <c r="F229" s="209" t="str">
        <f t="shared" si="10"/>
        <v>J</v>
      </c>
      <c r="G229" s="210">
        <f t="shared" ref="G229:G260" si="12">IF(DAY(B229)=15,D229,"")</f>
        <v>28.803266986435492</v>
      </c>
    </row>
    <row r="230" spans="1:7">
      <c r="A230">
        <v>227</v>
      </c>
      <c r="B230" s="46">
        <v>43662</v>
      </c>
      <c r="C230" s="285">
        <v>17.970372188394112</v>
      </c>
      <c r="D230" s="285">
        <v>28.803266986435492</v>
      </c>
      <c r="E230" s="181">
        <f t="shared" si="9"/>
        <v>17.970372188394112</v>
      </c>
      <c r="F230" s="209" t="str">
        <f t="shared" si="10"/>
        <v/>
      </c>
    </row>
    <row r="231" spans="1:7">
      <c r="A231">
        <v>228</v>
      </c>
      <c r="B231" s="46">
        <v>43663</v>
      </c>
      <c r="C231" s="285">
        <v>11.188179630132851</v>
      </c>
      <c r="D231" s="285">
        <v>28.803266986435492</v>
      </c>
      <c r="E231" s="181">
        <f t="shared" si="9"/>
        <v>11.188179630132851</v>
      </c>
      <c r="F231" s="209" t="str">
        <f t="shared" si="10"/>
        <v/>
      </c>
    </row>
    <row r="232" spans="1:7">
      <c r="A232">
        <v>229</v>
      </c>
      <c r="B232" s="46">
        <v>43664</v>
      </c>
      <c r="C232" s="285">
        <v>7.9384117181347102</v>
      </c>
      <c r="D232" s="285">
        <v>28.803266986435492</v>
      </c>
      <c r="E232" s="181">
        <f t="shared" si="9"/>
        <v>7.9384117181347102</v>
      </c>
      <c r="F232" s="209" t="str">
        <f t="shared" si="10"/>
        <v/>
      </c>
    </row>
    <row r="233" spans="1:7">
      <c r="A233">
        <v>230</v>
      </c>
      <c r="B233" s="46">
        <v>43665</v>
      </c>
      <c r="C233" s="285">
        <v>9.7740342381328524</v>
      </c>
      <c r="D233" s="285">
        <v>28.803266986435492</v>
      </c>
      <c r="E233" s="181">
        <f t="shared" si="9"/>
        <v>9.7740342381328524</v>
      </c>
      <c r="F233" s="209" t="str">
        <f t="shared" si="10"/>
        <v/>
      </c>
    </row>
    <row r="234" spans="1:7">
      <c r="A234">
        <v>231</v>
      </c>
      <c r="B234" s="46">
        <v>43666</v>
      </c>
      <c r="C234" s="285">
        <v>1.0667203581328504</v>
      </c>
      <c r="D234" s="285">
        <v>28.803266986435492</v>
      </c>
      <c r="E234" s="181">
        <f t="shared" si="9"/>
        <v>1.0667203581328504</v>
      </c>
      <c r="F234" s="209" t="str">
        <f t="shared" si="10"/>
        <v/>
      </c>
    </row>
    <row r="235" spans="1:7">
      <c r="A235">
        <v>232</v>
      </c>
      <c r="B235" s="46">
        <v>43667</v>
      </c>
      <c r="C235" s="285">
        <v>3.5535376941309877</v>
      </c>
      <c r="D235" s="285">
        <v>28.803266986435492</v>
      </c>
      <c r="E235" s="181">
        <f t="shared" si="9"/>
        <v>3.5535376941309877</v>
      </c>
      <c r="F235" s="209" t="str">
        <f t="shared" si="10"/>
        <v/>
      </c>
    </row>
    <row r="236" spans="1:7">
      <c r="A236">
        <v>233</v>
      </c>
      <c r="B236" s="46">
        <v>43668</v>
      </c>
      <c r="C236" s="285">
        <v>4.9813734981347153</v>
      </c>
      <c r="D236" s="285">
        <v>28.803266986435492</v>
      </c>
      <c r="E236" s="181">
        <f t="shared" si="9"/>
        <v>4.9813734981347153</v>
      </c>
      <c r="F236" s="209" t="str">
        <f t="shared" si="10"/>
        <v/>
      </c>
    </row>
    <row r="237" spans="1:7">
      <c r="A237">
        <v>234</v>
      </c>
      <c r="B237" s="46">
        <v>43669</v>
      </c>
      <c r="C237" s="285">
        <v>5.8243440341328458</v>
      </c>
      <c r="D237" s="285">
        <v>28.803266986435492</v>
      </c>
      <c r="E237" s="181">
        <f t="shared" si="9"/>
        <v>5.8243440341328458</v>
      </c>
      <c r="F237" s="209" t="str">
        <f t="shared" si="10"/>
        <v/>
      </c>
    </row>
    <row r="238" spans="1:7">
      <c r="A238">
        <v>235</v>
      </c>
      <c r="B238" s="46">
        <v>43670</v>
      </c>
      <c r="C238" s="285">
        <v>4.6091382504418874</v>
      </c>
      <c r="D238" s="285">
        <v>28.803266986435492</v>
      </c>
      <c r="E238" s="181">
        <f t="shared" si="9"/>
        <v>4.6091382504418874</v>
      </c>
      <c r="F238" s="209" t="str">
        <f t="shared" si="10"/>
        <v/>
      </c>
    </row>
    <row r="239" spans="1:7">
      <c r="A239">
        <v>236</v>
      </c>
      <c r="B239" s="46">
        <v>43671</v>
      </c>
      <c r="C239" s="285">
        <v>2.9597375264400254</v>
      </c>
      <c r="D239" s="285">
        <v>28.803266986435492</v>
      </c>
      <c r="E239" s="181">
        <f t="shared" si="9"/>
        <v>2.9597375264400254</v>
      </c>
      <c r="F239" s="209" t="str">
        <f t="shared" si="10"/>
        <v/>
      </c>
    </row>
    <row r="240" spans="1:7">
      <c r="A240">
        <v>237</v>
      </c>
      <c r="B240" s="46">
        <v>43672</v>
      </c>
      <c r="C240" s="285">
        <v>1.843541032440029</v>
      </c>
      <c r="D240" s="285">
        <v>28.803266986435492</v>
      </c>
      <c r="E240" s="181">
        <f t="shared" si="9"/>
        <v>1.843541032440029</v>
      </c>
      <c r="F240" s="209" t="str">
        <f t="shared" si="10"/>
        <v/>
      </c>
    </row>
    <row r="241" spans="1:6">
      <c r="A241">
        <v>238</v>
      </c>
      <c r="B241" s="46">
        <v>43673</v>
      </c>
      <c r="C241" s="285">
        <v>5.8267309124418896</v>
      </c>
      <c r="D241" s="285">
        <v>28.803266986435492</v>
      </c>
      <c r="E241" s="181">
        <f t="shared" si="9"/>
        <v>5.8267309124418896</v>
      </c>
      <c r="F241" s="209" t="str">
        <f t="shared" si="10"/>
        <v/>
      </c>
    </row>
    <row r="242" spans="1:6">
      <c r="A242">
        <v>239</v>
      </c>
      <c r="B242" s="46">
        <v>43674</v>
      </c>
      <c r="C242" s="285">
        <v>4.9173575944381662</v>
      </c>
      <c r="D242" s="285">
        <v>28.803266986435492</v>
      </c>
      <c r="E242" s="181">
        <f t="shared" si="9"/>
        <v>4.9173575944381662</v>
      </c>
      <c r="F242" s="209" t="str">
        <f t="shared" si="10"/>
        <v/>
      </c>
    </row>
    <row r="243" spans="1:6">
      <c r="A243">
        <v>240</v>
      </c>
      <c r="B243" s="46">
        <v>43675</v>
      </c>
      <c r="C243" s="285">
        <v>4.016378514441894</v>
      </c>
      <c r="D243" s="285">
        <v>28.803266986435492</v>
      </c>
      <c r="E243" s="181">
        <f t="shared" si="9"/>
        <v>4.016378514441894</v>
      </c>
      <c r="F243" s="209" t="str">
        <f t="shared" si="10"/>
        <v/>
      </c>
    </row>
    <row r="244" spans="1:6">
      <c r="A244">
        <v>241</v>
      </c>
      <c r="B244" s="46">
        <v>43676</v>
      </c>
      <c r="C244" s="285">
        <v>3.7028108184390947</v>
      </c>
      <c r="D244" s="285">
        <v>28.803266986435492</v>
      </c>
      <c r="E244" s="181">
        <f t="shared" si="9"/>
        <v>3.7028108184390947</v>
      </c>
      <c r="F244" s="209" t="str">
        <f t="shared" si="10"/>
        <v/>
      </c>
    </row>
    <row r="245" spans="1:6">
      <c r="A245">
        <v>242</v>
      </c>
      <c r="B245" s="46">
        <v>43677</v>
      </c>
      <c r="C245" s="285">
        <v>2.4336939225340322</v>
      </c>
      <c r="D245" s="285">
        <v>28.803266986435492</v>
      </c>
      <c r="E245" s="181">
        <f t="shared" si="9"/>
        <v>2.4336939225340322</v>
      </c>
      <c r="F245" s="209" t="str">
        <f t="shared" si="10"/>
        <v/>
      </c>
    </row>
    <row r="246" spans="1:6">
      <c r="A246">
        <v>243</v>
      </c>
      <c r="B246" s="46">
        <v>43678</v>
      </c>
      <c r="C246" s="285">
        <v>7.9214282285340305</v>
      </c>
      <c r="D246" s="285">
        <v>17.69576376333022</v>
      </c>
      <c r="E246" s="181">
        <f t="shared" si="9"/>
        <v>7.9214282285340305</v>
      </c>
      <c r="F246" s="209" t="str">
        <f t="shared" si="10"/>
        <v/>
      </c>
    </row>
    <row r="247" spans="1:6">
      <c r="A247">
        <v>244</v>
      </c>
      <c r="B247" s="46">
        <v>43679</v>
      </c>
      <c r="C247" s="285">
        <v>8.0697212285349664</v>
      </c>
      <c r="D247" s="285">
        <v>17.69576376333022</v>
      </c>
      <c r="E247" s="181">
        <f t="shared" si="9"/>
        <v>8.0697212285349664</v>
      </c>
      <c r="F247" s="209" t="str">
        <f t="shared" si="10"/>
        <v/>
      </c>
    </row>
    <row r="248" spans="1:6">
      <c r="A248">
        <v>245</v>
      </c>
      <c r="B248" s="46">
        <v>43680</v>
      </c>
      <c r="C248" s="285">
        <v>2.3037371005331004</v>
      </c>
      <c r="D248" s="285">
        <v>17.69576376333022</v>
      </c>
      <c r="E248" s="181">
        <f t="shared" si="9"/>
        <v>2.3037371005331004</v>
      </c>
      <c r="F248" s="209" t="str">
        <f t="shared" si="10"/>
        <v/>
      </c>
    </row>
    <row r="249" spans="1:6">
      <c r="A249">
        <v>246</v>
      </c>
      <c r="B249" s="46">
        <v>43681</v>
      </c>
      <c r="C249" s="285">
        <v>2.257930104535895</v>
      </c>
      <c r="D249" s="285">
        <v>17.69576376333022</v>
      </c>
      <c r="E249" s="181">
        <f t="shared" si="9"/>
        <v>2.257930104535895</v>
      </c>
      <c r="F249" s="209" t="str">
        <f t="shared" si="10"/>
        <v/>
      </c>
    </row>
    <row r="250" spans="1:6">
      <c r="A250">
        <v>247</v>
      </c>
      <c r="B250" s="46">
        <v>43682</v>
      </c>
      <c r="C250" s="285">
        <v>8.6116978425331041</v>
      </c>
      <c r="D250" s="285">
        <v>17.69576376333022</v>
      </c>
      <c r="E250" s="181">
        <f t="shared" si="9"/>
        <v>8.6116978425331041</v>
      </c>
      <c r="F250" s="209" t="str">
        <f t="shared" si="10"/>
        <v/>
      </c>
    </row>
    <row r="251" spans="1:6">
      <c r="A251">
        <v>248</v>
      </c>
      <c r="B251" s="46">
        <v>43683</v>
      </c>
      <c r="C251" s="285">
        <v>12.310531754534036</v>
      </c>
      <c r="D251" s="285">
        <v>17.69576376333022</v>
      </c>
      <c r="E251" s="181">
        <f t="shared" si="9"/>
        <v>12.310531754534036</v>
      </c>
      <c r="F251" s="209" t="str">
        <f t="shared" si="10"/>
        <v/>
      </c>
    </row>
    <row r="252" spans="1:6">
      <c r="A252">
        <v>249</v>
      </c>
      <c r="B252" s="46">
        <v>43684</v>
      </c>
      <c r="C252" s="285">
        <v>13.944449399182115</v>
      </c>
      <c r="D252" s="285">
        <v>17.69576376333022</v>
      </c>
      <c r="E252" s="181">
        <f t="shared" si="9"/>
        <v>13.944449399182115</v>
      </c>
      <c r="F252" s="209" t="str">
        <f t="shared" si="10"/>
        <v/>
      </c>
    </row>
    <row r="253" spans="1:6">
      <c r="A253">
        <v>250</v>
      </c>
      <c r="B253" s="46">
        <v>43685</v>
      </c>
      <c r="C253" s="285">
        <v>7.5493202591811857</v>
      </c>
      <c r="D253" s="285">
        <v>17.69576376333022</v>
      </c>
      <c r="E253" s="181">
        <f t="shared" si="9"/>
        <v>7.5493202591811857</v>
      </c>
      <c r="F253" s="209" t="str">
        <f t="shared" si="10"/>
        <v/>
      </c>
    </row>
    <row r="254" spans="1:6">
      <c r="A254">
        <v>251</v>
      </c>
      <c r="B254" s="46">
        <v>43686</v>
      </c>
      <c r="C254" s="285">
        <v>9.3960193591811834</v>
      </c>
      <c r="D254" s="285">
        <v>17.69576376333022</v>
      </c>
      <c r="E254" s="181">
        <f t="shared" si="9"/>
        <v>9.3960193591811834</v>
      </c>
      <c r="F254" s="209" t="str">
        <f t="shared" si="10"/>
        <v/>
      </c>
    </row>
    <row r="255" spans="1:6">
      <c r="A255">
        <v>252</v>
      </c>
      <c r="B255" s="46">
        <v>43687</v>
      </c>
      <c r="C255" s="285">
        <v>7.8897993671830484</v>
      </c>
      <c r="D255" s="285">
        <v>17.69576376333022</v>
      </c>
      <c r="E255" s="181">
        <f t="shared" si="9"/>
        <v>7.8897993671830484</v>
      </c>
      <c r="F255" s="209" t="str">
        <f t="shared" si="10"/>
        <v/>
      </c>
    </row>
    <row r="256" spans="1:6">
      <c r="A256">
        <v>253</v>
      </c>
      <c r="B256" s="46">
        <v>43688</v>
      </c>
      <c r="C256" s="285">
        <v>1.068560027180254</v>
      </c>
      <c r="D256" s="285">
        <v>17.69576376333022</v>
      </c>
      <c r="E256" s="181">
        <f t="shared" si="9"/>
        <v>1.068560027180254</v>
      </c>
      <c r="F256" s="209" t="str">
        <f t="shared" si="10"/>
        <v/>
      </c>
    </row>
    <row r="257" spans="1:7">
      <c r="A257">
        <v>254</v>
      </c>
      <c r="B257" s="46">
        <v>43689</v>
      </c>
      <c r="C257" s="285">
        <v>2.4958660811811861</v>
      </c>
      <c r="D257" s="285">
        <v>17.69576376333022</v>
      </c>
      <c r="E257" s="181">
        <f t="shared" si="9"/>
        <v>2.4958660811811861</v>
      </c>
      <c r="F257" s="209" t="str">
        <f t="shared" si="10"/>
        <v/>
      </c>
    </row>
    <row r="258" spans="1:7">
      <c r="A258">
        <v>255</v>
      </c>
      <c r="B258" s="46">
        <v>43690</v>
      </c>
      <c r="C258" s="285">
        <v>7.113692349181183</v>
      </c>
      <c r="D258" s="285">
        <v>17.69576376333022</v>
      </c>
      <c r="E258" s="181">
        <f t="shared" si="9"/>
        <v>7.113692349181183</v>
      </c>
      <c r="F258" s="209" t="str">
        <f t="shared" si="10"/>
        <v/>
      </c>
    </row>
    <row r="259" spans="1:7">
      <c r="A259">
        <v>256</v>
      </c>
      <c r="B259" s="46">
        <v>43691</v>
      </c>
      <c r="C259" s="285">
        <v>12.498108670538379</v>
      </c>
      <c r="D259" s="285">
        <v>17.69576376333022</v>
      </c>
      <c r="E259" s="181">
        <f t="shared" si="9"/>
        <v>12.498108670538379</v>
      </c>
      <c r="F259" s="209" t="str">
        <f t="shared" si="10"/>
        <v/>
      </c>
      <c r="G259" s="210" t="str">
        <f t="shared" ref="G259" si="13">IF(DAY(B259)=15,D259,"")</f>
        <v/>
      </c>
    </row>
    <row r="260" spans="1:7">
      <c r="A260">
        <v>257</v>
      </c>
      <c r="B260" s="46">
        <v>43692</v>
      </c>
      <c r="C260" s="285">
        <v>6.7645505145355855</v>
      </c>
      <c r="D260" s="285">
        <v>17.69576376333022</v>
      </c>
      <c r="E260" s="181">
        <f t="shared" ref="E260:E323" si="14">IF(C260&lt;D260,C260,D260)</f>
        <v>6.7645505145355855</v>
      </c>
      <c r="F260" s="209" t="str">
        <f t="shared" ref="F260:F323" si="15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A</v>
      </c>
      <c r="G260" s="210">
        <f t="shared" si="12"/>
        <v>17.69576376333022</v>
      </c>
    </row>
    <row r="261" spans="1:7">
      <c r="A261">
        <v>258</v>
      </c>
      <c r="B261" s="46">
        <v>43693</v>
      </c>
      <c r="C261" s="285">
        <v>10.198750332538372</v>
      </c>
      <c r="D261" s="285">
        <v>17.69576376333022</v>
      </c>
      <c r="E261" s="181">
        <f t="shared" si="14"/>
        <v>10.198750332538372</v>
      </c>
      <c r="F261" s="209" t="str">
        <f t="shared" si="15"/>
        <v/>
      </c>
    </row>
    <row r="262" spans="1:7">
      <c r="A262">
        <v>259</v>
      </c>
      <c r="B262" s="46">
        <v>43694</v>
      </c>
      <c r="C262" s="285">
        <v>6.5070074045346482</v>
      </c>
      <c r="D262" s="285">
        <v>17.69576376333022</v>
      </c>
      <c r="E262" s="181">
        <f t="shared" si="14"/>
        <v>6.5070074045346482</v>
      </c>
      <c r="F262" s="209" t="str">
        <f t="shared" si="15"/>
        <v/>
      </c>
    </row>
    <row r="263" spans="1:7">
      <c r="A263">
        <v>260</v>
      </c>
      <c r="B263" s="46">
        <v>43695</v>
      </c>
      <c r="C263" s="285">
        <v>5.2324443865365176</v>
      </c>
      <c r="D263" s="285">
        <v>17.69576376333022</v>
      </c>
      <c r="E263" s="181">
        <f t="shared" si="14"/>
        <v>5.2324443865365176</v>
      </c>
      <c r="F263" s="209" t="str">
        <f t="shared" si="15"/>
        <v/>
      </c>
    </row>
    <row r="264" spans="1:7">
      <c r="A264">
        <v>261</v>
      </c>
      <c r="B264" s="46">
        <v>43696</v>
      </c>
      <c r="C264" s="285">
        <v>10.958338302537442</v>
      </c>
      <c r="D264" s="285">
        <v>17.69576376333022</v>
      </c>
      <c r="E264" s="181">
        <f t="shared" si="14"/>
        <v>10.958338302537442</v>
      </c>
      <c r="F264" s="209" t="str">
        <f t="shared" si="15"/>
        <v/>
      </c>
    </row>
    <row r="265" spans="1:7">
      <c r="A265">
        <v>262</v>
      </c>
      <c r="B265" s="46">
        <v>43697</v>
      </c>
      <c r="C265" s="285">
        <v>9.7324790045374474</v>
      </c>
      <c r="D265" s="285">
        <v>17.69576376333022</v>
      </c>
      <c r="E265" s="181">
        <f t="shared" si="14"/>
        <v>9.7324790045374474</v>
      </c>
      <c r="F265" s="209" t="str">
        <f t="shared" si="15"/>
        <v/>
      </c>
    </row>
    <row r="266" spans="1:7">
      <c r="A266">
        <v>263</v>
      </c>
      <c r="B266" s="46">
        <v>43698</v>
      </c>
      <c r="C266" s="285">
        <v>13.338055306264454</v>
      </c>
      <c r="D266" s="285">
        <v>17.69576376333022</v>
      </c>
      <c r="E266" s="181">
        <f t="shared" si="14"/>
        <v>13.338055306264454</v>
      </c>
      <c r="F266" s="209" t="str">
        <f t="shared" si="15"/>
        <v/>
      </c>
    </row>
    <row r="267" spans="1:7">
      <c r="A267">
        <v>264</v>
      </c>
      <c r="B267" s="46">
        <v>43699</v>
      </c>
      <c r="C267" s="285">
        <v>16.765228846264456</v>
      </c>
      <c r="D267" s="285">
        <v>17.69576376333022</v>
      </c>
      <c r="E267" s="181">
        <f t="shared" si="14"/>
        <v>16.765228846264456</v>
      </c>
      <c r="F267" s="209" t="str">
        <f t="shared" si="15"/>
        <v/>
      </c>
    </row>
    <row r="268" spans="1:7">
      <c r="A268">
        <v>265</v>
      </c>
      <c r="B268" s="46">
        <v>43700</v>
      </c>
      <c r="C268" s="285">
        <v>17.646445842265383</v>
      </c>
      <c r="D268" s="285">
        <v>17.69576376333022</v>
      </c>
      <c r="E268" s="181">
        <f t="shared" si="14"/>
        <v>17.646445842265383</v>
      </c>
      <c r="F268" s="209" t="str">
        <f t="shared" si="15"/>
        <v/>
      </c>
    </row>
    <row r="269" spans="1:7">
      <c r="A269">
        <v>266</v>
      </c>
      <c r="B269" s="46">
        <v>43701</v>
      </c>
      <c r="C269" s="285">
        <v>9.763781318263522</v>
      </c>
      <c r="D269" s="285">
        <v>17.69576376333022</v>
      </c>
      <c r="E269" s="181">
        <f t="shared" si="14"/>
        <v>9.763781318263522</v>
      </c>
      <c r="F269" s="209" t="str">
        <f t="shared" si="15"/>
        <v/>
      </c>
    </row>
    <row r="270" spans="1:7">
      <c r="A270">
        <v>267</v>
      </c>
      <c r="B270" s="46">
        <v>43702</v>
      </c>
      <c r="C270" s="285">
        <v>6.1929172722663166</v>
      </c>
      <c r="D270" s="285">
        <v>17.69576376333022</v>
      </c>
      <c r="E270" s="181">
        <f t="shared" si="14"/>
        <v>6.1929172722663166</v>
      </c>
      <c r="F270" s="209" t="str">
        <f t="shared" si="15"/>
        <v/>
      </c>
    </row>
    <row r="271" spans="1:7">
      <c r="A271">
        <v>268</v>
      </c>
      <c r="B271" s="46">
        <v>43703</v>
      </c>
      <c r="C271" s="285">
        <v>21.388717054264454</v>
      </c>
      <c r="D271" s="285">
        <v>17.69576376333022</v>
      </c>
      <c r="E271" s="181">
        <f t="shared" si="14"/>
        <v>17.69576376333022</v>
      </c>
      <c r="F271" s="209" t="str">
        <f t="shared" si="15"/>
        <v/>
      </c>
    </row>
    <row r="272" spans="1:7">
      <c r="A272">
        <v>269</v>
      </c>
      <c r="B272" s="46">
        <v>43704</v>
      </c>
      <c r="C272" s="285">
        <v>26.498922198264452</v>
      </c>
      <c r="D272" s="285">
        <v>17.69576376333022</v>
      </c>
      <c r="E272" s="181">
        <f t="shared" si="14"/>
        <v>17.69576376333022</v>
      </c>
      <c r="F272" s="209" t="str">
        <f t="shared" si="15"/>
        <v/>
      </c>
    </row>
    <row r="273" spans="1:6">
      <c r="A273">
        <v>270</v>
      </c>
      <c r="B273" s="46">
        <v>43705</v>
      </c>
      <c r="C273" s="285">
        <v>22.003050261266647</v>
      </c>
      <c r="D273" s="285">
        <v>17.69576376333022</v>
      </c>
      <c r="E273" s="181">
        <f t="shared" si="14"/>
        <v>17.69576376333022</v>
      </c>
      <c r="F273" s="209" t="str">
        <f t="shared" si="15"/>
        <v/>
      </c>
    </row>
    <row r="274" spans="1:6">
      <c r="A274">
        <v>271</v>
      </c>
      <c r="B274" s="46">
        <v>43706</v>
      </c>
      <c r="C274" s="285">
        <v>28.383762925263852</v>
      </c>
      <c r="D274" s="285">
        <v>17.69576376333022</v>
      </c>
      <c r="E274" s="181">
        <f t="shared" si="14"/>
        <v>17.69576376333022</v>
      </c>
      <c r="F274" s="209" t="str">
        <f t="shared" si="15"/>
        <v/>
      </c>
    </row>
    <row r="275" spans="1:6">
      <c r="A275">
        <v>272</v>
      </c>
      <c r="B275" s="46">
        <v>43707</v>
      </c>
      <c r="C275" s="285">
        <v>25.551797657266643</v>
      </c>
      <c r="D275" s="285">
        <v>17.69576376333022</v>
      </c>
      <c r="E275" s="181">
        <f t="shared" si="14"/>
        <v>17.69576376333022</v>
      </c>
      <c r="F275" s="209" t="str">
        <f t="shared" si="15"/>
        <v/>
      </c>
    </row>
    <row r="276" spans="1:6">
      <c r="A276">
        <v>273</v>
      </c>
      <c r="B276" s="46">
        <v>43708</v>
      </c>
      <c r="C276" s="285">
        <v>15.919595253264786</v>
      </c>
      <c r="D276" s="285">
        <v>17.69576376333022</v>
      </c>
      <c r="E276" s="181">
        <f t="shared" si="14"/>
        <v>15.919595253264786</v>
      </c>
      <c r="F276" s="209" t="str">
        <f t="shared" si="15"/>
        <v/>
      </c>
    </row>
    <row r="277" spans="1:6">
      <c r="A277">
        <v>274</v>
      </c>
      <c r="B277" s="46">
        <v>43709</v>
      </c>
      <c r="C277" s="285">
        <v>1.0574971092657142</v>
      </c>
      <c r="D277" s="285">
        <v>22.281040209732421</v>
      </c>
      <c r="E277" s="181">
        <f t="shared" si="14"/>
        <v>1.0574971092657142</v>
      </c>
      <c r="F277" s="209" t="str">
        <f t="shared" si="15"/>
        <v/>
      </c>
    </row>
    <row r="278" spans="1:6">
      <c r="A278">
        <v>275</v>
      </c>
      <c r="B278" s="46">
        <v>43710</v>
      </c>
      <c r="C278" s="285">
        <v>6.8017746692666474</v>
      </c>
      <c r="D278" s="285">
        <v>22.281040209732421</v>
      </c>
      <c r="E278" s="181">
        <f t="shared" si="14"/>
        <v>6.8017746692666474</v>
      </c>
      <c r="F278" s="209" t="str">
        <f t="shared" si="15"/>
        <v/>
      </c>
    </row>
    <row r="279" spans="1:6">
      <c r="A279">
        <v>276</v>
      </c>
      <c r="B279" s="46">
        <v>43711</v>
      </c>
      <c r="C279" s="285">
        <v>7.4549108792647818</v>
      </c>
      <c r="D279" s="285">
        <v>22.281040209732421</v>
      </c>
      <c r="E279" s="181">
        <f t="shared" si="14"/>
        <v>7.4549108792647818</v>
      </c>
      <c r="F279" s="209" t="str">
        <f t="shared" si="15"/>
        <v/>
      </c>
    </row>
    <row r="280" spans="1:6">
      <c r="A280">
        <v>277</v>
      </c>
      <c r="B280" s="46">
        <v>43712</v>
      </c>
      <c r="C280" s="285">
        <v>9.4749125041668165</v>
      </c>
      <c r="D280" s="285">
        <v>22.281040209732421</v>
      </c>
      <c r="E280" s="181">
        <f t="shared" si="14"/>
        <v>9.4749125041668165</v>
      </c>
      <c r="F280" s="209" t="str">
        <f t="shared" si="15"/>
        <v/>
      </c>
    </row>
    <row r="281" spans="1:6">
      <c r="A281">
        <v>278</v>
      </c>
      <c r="B281" s="46">
        <v>43713</v>
      </c>
      <c r="C281" s="285">
        <v>7.5681810981686795</v>
      </c>
      <c r="D281" s="285">
        <v>22.281040209732421</v>
      </c>
      <c r="E281" s="181">
        <f t="shared" si="14"/>
        <v>7.5681810981686795</v>
      </c>
      <c r="F281" s="209" t="str">
        <f t="shared" si="15"/>
        <v/>
      </c>
    </row>
    <row r="282" spans="1:6">
      <c r="A282">
        <v>279</v>
      </c>
      <c r="B282" s="46">
        <v>43714</v>
      </c>
      <c r="C282" s="285">
        <v>4.8948287881677501</v>
      </c>
      <c r="D282" s="285">
        <v>22.281040209732421</v>
      </c>
      <c r="E282" s="181">
        <f t="shared" si="14"/>
        <v>4.8948287881677501</v>
      </c>
      <c r="F282" s="209" t="str">
        <f t="shared" si="15"/>
        <v/>
      </c>
    </row>
    <row r="283" spans="1:6">
      <c r="A283">
        <v>280</v>
      </c>
      <c r="B283" s="46">
        <v>43715</v>
      </c>
      <c r="C283" s="285">
        <v>8.5982141721677507</v>
      </c>
      <c r="D283" s="285">
        <v>22.281040209732421</v>
      </c>
      <c r="E283" s="181">
        <f t="shared" si="14"/>
        <v>8.5982141721677507</v>
      </c>
      <c r="F283" s="209" t="str">
        <f t="shared" si="15"/>
        <v/>
      </c>
    </row>
    <row r="284" spans="1:6">
      <c r="A284">
        <v>281</v>
      </c>
      <c r="B284" s="46">
        <v>43716</v>
      </c>
      <c r="C284" s="285">
        <v>9.1360089501677511</v>
      </c>
      <c r="D284" s="285">
        <v>22.281040209732421</v>
      </c>
      <c r="E284" s="181">
        <f t="shared" si="14"/>
        <v>9.1360089501677511</v>
      </c>
      <c r="F284" s="209" t="str">
        <f t="shared" si="15"/>
        <v/>
      </c>
    </row>
    <row r="285" spans="1:6">
      <c r="A285">
        <v>282</v>
      </c>
      <c r="B285" s="46">
        <v>43717</v>
      </c>
      <c r="C285" s="285">
        <v>19.102409328166818</v>
      </c>
      <c r="D285" s="285">
        <v>22.281040209732421</v>
      </c>
      <c r="E285" s="181">
        <f t="shared" si="14"/>
        <v>19.102409328166818</v>
      </c>
      <c r="F285" s="209" t="str">
        <f t="shared" si="15"/>
        <v/>
      </c>
    </row>
    <row r="286" spans="1:6">
      <c r="A286">
        <v>283</v>
      </c>
      <c r="B286" s="46">
        <v>43718</v>
      </c>
      <c r="C286" s="285">
        <v>9.2524961541686785</v>
      </c>
      <c r="D286" s="285">
        <v>22.281040209732421</v>
      </c>
      <c r="E286" s="181">
        <f t="shared" si="14"/>
        <v>9.2524961541686785</v>
      </c>
      <c r="F286" s="209" t="str">
        <f t="shared" si="15"/>
        <v/>
      </c>
    </row>
    <row r="287" spans="1:6">
      <c r="A287">
        <v>284</v>
      </c>
      <c r="B287" s="46">
        <v>43719</v>
      </c>
      <c r="C287" s="285">
        <v>17.113809906556309</v>
      </c>
      <c r="D287" s="285">
        <v>22.281040209732421</v>
      </c>
      <c r="E287" s="181">
        <f t="shared" si="14"/>
        <v>17.113809906556309</v>
      </c>
      <c r="F287" s="209" t="str">
        <f t="shared" si="15"/>
        <v/>
      </c>
    </row>
    <row r="288" spans="1:6">
      <c r="A288">
        <v>285</v>
      </c>
      <c r="B288" s="46">
        <v>43720</v>
      </c>
      <c r="C288" s="285">
        <v>25.507597080556312</v>
      </c>
      <c r="D288" s="285">
        <v>22.281040209732421</v>
      </c>
      <c r="E288" s="181">
        <f t="shared" si="14"/>
        <v>22.281040209732421</v>
      </c>
      <c r="F288" s="209" t="str">
        <f t="shared" si="15"/>
        <v/>
      </c>
    </row>
    <row r="289" spans="1:7">
      <c r="A289">
        <v>286</v>
      </c>
      <c r="B289" s="46">
        <v>43721</v>
      </c>
      <c r="C289" s="285">
        <v>20.034511860554449</v>
      </c>
      <c r="D289" s="285">
        <v>22.281040209732421</v>
      </c>
      <c r="E289" s="181">
        <f t="shared" si="14"/>
        <v>20.034511860554449</v>
      </c>
      <c r="F289" s="209" t="str">
        <f t="shared" si="15"/>
        <v/>
      </c>
    </row>
    <row r="290" spans="1:7">
      <c r="A290">
        <v>287</v>
      </c>
      <c r="B290" s="46">
        <v>43722</v>
      </c>
      <c r="C290" s="285">
        <v>3.6371299425572396</v>
      </c>
      <c r="D290" s="285">
        <v>22.281040209732421</v>
      </c>
      <c r="E290" s="181">
        <f t="shared" si="14"/>
        <v>3.6371299425572396</v>
      </c>
      <c r="F290" s="209" t="str">
        <f t="shared" si="15"/>
        <v/>
      </c>
      <c r="G290" s="210" t="str">
        <f t="shared" ref="G290:G321" si="16">IF(DAY(B290)=15,D290,"")</f>
        <v/>
      </c>
    </row>
    <row r="291" spans="1:7">
      <c r="A291">
        <v>288</v>
      </c>
      <c r="B291" s="46">
        <v>43723</v>
      </c>
      <c r="C291" s="285">
        <v>2.6742494705553765</v>
      </c>
      <c r="D291" s="285">
        <v>22.281040209732421</v>
      </c>
      <c r="E291" s="181">
        <f t="shared" si="14"/>
        <v>2.6742494705553765</v>
      </c>
      <c r="F291" s="209" t="str">
        <f t="shared" si="15"/>
        <v>S</v>
      </c>
      <c r="G291" s="210">
        <f>IF(DAY(B291)=15,D291,"")</f>
        <v>22.281040209732421</v>
      </c>
    </row>
    <row r="292" spans="1:7">
      <c r="A292">
        <v>289</v>
      </c>
      <c r="B292" s="46">
        <v>43724</v>
      </c>
      <c r="C292" s="285">
        <v>40.739630954557242</v>
      </c>
      <c r="D292" s="285">
        <v>22.281040209732421</v>
      </c>
      <c r="E292" s="181">
        <f t="shared" si="14"/>
        <v>22.281040209732421</v>
      </c>
      <c r="F292" s="209" t="str">
        <f t="shared" si="15"/>
        <v/>
      </c>
    </row>
    <row r="293" spans="1:7">
      <c r="A293">
        <v>290</v>
      </c>
      <c r="B293" s="46">
        <v>43725</v>
      </c>
      <c r="C293" s="285">
        <v>39.242641318555378</v>
      </c>
      <c r="D293" s="285">
        <v>22.281040209732421</v>
      </c>
      <c r="E293" s="181">
        <f t="shared" si="14"/>
        <v>22.281040209732421</v>
      </c>
      <c r="F293" s="209" t="str">
        <f t="shared" si="15"/>
        <v/>
      </c>
    </row>
    <row r="294" spans="1:7">
      <c r="A294">
        <v>291</v>
      </c>
      <c r="B294" s="46">
        <v>43726</v>
      </c>
      <c r="C294" s="285">
        <v>23.118648947825168</v>
      </c>
      <c r="D294" s="285">
        <v>22.281040209732421</v>
      </c>
      <c r="E294" s="181">
        <f t="shared" si="14"/>
        <v>22.281040209732421</v>
      </c>
      <c r="F294" s="209" t="str">
        <f t="shared" si="15"/>
        <v/>
      </c>
    </row>
    <row r="295" spans="1:7">
      <c r="A295">
        <v>292</v>
      </c>
      <c r="B295" s="46">
        <v>43727</v>
      </c>
      <c r="C295" s="285">
        <v>27.61844785182517</v>
      </c>
      <c r="D295" s="285">
        <v>22.281040209732421</v>
      </c>
      <c r="E295" s="181">
        <f t="shared" si="14"/>
        <v>22.281040209732421</v>
      </c>
      <c r="F295" s="209" t="str">
        <f t="shared" si="15"/>
        <v/>
      </c>
    </row>
    <row r="296" spans="1:7">
      <c r="A296">
        <v>293</v>
      </c>
      <c r="B296" s="46">
        <v>43728</v>
      </c>
      <c r="C296" s="285">
        <v>6.5242940318261029</v>
      </c>
      <c r="D296" s="285">
        <v>22.281040209732421</v>
      </c>
      <c r="E296" s="181">
        <f t="shared" si="14"/>
        <v>6.5242940318261029</v>
      </c>
      <c r="F296" s="209" t="str">
        <f t="shared" si="15"/>
        <v/>
      </c>
    </row>
    <row r="297" spans="1:7">
      <c r="A297">
        <v>294</v>
      </c>
      <c r="B297" s="46">
        <v>43729</v>
      </c>
      <c r="C297" s="285">
        <v>5.9345660678251697</v>
      </c>
      <c r="D297" s="285">
        <v>22.281040209732421</v>
      </c>
      <c r="E297" s="181">
        <f t="shared" si="14"/>
        <v>5.9345660678251697</v>
      </c>
      <c r="F297" s="209" t="str">
        <f t="shared" si="15"/>
        <v/>
      </c>
    </row>
    <row r="298" spans="1:7">
      <c r="A298">
        <v>295</v>
      </c>
      <c r="B298" s="46">
        <v>43730</v>
      </c>
      <c r="C298" s="285">
        <v>2.0039890278251695</v>
      </c>
      <c r="D298" s="285">
        <v>22.281040209732421</v>
      </c>
      <c r="E298" s="181">
        <f t="shared" si="14"/>
        <v>2.0039890278251695</v>
      </c>
      <c r="F298" s="209" t="str">
        <f t="shared" si="15"/>
        <v/>
      </c>
    </row>
    <row r="299" spans="1:7">
      <c r="A299">
        <v>296</v>
      </c>
      <c r="B299" s="46">
        <v>43731</v>
      </c>
      <c r="C299" s="285">
        <v>10.812123067824235</v>
      </c>
      <c r="D299" s="285">
        <v>22.281040209732421</v>
      </c>
      <c r="E299" s="181">
        <f t="shared" si="14"/>
        <v>10.812123067824235</v>
      </c>
      <c r="F299" s="209" t="str">
        <f t="shared" si="15"/>
        <v/>
      </c>
    </row>
    <row r="300" spans="1:7">
      <c r="A300">
        <v>297</v>
      </c>
      <c r="B300" s="46">
        <v>43732</v>
      </c>
      <c r="C300" s="285">
        <v>6.8628073918270314</v>
      </c>
      <c r="D300" s="285">
        <v>22.281040209732421</v>
      </c>
      <c r="E300" s="181">
        <f t="shared" si="14"/>
        <v>6.8628073918270314</v>
      </c>
      <c r="F300" s="209" t="str">
        <f t="shared" si="15"/>
        <v/>
      </c>
    </row>
    <row r="301" spans="1:7">
      <c r="A301">
        <v>298</v>
      </c>
      <c r="B301" s="46">
        <v>43733</v>
      </c>
      <c r="C301" s="285">
        <v>21.66226604055921</v>
      </c>
      <c r="D301" s="285">
        <v>22.281040209732421</v>
      </c>
      <c r="E301" s="181">
        <f t="shared" si="14"/>
        <v>21.66226604055921</v>
      </c>
      <c r="F301" s="209" t="str">
        <f t="shared" si="15"/>
        <v/>
      </c>
    </row>
    <row r="302" spans="1:7">
      <c r="A302">
        <v>299</v>
      </c>
      <c r="B302" s="46">
        <v>43734</v>
      </c>
      <c r="C302" s="285">
        <v>22.57161161256014</v>
      </c>
      <c r="D302" s="285">
        <v>22.281040209732421</v>
      </c>
      <c r="E302" s="181">
        <f t="shared" si="14"/>
        <v>22.281040209732421</v>
      </c>
      <c r="F302" s="209" t="str">
        <f t="shared" si="15"/>
        <v/>
      </c>
    </row>
    <row r="303" spans="1:7">
      <c r="A303">
        <v>300</v>
      </c>
      <c r="B303" s="46">
        <v>43735</v>
      </c>
      <c r="C303" s="285">
        <v>19.632589916559212</v>
      </c>
      <c r="D303" s="285">
        <v>22.281040209732421</v>
      </c>
      <c r="E303" s="181">
        <f t="shared" si="14"/>
        <v>19.632589916559212</v>
      </c>
      <c r="F303" s="209" t="str">
        <f t="shared" si="15"/>
        <v/>
      </c>
    </row>
    <row r="304" spans="1:7">
      <c r="A304">
        <v>301</v>
      </c>
      <c r="B304" s="46">
        <v>43736</v>
      </c>
      <c r="C304" s="285">
        <v>13.274553664561074</v>
      </c>
      <c r="D304" s="285">
        <v>22.281040209732421</v>
      </c>
      <c r="E304" s="181">
        <f t="shared" si="14"/>
        <v>13.274553664561074</v>
      </c>
      <c r="F304" s="209" t="str">
        <f t="shared" si="15"/>
        <v/>
      </c>
    </row>
    <row r="305" spans="1:7">
      <c r="A305">
        <v>302</v>
      </c>
      <c r="B305" s="46">
        <v>43737</v>
      </c>
      <c r="C305" s="285">
        <v>11.291133864560143</v>
      </c>
      <c r="D305" s="285">
        <v>22.281040209732421</v>
      </c>
      <c r="E305" s="181">
        <f t="shared" si="14"/>
        <v>11.291133864560143</v>
      </c>
      <c r="F305" s="209" t="str">
        <f t="shared" si="15"/>
        <v/>
      </c>
    </row>
    <row r="306" spans="1:7">
      <c r="A306">
        <v>303</v>
      </c>
      <c r="B306" s="46">
        <v>43738</v>
      </c>
      <c r="C306" s="285">
        <v>24.859265244560142</v>
      </c>
      <c r="D306" s="285">
        <v>22.281040209732421</v>
      </c>
      <c r="E306" s="181">
        <f t="shared" si="14"/>
        <v>22.281040209732421</v>
      </c>
      <c r="F306" s="209" t="str">
        <f t="shared" si="15"/>
        <v/>
      </c>
    </row>
    <row r="307" spans="1:7">
      <c r="A307">
        <v>304</v>
      </c>
      <c r="B307" s="46">
        <v>43739</v>
      </c>
      <c r="C307" s="285">
        <v>14.768948360559211</v>
      </c>
      <c r="D307" s="285">
        <v>44.550149357058011</v>
      </c>
      <c r="E307" s="181">
        <f t="shared" si="14"/>
        <v>14.768948360559211</v>
      </c>
      <c r="F307" s="209" t="str">
        <f t="shared" si="15"/>
        <v/>
      </c>
    </row>
    <row r="308" spans="1:7">
      <c r="A308">
        <v>305</v>
      </c>
      <c r="B308" s="46">
        <v>43740</v>
      </c>
      <c r="C308" s="285">
        <v>6.2465913393767076</v>
      </c>
      <c r="D308" s="285">
        <v>44.550149357058011</v>
      </c>
      <c r="E308" s="181">
        <f t="shared" si="14"/>
        <v>6.2465913393767076</v>
      </c>
      <c r="F308" s="209" t="str">
        <f t="shared" si="15"/>
        <v/>
      </c>
    </row>
    <row r="309" spans="1:7">
      <c r="A309">
        <v>306</v>
      </c>
      <c r="B309" s="46">
        <v>43741</v>
      </c>
      <c r="C309" s="285">
        <v>10.294657775379502</v>
      </c>
      <c r="D309" s="285">
        <v>44.550149357058011</v>
      </c>
      <c r="E309" s="181">
        <f t="shared" si="14"/>
        <v>10.294657775379502</v>
      </c>
      <c r="F309" s="209" t="str">
        <f t="shared" si="15"/>
        <v/>
      </c>
    </row>
    <row r="310" spans="1:7">
      <c r="A310">
        <v>307</v>
      </c>
      <c r="B310" s="46">
        <v>43742</v>
      </c>
      <c r="C310" s="285">
        <v>15.231506839375776</v>
      </c>
      <c r="D310" s="285">
        <v>44.550149357058011</v>
      </c>
      <c r="E310" s="181">
        <f t="shared" si="14"/>
        <v>15.231506839375776</v>
      </c>
      <c r="F310" s="209" t="str">
        <f t="shared" si="15"/>
        <v/>
      </c>
    </row>
    <row r="311" spans="1:7">
      <c r="A311">
        <v>308</v>
      </c>
      <c r="B311" s="46">
        <v>43743</v>
      </c>
      <c r="C311" s="285">
        <v>2.7791585433776382</v>
      </c>
      <c r="D311" s="285">
        <v>44.550149357058011</v>
      </c>
      <c r="E311" s="181">
        <f t="shared" si="14"/>
        <v>2.7791585433776382</v>
      </c>
      <c r="F311" s="209" t="str">
        <f t="shared" si="15"/>
        <v/>
      </c>
    </row>
    <row r="312" spans="1:7">
      <c r="A312">
        <v>309</v>
      </c>
      <c r="B312" s="46">
        <v>43744</v>
      </c>
      <c r="C312" s="285">
        <v>3.1948578873776388</v>
      </c>
      <c r="D312" s="285">
        <v>44.550149357058011</v>
      </c>
      <c r="E312" s="181">
        <f t="shared" si="14"/>
        <v>3.1948578873776388</v>
      </c>
      <c r="F312" s="209" t="str">
        <f t="shared" si="15"/>
        <v/>
      </c>
    </row>
    <row r="313" spans="1:7">
      <c r="A313">
        <v>310</v>
      </c>
      <c r="B313" s="46">
        <v>43745</v>
      </c>
      <c r="C313" s="285">
        <v>9.1765671673767066</v>
      </c>
      <c r="D313" s="285">
        <v>44.550149357058011</v>
      </c>
      <c r="E313" s="181">
        <f t="shared" si="14"/>
        <v>9.1765671673767066</v>
      </c>
      <c r="F313" s="209" t="str">
        <f t="shared" si="15"/>
        <v/>
      </c>
    </row>
    <row r="314" spans="1:7">
      <c r="A314">
        <v>311</v>
      </c>
      <c r="B314" s="46">
        <v>43746</v>
      </c>
      <c r="C314" s="285">
        <v>11.670171503377638</v>
      </c>
      <c r="D314" s="285">
        <v>44.550149357058011</v>
      </c>
      <c r="E314" s="181">
        <f t="shared" si="14"/>
        <v>11.670171503377638</v>
      </c>
      <c r="F314" s="209" t="str">
        <f t="shared" si="15"/>
        <v/>
      </c>
    </row>
    <row r="315" spans="1:7">
      <c r="A315">
        <v>312</v>
      </c>
      <c r="B315" s="46">
        <v>43747</v>
      </c>
      <c r="C315" s="285">
        <v>10.974282968998283</v>
      </c>
      <c r="D315" s="285">
        <v>44.550149357058011</v>
      </c>
      <c r="E315" s="181">
        <f t="shared" si="14"/>
        <v>10.974282968998283</v>
      </c>
      <c r="F315" s="209" t="str">
        <f t="shared" si="15"/>
        <v/>
      </c>
    </row>
    <row r="316" spans="1:7">
      <c r="A316">
        <v>313</v>
      </c>
      <c r="B316" s="46">
        <v>43748</v>
      </c>
      <c r="C316" s="285">
        <v>12.436239417001078</v>
      </c>
      <c r="D316" s="285">
        <v>44.550149357058011</v>
      </c>
      <c r="E316" s="181">
        <f t="shared" si="14"/>
        <v>12.436239417001078</v>
      </c>
      <c r="F316" s="209" t="str">
        <f t="shared" si="15"/>
        <v/>
      </c>
    </row>
    <row r="317" spans="1:7">
      <c r="A317">
        <v>314</v>
      </c>
      <c r="B317" s="46">
        <v>43749</v>
      </c>
      <c r="C317" s="285">
        <v>8.7710066969982829</v>
      </c>
      <c r="D317" s="285">
        <v>44.550149357058011</v>
      </c>
      <c r="E317" s="181">
        <f t="shared" si="14"/>
        <v>8.7710066969982829</v>
      </c>
      <c r="F317" s="209" t="str">
        <f t="shared" si="15"/>
        <v/>
      </c>
    </row>
    <row r="318" spans="1:7">
      <c r="A318">
        <v>315</v>
      </c>
      <c r="B318" s="46">
        <v>43750</v>
      </c>
      <c r="C318" s="285">
        <v>2.3492717330001471</v>
      </c>
      <c r="D318" s="285">
        <v>44.550149357058011</v>
      </c>
      <c r="E318" s="181">
        <f t="shared" si="14"/>
        <v>2.3492717330001471</v>
      </c>
      <c r="F318" s="209" t="str">
        <f t="shared" si="15"/>
        <v/>
      </c>
    </row>
    <row r="319" spans="1:7">
      <c r="A319">
        <v>316</v>
      </c>
      <c r="B319" s="46">
        <v>43751</v>
      </c>
      <c r="C319" s="285">
        <v>1.2920262790001471</v>
      </c>
      <c r="D319" s="285">
        <v>44.550149357058011</v>
      </c>
      <c r="E319" s="181">
        <f t="shared" si="14"/>
        <v>1.2920262790001471</v>
      </c>
      <c r="F319" s="209" t="str">
        <f t="shared" si="15"/>
        <v/>
      </c>
    </row>
    <row r="320" spans="1:7">
      <c r="A320">
        <v>317</v>
      </c>
      <c r="B320" s="46">
        <v>43752</v>
      </c>
      <c r="C320" s="285">
        <v>4.4865502089992155</v>
      </c>
      <c r="D320" s="285">
        <v>44.550149357058011</v>
      </c>
      <c r="E320" s="181">
        <f t="shared" si="14"/>
        <v>4.4865502089992155</v>
      </c>
      <c r="F320" s="209" t="str">
        <f t="shared" si="15"/>
        <v/>
      </c>
      <c r="G320" s="210" t="str">
        <f t="shared" ref="G320" si="17">IF(DAY(B320)=15,D320,"")</f>
        <v/>
      </c>
    </row>
    <row r="321" spans="1:7">
      <c r="A321">
        <v>318</v>
      </c>
      <c r="B321" s="46">
        <v>43753</v>
      </c>
      <c r="C321" s="285">
        <v>9.1113559910001456</v>
      </c>
      <c r="D321" s="285">
        <v>44.550149357058011</v>
      </c>
      <c r="E321" s="181">
        <f t="shared" si="14"/>
        <v>9.1113559910001456</v>
      </c>
      <c r="F321" s="209" t="str">
        <f t="shared" si="15"/>
        <v>O</v>
      </c>
      <c r="G321" s="210">
        <f t="shared" si="16"/>
        <v>44.550149357058011</v>
      </c>
    </row>
    <row r="322" spans="1:7">
      <c r="A322">
        <v>319</v>
      </c>
      <c r="B322" s="46">
        <v>43754</v>
      </c>
      <c r="C322" s="285">
        <v>35.086366275212995</v>
      </c>
      <c r="D322" s="285">
        <v>44.550149357058011</v>
      </c>
      <c r="E322" s="181">
        <f t="shared" si="14"/>
        <v>35.086366275212995</v>
      </c>
      <c r="F322" s="209" t="str">
        <f t="shared" si="15"/>
        <v/>
      </c>
    </row>
    <row r="323" spans="1:7">
      <c r="A323">
        <v>320</v>
      </c>
      <c r="B323" s="46">
        <v>43755</v>
      </c>
      <c r="C323" s="285">
        <v>45.871987463213927</v>
      </c>
      <c r="D323" s="285">
        <v>44.550149357058011</v>
      </c>
      <c r="E323" s="181">
        <f t="shared" si="14"/>
        <v>44.550149357058011</v>
      </c>
      <c r="F323" s="209" t="str">
        <f t="shared" si="15"/>
        <v/>
      </c>
    </row>
    <row r="324" spans="1:7">
      <c r="A324">
        <v>321</v>
      </c>
      <c r="B324" s="46">
        <v>43756</v>
      </c>
      <c r="C324" s="285">
        <v>44.485241749213927</v>
      </c>
      <c r="D324" s="285">
        <v>44.550149357058011</v>
      </c>
      <c r="E324" s="181">
        <f t="shared" ref="E324:E387" si="18">IF(C324&lt;D324,C324,D324)</f>
        <v>44.485241749213927</v>
      </c>
      <c r="F324" s="209" t="str">
        <f t="shared" ref="F324:F387" si="19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43757</v>
      </c>
      <c r="C325" s="285">
        <v>37.269568681213933</v>
      </c>
      <c r="D325" s="285">
        <v>44.550149357058011</v>
      </c>
      <c r="E325" s="181">
        <f t="shared" si="18"/>
        <v>37.269568681213933</v>
      </c>
      <c r="F325" s="209" t="str">
        <f t="shared" si="19"/>
        <v/>
      </c>
    </row>
    <row r="326" spans="1:7">
      <c r="A326">
        <v>323</v>
      </c>
      <c r="B326" s="46">
        <v>43758</v>
      </c>
      <c r="C326" s="285">
        <v>48.584789803214861</v>
      </c>
      <c r="D326" s="285">
        <v>44.550149357058011</v>
      </c>
      <c r="E326" s="181">
        <f t="shared" si="18"/>
        <v>44.550149357058011</v>
      </c>
      <c r="F326" s="209" t="str">
        <f t="shared" si="19"/>
        <v/>
      </c>
    </row>
    <row r="327" spans="1:7">
      <c r="A327">
        <v>324</v>
      </c>
      <c r="B327" s="46">
        <v>43759</v>
      </c>
      <c r="C327" s="285">
        <v>71.337222037212058</v>
      </c>
      <c r="D327" s="285">
        <v>44.550149357058011</v>
      </c>
      <c r="E327" s="181">
        <f t="shared" si="18"/>
        <v>44.550149357058011</v>
      </c>
      <c r="F327" s="209" t="str">
        <f t="shared" si="19"/>
        <v/>
      </c>
    </row>
    <row r="328" spans="1:7">
      <c r="A328">
        <v>325</v>
      </c>
      <c r="B328" s="46">
        <v>43760</v>
      </c>
      <c r="C328" s="285">
        <v>66.924923513213002</v>
      </c>
      <c r="D328" s="285">
        <v>44.550149357058011</v>
      </c>
      <c r="E328" s="181">
        <f t="shared" si="18"/>
        <v>44.550149357058011</v>
      </c>
      <c r="F328" s="209" t="str">
        <f t="shared" si="19"/>
        <v/>
      </c>
    </row>
    <row r="329" spans="1:7">
      <c r="A329">
        <v>326</v>
      </c>
      <c r="B329" s="46">
        <v>43761</v>
      </c>
      <c r="C329" s="285">
        <v>69.413260461879204</v>
      </c>
      <c r="D329" s="285">
        <v>44.550149357058011</v>
      </c>
      <c r="E329" s="181">
        <f t="shared" si="18"/>
        <v>44.550149357058011</v>
      </c>
      <c r="F329" s="209" t="str">
        <f t="shared" si="19"/>
        <v/>
      </c>
    </row>
    <row r="330" spans="1:7">
      <c r="A330">
        <v>327</v>
      </c>
      <c r="B330" s="46">
        <v>43762</v>
      </c>
      <c r="C330" s="285">
        <v>65.58422514187734</v>
      </c>
      <c r="D330" s="285">
        <v>44.550149357058011</v>
      </c>
      <c r="E330" s="181">
        <f t="shared" si="18"/>
        <v>44.550149357058011</v>
      </c>
      <c r="F330" s="209" t="str">
        <f t="shared" si="19"/>
        <v/>
      </c>
    </row>
    <row r="331" spans="1:7">
      <c r="A331">
        <v>328</v>
      </c>
      <c r="B331" s="46">
        <v>43763</v>
      </c>
      <c r="C331" s="285">
        <v>58.938894661877342</v>
      </c>
      <c r="D331" s="285">
        <v>44.550149357058011</v>
      </c>
      <c r="E331" s="181">
        <f t="shared" si="18"/>
        <v>44.550149357058011</v>
      </c>
      <c r="F331" s="209" t="str">
        <f t="shared" si="19"/>
        <v/>
      </c>
    </row>
    <row r="332" spans="1:7">
      <c r="A332">
        <v>329</v>
      </c>
      <c r="B332" s="46">
        <v>43764</v>
      </c>
      <c r="C332" s="285">
        <v>50.177881125876411</v>
      </c>
      <c r="D332" s="285">
        <v>44.550149357058011</v>
      </c>
      <c r="E332" s="181">
        <f t="shared" si="18"/>
        <v>44.550149357058011</v>
      </c>
      <c r="F332" s="209" t="str">
        <f t="shared" si="19"/>
        <v/>
      </c>
    </row>
    <row r="333" spans="1:7">
      <c r="A333">
        <v>330</v>
      </c>
      <c r="B333" s="46">
        <v>43765</v>
      </c>
      <c r="C333" s="285">
        <v>53.409759997879206</v>
      </c>
      <c r="D333" s="285">
        <v>44.550149357058011</v>
      </c>
      <c r="E333" s="181">
        <f t="shared" si="18"/>
        <v>44.550149357058011</v>
      </c>
      <c r="F333" s="209" t="str">
        <f t="shared" si="19"/>
        <v/>
      </c>
    </row>
    <row r="334" spans="1:7">
      <c r="A334">
        <v>331</v>
      </c>
      <c r="B334" s="46">
        <v>43766</v>
      </c>
      <c r="C334" s="285">
        <v>64.334243269877348</v>
      </c>
      <c r="D334" s="285">
        <v>44.550149357058011</v>
      </c>
      <c r="E334" s="181">
        <f t="shared" si="18"/>
        <v>44.550149357058011</v>
      </c>
      <c r="F334" s="209" t="str">
        <f t="shared" si="19"/>
        <v/>
      </c>
    </row>
    <row r="335" spans="1:7">
      <c r="A335">
        <v>332</v>
      </c>
      <c r="B335" s="46">
        <v>43767</v>
      </c>
      <c r="C335" s="285">
        <v>70.119179819877345</v>
      </c>
      <c r="D335" s="285">
        <v>44.550149357058011</v>
      </c>
      <c r="E335" s="181">
        <f t="shared" si="18"/>
        <v>44.550149357058011</v>
      </c>
      <c r="F335" s="209" t="str">
        <f t="shared" si="19"/>
        <v/>
      </c>
    </row>
    <row r="336" spans="1:7">
      <c r="A336">
        <v>333</v>
      </c>
      <c r="B336" s="46">
        <v>43768</v>
      </c>
      <c r="C336" s="285">
        <v>57.804457861749711</v>
      </c>
      <c r="D336" s="285">
        <v>44.550149357058011</v>
      </c>
      <c r="E336" s="181">
        <f t="shared" si="18"/>
        <v>44.550149357058011</v>
      </c>
      <c r="F336" s="209" t="str">
        <f t="shared" si="19"/>
        <v/>
      </c>
    </row>
    <row r="337" spans="1:7">
      <c r="A337">
        <v>334</v>
      </c>
      <c r="B337" s="46">
        <v>43769</v>
      </c>
      <c r="C337" s="285">
        <v>48.783205057750635</v>
      </c>
      <c r="D337" s="285">
        <v>44.550149357058011</v>
      </c>
      <c r="E337" s="181">
        <f t="shared" si="18"/>
        <v>44.550149357058011</v>
      </c>
      <c r="F337" s="209" t="str">
        <f t="shared" si="19"/>
        <v/>
      </c>
    </row>
    <row r="338" spans="1:7">
      <c r="A338">
        <v>335</v>
      </c>
      <c r="B338" s="46">
        <v>43770</v>
      </c>
      <c r="C338" s="285">
        <v>32.645414409750643</v>
      </c>
      <c r="D338" s="285">
        <v>83.137557492553753</v>
      </c>
      <c r="E338" s="181">
        <f t="shared" si="18"/>
        <v>32.645414409750643</v>
      </c>
      <c r="F338" s="209" t="str">
        <f t="shared" si="19"/>
        <v/>
      </c>
    </row>
    <row r="339" spans="1:7">
      <c r="A339">
        <v>336</v>
      </c>
      <c r="B339" s="46">
        <v>43771</v>
      </c>
      <c r="C339" s="285">
        <v>33.302213801749708</v>
      </c>
      <c r="D339" s="285">
        <v>83.137557492553753</v>
      </c>
      <c r="E339" s="181">
        <f t="shared" si="18"/>
        <v>33.302213801749708</v>
      </c>
      <c r="F339" s="209" t="str">
        <f t="shared" si="19"/>
        <v/>
      </c>
    </row>
    <row r="340" spans="1:7">
      <c r="A340">
        <v>337</v>
      </c>
      <c r="B340" s="46">
        <v>43772</v>
      </c>
      <c r="C340" s="285">
        <v>39.235533997751567</v>
      </c>
      <c r="D340" s="285">
        <v>83.137557492553753</v>
      </c>
      <c r="E340" s="181">
        <f t="shared" si="18"/>
        <v>39.235533997751567</v>
      </c>
      <c r="F340" s="209" t="str">
        <f t="shared" si="19"/>
        <v/>
      </c>
    </row>
    <row r="341" spans="1:7">
      <c r="A341">
        <v>338</v>
      </c>
      <c r="B341" s="46">
        <v>43773</v>
      </c>
      <c r="C341" s="285">
        <v>49.432187269750642</v>
      </c>
      <c r="D341" s="285">
        <v>83.137557492553753</v>
      </c>
      <c r="E341" s="181">
        <f t="shared" si="18"/>
        <v>49.432187269750642</v>
      </c>
      <c r="F341" s="209" t="str">
        <f t="shared" si="19"/>
        <v/>
      </c>
    </row>
    <row r="342" spans="1:7">
      <c r="A342">
        <v>339</v>
      </c>
      <c r="B342" s="46">
        <v>43774</v>
      </c>
      <c r="C342" s="285">
        <v>55.129035661749711</v>
      </c>
      <c r="D342" s="285">
        <v>83.137557492553753</v>
      </c>
      <c r="E342" s="181">
        <f t="shared" si="18"/>
        <v>55.129035661749711</v>
      </c>
      <c r="F342" s="209" t="str">
        <f t="shared" si="19"/>
        <v/>
      </c>
    </row>
    <row r="343" spans="1:7">
      <c r="A343">
        <v>340</v>
      </c>
      <c r="B343" s="46">
        <v>43775</v>
      </c>
      <c r="C343" s="285">
        <v>96.517850272140009</v>
      </c>
      <c r="D343" s="285">
        <v>83.137557492553753</v>
      </c>
      <c r="E343" s="181">
        <f t="shared" si="18"/>
        <v>83.137557492553753</v>
      </c>
      <c r="F343" s="209" t="str">
        <f t="shared" si="19"/>
        <v/>
      </c>
    </row>
    <row r="344" spans="1:7">
      <c r="A344">
        <v>341</v>
      </c>
      <c r="B344" s="46">
        <v>43776</v>
      </c>
      <c r="C344" s="285">
        <v>96.981097774139087</v>
      </c>
      <c r="D344" s="285">
        <v>83.137557492553753</v>
      </c>
      <c r="E344" s="181">
        <f t="shared" si="18"/>
        <v>83.137557492553753</v>
      </c>
      <c r="F344" s="209" t="str">
        <f t="shared" si="19"/>
        <v/>
      </c>
    </row>
    <row r="345" spans="1:7">
      <c r="A345">
        <v>342</v>
      </c>
      <c r="B345" s="46">
        <v>43777</v>
      </c>
      <c r="C345" s="285">
        <v>99.267910608140028</v>
      </c>
      <c r="D345" s="285">
        <v>83.137557492553753</v>
      </c>
      <c r="E345" s="181">
        <f t="shared" si="18"/>
        <v>83.137557492553753</v>
      </c>
      <c r="F345" s="209" t="str">
        <f t="shared" si="19"/>
        <v/>
      </c>
    </row>
    <row r="346" spans="1:7">
      <c r="A346">
        <v>343</v>
      </c>
      <c r="B346" s="46">
        <v>43778</v>
      </c>
      <c r="C346" s="285">
        <v>100.38756797614002</v>
      </c>
      <c r="D346" s="285">
        <v>83.137557492553753</v>
      </c>
      <c r="E346" s="181">
        <f t="shared" si="18"/>
        <v>83.137557492553753</v>
      </c>
      <c r="F346" s="209" t="str">
        <f t="shared" si="19"/>
        <v/>
      </c>
    </row>
    <row r="347" spans="1:7">
      <c r="A347">
        <v>344</v>
      </c>
      <c r="B347" s="46">
        <v>43779</v>
      </c>
      <c r="C347" s="285">
        <v>100.00252910214002</v>
      </c>
      <c r="D347" s="285">
        <v>83.137557492553753</v>
      </c>
      <c r="E347" s="181">
        <f t="shared" si="18"/>
        <v>83.137557492553753</v>
      </c>
      <c r="F347" s="209" t="str">
        <f t="shared" si="19"/>
        <v/>
      </c>
    </row>
    <row r="348" spans="1:7">
      <c r="A348">
        <v>345</v>
      </c>
      <c r="B348" s="46">
        <v>43780</v>
      </c>
      <c r="C348" s="285">
        <v>103.5793016841391</v>
      </c>
      <c r="D348" s="285">
        <v>83.137557492553753</v>
      </c>
      <c r="E348" s="181">
        <f t="shared" si="18"/>
        <v>83.137557492553753</v>
      </c>
      <c r="F348" s="209" t="str">
        <f t="shared" si="19"/>
        <v/>
      </c>
    </row>
    <row r="349" spans="1:7">
      <c r="A349">
        <v>346</v>
      </c>
      <c r="B349" s="46">
        <v>43781</v>
      </c>
      <c r="C349" s="285">
        <v>107.87766753814094</v>
      </c>
      <c r="D349" s="285">
        <v>83.137557492553753</v>
      </c>
      <c r="E349" s="181">
        <f t="shared" si="18"/>
        <v>83.137557492553753</v>
      </c>
      <c r="F349" s="209" t="str">
        <f t="shared" si="19"/>
        <v/>
      </c>
    </row>
    <row r="350" spans="1:7">
      <c r="A350">
        <v>347</v>
      </c>
      <c r="B350" s="46">
        <v>43782</v>
      </c>
      <c r="C350" s="285">
        <v>169.37504266546199</v>
      </c>
      <c r="D350" s="285">
        <v>83.137557492553753</v>
      </c>
      <c r="E350" s="181">
        <f t="shared" si="18"/>
        <v>83.137557492553753</v>
      </c>
      <c r="F350" s="209" t="str">
        <f t="shared" si="19"/>
        <v/>
      </c>
    </row>
    <row r="351" spans="1:7">
      <c r="A351">
        <v>348</v>
      </c>
      <c r="B351" s="46">
        <v>43783</v>
      </c>
      <c r="C351" s="285">
        <v>178.92032890546014</v>
      </c>
      <c r="D351" s="285">
        <v>83.137557492553753</v>
      </c>
      <c r="E351" s="181">
        <f t="shared" si="18"/>
        <v>83.137557492553753</v>
      </c>
      <c r="F351" s="209" t="str">
        <f t="shared" si="19"/>
        <v/>
      </c>
      <c r="G351" s="210" t="str">
        <f t="shared" ref="G351" si="20">IF(DAY(B351)=15,D351,"")</f>
        <v/>
      </c>
    </row>
    <row r="352" spans="1:7">
      <c r="A352">
        <v>349</v>
      </c>
      <c r="B352" s="46">
        <v>43784</v>
      </c>
      <c r="C352" s="285">
        <v>175.7299756654601</v>
      </c>
      <c r="D352" s="285">
        <v>83.137557492553753</v>
      </c>
      <c r="E352" s="181">
        <f t="shared" si="18"/>
        <v>83.137557492553753</v>
      </c>
      <c r="F352" s="209" t="str">
        <f t="shared" si="19"/>
        <v>N</v>
      </c>
      <c r="G352" s="210">
        <f>IF(DAY(B352)=15,D352,"")</f>
        <v>83.137557492553753</v>
      </c>
    </row>
    <row r="353" spans="1:6">
      <c r="A353">
        <v>350</v>
      </c>
      <c r="B353" s="46">
        <v>43785</v>
      </c>
      <c r="C353" s="285">
        <v>172.31068314546198</v>
      </c>
      <c r="D353" s="285">
        <v>83.137557492553753</v>
      </c>
      <c r="E353" s="181">
        <f t="shared" si="18"/>
        <v>83.137557492553753</v>
      </c>
      <c r="F353" s="209" t="str">
        <f t="shared" si="19"/>
        <v/>
      </c>
    </row>
    <row r="354" spans="1:6">
      <c r="A354">
        <v>351</v>
      </c>
      <c r="B354" s="46">
        <v>43786</v>
      </c>
      <c r="C354" s="285">
        <v>168.51232138546013</v>
      </c>
      <c r="D354" s="285">
        <v>83.137557492553753</v>
      </c>
      <c r="E354" s="181">
        <f t="shared" si="18"/>
        <v>83.137557492553753</v>
      </c>
      <c r="F354" s="209" t="str">
        <f t="shared" si="19"/>
        <v/>
      </c>
    </row>
    <row r="355" spans="1:6">
      <c r="A355">
        <v>352</v>
      </c>
      <c r="B355" s="46">
        <v>43787</v>
      </c>
      <c r="C355" s="285">
        <v>176.87608349546107</v>
      </c>
      <c r="D355" s="285">
        <v>83.137557492553753</v>
      </c>
      <c r="E355" s="181">
        <f t="shared" si="18"/>
        <v>83.137557492553753</v>
      </c>
      <c r="F355" s="209" t="str">
        <f t="shared" si="19"/>
        <v/>
      </c>
    </row>
    <row r="356" spans="1:6">
      <c r="A356">
        <v>353</v>
      </c>
      <c r="B356" s="46">
        <v>43788</v>
      </c>
      <c r="C356" s="285">
        <v>191.19754494546009</v>
      </c>
      <c r="D356" s="285">
        <v>83.137557492553753</v>
      </c>
      <c r="E356" s="181">
        <f t="shared" si="18"/>
        <v>83.137557492553753</v>
      </c>
      <c r="F356" s="209" t="str">
        <f t="shared" si="19"/>
        <v/>
      </c>
    </row>
    <row r="357" spans="1:6">
      <c r="A357">
        <v>354</v>
      </c>
      <c r="B357" s="46">
        <v>43789</v>
      </c>
      <c r="C357" s="285">
        <v>165.53610746046272</v>
      </c>
      <c r="D357" s="285">
        <v>83.137557492553753</v>
      </c>
      <c r="E357" s="181">
        <f t="shared" si="18"/>
        <v>83.137557492553753</v>
      </c>
      <c r="F357" s="209" t="str">
        <f t="shared" si="19"/>
        <v/>
      </c>
    </row>
    <row r="358" spans="1:6">
      <c r="A358">
        <v>355</v>
      </c>
      <c r="B358" s="46">
        <v>43790</v>
      </c>
      <c r="C358" s="285">
        <v>164.48450008046365</v>
      </c>
      <c r="D358" s="285">
        <v>83.137557492553753</v>
      </c>
      <c r="E358" s="181">
        <f t="shared" si="18"/>
        <v>83.137557492553753</v>
      </c>
      <c r="F358" s="209" t="str">
        <f t="shared" si="19"/>
        <v/>
      </c>
    </row>
    <row r="359" spans="1:6">
      <c r="A359">
        <v>356</v>
      </c>
      <c r="B359" s="46">
        <v>43791</v>
      </c>
      <c r="C359" s="285">
        <v>142.55365212046459</v>
      </c>
      <c r="D359" s="285">
        <v>83.137557492553753</v>
      </c>
      <c r="E359" s="181">
        <f t="shared" si="18"/>
        <v>83.137557492553753</v>
      </c>
      <c r="F359" s="209" t="str">
        <f t="shared" si="19"/>
        <v/>
      </c>
    </row>
    <row r="360" spans="1:6">
      <c r="A360">
        <v>357</v>
      </c>
      <c r="B360" s="46">
        <v>43792</v>
      </c>
      <c r="C360" s="285">
        <v>149.79941410046365</v>
      </c>
      <c r="D360" s="285">
        <v>83.137557492553753</v>
      </c>
      <c r="E360" s="181">
        <f t="shared" si="18"/>
        <v>83.137557492553753</v>
      </c>
      <c r="F360" s="209" t="str">
        <f t="shared" si="19"/>
        <v/>
      </c>
    </row>
    <row r="361" spans="1:6">
      <c r="A361">
        <v>358</v>
      </c>
      <c r="B361" s="46">
        <v>43793</v>
      </c>
      <c r="C361" s="285">
        <v>152.63351821046362</v>
      </c>
      <c r="D361" s="285">
        <v>83.137557492553753</v>
      </c>
      <c r="E361" s="181">
        <f t="shared" si="18"/>
        <v>83.137557492553753</v>
      </c>
      <c r="F361" s="209" t="str">
        <f t="shared" si="19"/>
        <v/>
      </c>
    </row>
    <row r="362" spans="1:6">
      <c r="A362">
        <v>359</v>
      </c>
      <c r="B362" s="46">
        <v>43794</v>
      </c>
      <c r="C362" s="285">
        <v>160.46484280046366</v>
      </c>
      <c r="D362" s="285">
        <v>83.137557492553753</v>
      </c>
      <c r="E362" s="181">
        <f t="shared" si="18"/>
        <v>83.137557492553753</v>
      </c>
      <c r="F362" s="209" t="str">
        <f t="shared" si="19"/>
        <v/>
      </c>
    </row>
    <row r="363" spans="1:6">
      <c r="A363">
        <v>360</v>
      </c>
      <c r="B363" s="46">
        <v>43795</v>
      </c>
      <c r="C363" s="285">
        <v>154.75039204046178</v>
      </c>
      <c r="D363" s="285">
        <v>83.137557492553753</v>
      </c>
      <c r="E363" s="181">
        <f t="shared" si="18"/>
        <v>83.137557492553753</v>
      </c>
      <c r="F363" s="209" t="str">
        <f t="shared" si="19"/>
        <v/>
      </c>
    </row>
    <row r="364" spans="1:6">
      <c r="A364">
        <v>361</v>
      </c>
      <c r="B364" s="46">
        <v>43796</v>
      </c>
      <c r="C364" s="285">
        <v>208.72242819452077</v>
      </c>
      <c r="D364" s="285">
        <v>83.137557492553753</v>
      </c>
      <c r="E364" s="181">
        <f t="shared" si="18"/>
        <v>83.137557492553753</v>
      </c>
      <c r="F364" s="209" t="str">
        <f t="shared" si="19"/>
        <v/>
      </c>
    </row>
    <row r="365" spans="1:6">
      <c r="A365">
        <v>362</v>
      </c>
      <c r="B365" s="46">
        <v>43797</v>
      </c>
      <c r="C365" s="285">
        <v>218.49035702451982</v>
      </c>
      <c r="D365" s="285">
        <v>83.137557492553753</v>
      </c>
      <c r="E365" s="181">
        <f t="shared" si="18"/>
        <v>83.137557492553753</v>
      </c>
      <c r="F365" s="209" t="str">
        <f t="shared" si="19"/>
        <v/>
      </c>
    </row>
    <row r="366" spans="1:6">
      <c r="A366">
        <v>363</v>
      </c>
      <c r="B366" s="46">
        <v>43798</v>
      </c>
      <c r="C366" s="285">
        <v>228.39311174451981</v>
      </c>
      <c r="D366" s="285">
        <v>83.137557492553753</v>
      </c>
      <c r="E366" s="181">
        <f t="shared" si="18"/>
        <v>83.137557492553753</v>
      </c>
      <c r="F366" s="209" t="str">
        <f t="shared" si="19"/>
        <v/>
      </c>
    </row>
    <row r="367" spans="1:6">
      <c r="A367">
        <v>364</v>
      </c>
      <c r="B367" s="46">
        <v>43799</v>
      </c>
      <c r="C367" s="285">
        <v>214.47707978452075</v>
      </c>
      <c r="D367" s="285">
        <v>83.137557492553753</v>
      </c>
      <c r="E367" s="181">
        <f t="shared" si="18"/>
        <v>83.137557492553753</v>
      </c>
      <c r="F367" s="209" t="str">
        <f t="shared" si="19"/>
        <v/>
      </c>
    </row>
    <row r="368" spans="1:6">
      <c r="A368">
        <v>365</v>
      </c>
      <c r="B368" s="46">
        <v>43800</v>
      </c>
      <c r="C368" s="285">
        <v>217.97567370451887</v>
      </c>
      <c r="D368" s="285">
        <v>104.08859355090497</v>
      </c>
      <c r="E368" s="181">
        <f t="shared" si="18"/>
        <v>104.08859355090497</v>
      </c>
      <c r="F368" s="209" t="str">
        <f t="shared" si="19"/>
        <v/>
      </c>
    </row>
    <row r="369" spans="1:7">
      <c r="A369">
        <v>366</v>
      </c>
      <c r="B369" s="46">
        <v>43801</v>
      </c>
      <c r="C369" s="285">
        <v>220.38607756452078</v>
      </c>
      <c r="D369" s="285">
        <v>104.08859355090497</v>
      </c>
      <c r="E369" s="181">
        <f t="shared" si="18"/>
        <v>104.08859355090497</v>
      </c>
      <c r="F369" s="209" t="str">
        <f t="shared" si="19"/>
        <v/>
      </c>
    </row>
    <row r="370" spans="1:7">
      <c r="A370">
        <v>367</v>
      </c>
      <c r="B370" s="46">
        <v>43802</v>
      </c>
      <c r="C370" s="285">
        <v>238.12380746452078</v>
      </c>
      <c r="D370" s="285">
        <v>104.08859355090497</v>
      </c>
      <c r="E370" s="181">
        <f t="shared" si="18"/>
        <v>104.08859355090497</v>
      </c>
      <c r="F370" s="209" t="str">
        <f t="shared" si="19"/>
        <v/>
      </c>
    </row>
    <row r="371" spans="1:7">
      <c r="A371">
        <v>368</v>
      </c>
      <c r="B371" s="46">
        <v>43803</v>
      </c>
      <c r="C371" s="285">
        <v>156.75214829175312</v>
      </c>
      <c r="D371" s="285">
        <v>104.08859355090497</v>
      </c>
      <c r="E371" s="181">
        <f t="shared" si="18"/>
        <v>104.08859355090497</v>
      </c>
      <c r="F371" s="209" t="str">
        <f t="shared" si="19"/>
        <v/>
      </c>
    </row>
    <row r="372" spans="1:7">
      <c r="A372">
        <v>369</v>
      </c>
      <c r="B372" s="46">
        <v>43804</v>
      </c>
      <c r="C372" s="285">
        <v>156.11154397175403</v>
      </c>
      <c r="D372" s="285">
        <v>104.08859355090497</v>
      </c>
      <c r="E372" s="181">
        <f t="shared" si="18"/>
        <v>104.08859355090497</v>
      </c>
      <c r="F372" s="209" t="str">
        <f t="shared" si="19"/>
        <v/>
      </c>
    </row>
    <row r="373" spans="1:7">
      <c r="A373">
        <v>370</v>
      </c>
      <c r="B373" s="46">
        <v>43805</v>
      </c>
      <c r="C373" s="285">
        <v>145.51518334175313</v>
      </c>
      <c r="D373" s="285">
        <v>104.08859355090497</v>
      </c>
      <c r="E373" s="181">
        <f t="shared" si="18"/>
        <v>104.08859355090497</v>
      </c>
      <c r="F373" s="209" t="str">
        <f t="shared" si="19"/>
        <v/>
      </c>
    </row>
    <row r="374" spans="1:7">
      <c r="A374">
        <v>371</v>
      </c>
      <c r="B374" s="46">
        <v>43806</v>
      </c>
      <c r="C374" s="285">
        <v>138.26705353175311</v>
      </c>
      <c r="D374" s="285">
        <v>104.08859355090497</v>
      </c>
      <c r="E374" s="181">
        <f t="shared" si="18"/>
        <v>104.08859355090497</v>
      </c>
      <c r="F374" s="209" t="str">
        <f t="shared" si="19"/>
        <v/>
      </c>
    </row>
    <row r="375" spans="1:7">
      <c r="A375">
        <v>372</v>
      </c>
      <c r="B375" s="46">
        <v>43807</v>
      </c>
      <c r="C375" s="285">
        <v>123.47569367175311</v>
      </c>
      <c r="D375" s="285">
        <v>104.08859355090497</v>
      </c>
      <c r="E375" s="181">
        <f t="shared" si="18"/>
        <v>104.08859355090497</v>
      </c>
      <c r="F375" s="209" t="str">
        <f t="shared" si="19"/>
        <v/>
      </c>
    </row>
    <row r="376" spans="1:7">
      <c r="A376">
        <v>373</v>
      </c>
      <c r="B376" s="46">
        <v>43808</v>
      </c>
      <c r="C376" s="285">
        <v>121.07344309175217</v>
      </c>
      <c r="D376" s="285">
        <v>104.08859355090497</v>
      </c>
      <c r="E376" s="181">
        <f t="shared" si="18"/>
        <v>104.08859355090497</v>
      </c>
      <c r="F376" s="209" t="str">
        <f t="shared" si="19"/>
        <v/>
      </c>
    </row>
    <row r="377" spans="1:7">
      <c r="A377">
        <v>374</v>
      </c>
      <c r="B377" s="46">
        <v>43809</v>
      </c>
      <c r="C377" s="285">
        <v>130.04852048375309</v>
      </c>
      <c r="D377" s="285">
        <v>104.08859355090497</v>
      </c>
      <c r="E377" s="181">
        <f t="shared" si="18"/>
        <v>104.08859355090497</v>
      </c>
      <c r="F377" s="209" t="str">
        <f t="shared" si="19"/>
        <v/>
      </c>
    </row>
    <row r="378" spans="1:7">
      <c r="A378">
        <v>375</v>
      </c>
      <c r="B378" s="46">
        <v>43810</v>
      </c>
      <c r="C378" s="285">
        <v>138.49020952671947</v>
      </c>
      <c r="D378" s="285">
        <v>104.08859355090497</v>
      </c>
      <c r="E378" s="181">
        <f t="shared" si="18"/>
        <v>104.08859355090497</v>
      </c>
      <c r="F378" s="209" t="str">
        <f t="shared" si="19"/>
        <v/>
      </c>
    </row>
    <row r="379" spans="1:7">
      <c r="A379">
        <v>376</v>
      </c>
      <c r="B379" s="46">
        <v>43811</v>
      </c>
      <c r="C379" s="285">
        <v>127.47935954672039</v>
      </c>
      <c r="D379" s="285">
        <v>104.08859355090497</v>
      </c>
      <c r="E379" s="181">
        <f t="shared" si="18"/>
        <v>104.08859355090497</v>
      </c>
      <c r="F379" s="209" t="str">
        <f t="shared" si="19"/>
        <v/>
      </c>
    </row>
    <row r="380" spans="1:7">
      <c r="A380">
        <v>377</v>
      </c>
      <c r="B380" s="46">
        <v>43812</v>
      </c>
      <c r="C380" s="285">
        <v>135.27354444671852</v>
      </c>
      <c r="D380" s="285">
        <v>104.08859355090497</v>
      </c>
      <c r="E380" s="181">
        <f t="shared" si="18"/>
        <v>104.08859355090497</v>
      </c>
      <c r="F380" s="209" t="str">
        <f t="shared" si="19"/>
        <v/>
      </c>
    </row>
    <row r="381" spans="1:7">
      <c r="A381">
        <v>378</v>
      </c>
      <c r="B381" s="46">
        <v>43813</v>
      </c>
      <c r="C381" s="285">
        <v>142.16881114671943</v>
      </c>
      <c r="D381" s="285">
        <v>104.08859355090497</v>
      </c>
      <c r="E381" s="181">
        <f t="shared" si="18"/>
        <v>104.08859355090497</v>
      </c>
      <c r="F381" s="209" t="str">
        <f t="shared" si="19"/>
        <v/>
      </c>
    </row>
    <row r="382" spans="1:7">
      <c r="A382">
        <v>379</v>
      </c>
      <c r="B382" s="46">
        <v>43814</v>
      </c>
      <c r="C382" s="285">
        <v>136.56752488672038</v>
      </c>
      <c r="D382" s="285">
        <v>104.08859355090497</v>
      </c>
      <c r="E382" s="181">
        <f t="shared" si="18"/>
        <v>104.08859355090497</v>
      </c>
      <c r="F382" s="209" t="str">
        <f t="shared" si="19"/>
        <v>D</v>
      </c>
      <c r="G382" s="210">
        <f t="shared" ref="G382" si="21">IF(DAY(B382)=15,D382,"")</f>
        <v>104.08859355090497</v>
      </c>
    </row>
    <row r="383" spans="1:7">
      <c r="A383">
        <v>380</v>
      </c>
      <c r="B383" s="46">
        <v>43815</v>
      </c>
      <c r="C383" s="285">
        <v>157.41493800672038</v>
      </c>
      <c r="D383" s="285">
        <v>104.08859355090497</v>
      </c>
      <c r="E383" s="181">
        <f t="shared" si="18"/>
        <v>104.08859355090497</v>
      </c>
      <c r="F383" s="209" t="str">
        <f t="shared" si="19"/>
        <v/>
      </c>
    </row>
    <row r="384" spans="1:7">
      <c r="A384">
        <v>381</v>
      </c>
      <c r="B384" s="46">
        <v>43816</v>
      </c>
      <c r="C384" s="285">
        <v>173.46827267671944</v>
      </c>
      <c r="D384" s="285">
        <v>104.08859355090497</v>
      </c>
      <c r="E384" s="181">
        <f t="shared" si="18"/>
        <v>104.08859355090497</v>
      </c>
      <c r="F384" s="209" t="str">
        <f t="shared" si="19"/>
        <v/>
      </c>
    </row>
    <row r="385" spans="1:6">
      <c r="A385">
        <v>382</v>
      </c>
      <c r="B385" s="46">
        <v>43817</v>
      </c>
      <c r="C385" s="285">
        <v>334.12964689784087</v>
      </c>
      <c r="D385" s="285">
        <v>104.08859355090497</v>
      </c>
      <c r="E385" s="181">
        <f t="shared" si="18"/>
        <v>104.08859355090497</v>
      </c>
      <c r="F385" s="209" t="str">
        <f t="shared" si="19"/>
        <v/>
      </c>
    </row>
    <row r="386" spans="1:6">
      <c r="A386">
        <v>383</v>
      </c>
      <c r="B386" s="46">
        <v>43818</v>
      </c>
      <c r="C386" s="285">
        <v>332.56385904184464</v>
      </c>
      <c r="D386" s="285">
        <v>104.08859355090497</v>
      </c>
      <c r="E386" s="181">
        <f t="shared" si="18"/>
        <v>104.08859355090497</v>
      </c>
      <c r="F386" s="209" t="str">
        <f t="shared" si="19"/>
        <v/>
      </c>
    </row>
    <row r="387" spans="1:6">
      <c r="A387">
        <v>384</v>
      </c>
      <c r="B387" s="46">
        <v>43819</v>
      </c>
      <c r="C387" s="285">
        <v>354.56233885584282</v>
      </c>
      <c r="D387" s="285">
        <v>104.08859355090497</v>
      </c>
      <c r="E387" s="181">
        <f t="shared" si="18"/>
        <v>104.08859355090497</v>
      </c>
      <c r="F387" s="209" t="str">
        <f t="shared" si="19"/>
        <v/>
      </c>
    </row>
    <row r="388" spans="1:6">
      <c r="A388">
        <v>385</v>
      </c>
      <c r="B388" s="46">
        <v>43820</v>
      </c>
      <c r="C388" s="285">
        <v>354.27874643784463</v>
      </c>
      <c r="D388" s="285">
        <v>104.08859355090497</v>
      </c>
      <c r="E388" s="181">
        <f t="shared" ref="E388:E397" si="22">IF(C388&lt;D388,C388,D388)</f>
        <v>104.08859355090497</v>
      </c>
      <c r="F388" s="209" t="str">
        <f t="shared" ref="F388:F398" si="2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43821</v>
      </c>
      <c r="C389" s="285">
        <v>343.39449774784282</v>
      </c>
      <c r="D389" s="285">
        <v>104.08859355090497</v>
      </c>
      <c r="E389" s="181">
        <f t="shared" si="22"/>
        <v>104.08859355090497</v>
      </c>
      <c r="F389" s="209" t="str">
        <f t="shared" si="23"/>
        <v/>
      </c>
    </row>
    <row r="390" spans="1:6">
      <c r="A390">
        <v>387</v>
      </c>
      <c r="B390" s="46">
        <v>43822</v>
      </c>
      <c r="C390" s="285">
        <v>350.60836738784468</v>
      </c>
      <c r="D390" s="285">
        <v>104.08859355090497</v>
      </c>
      <c r="E390" s="181">
        <f t="shared" si="22"/>
        <v>104.08859355090497</v>
      </c>
      <c r="F390" s="209" t="str">
        <f t="shared" si="23"/>
        <v/>
      </c>
    </row>
    <row r="391" spans="1:6">
      <c r="A391">
        <v>388</v>
      </c>
      <c r="B391" s="46">
        <v>43823</v>
      </c>
      <c r="C391" s="285">
        <v>354.35816298784283</v>
      </c>
      <c r="D391" s="285">
        <v>104.08859355090497</v>
      </c>
      <c r="E391" s="181">
        <f t="shared" si="22"/>
        <v>104.08859355090497</v>
      </c>
      <c r="F391" s="209" t="str">
        <f t="shared" si="23"/>
        <v/>
      </c>
    </row>
    <row r="392" spans="1:6">
      <c r="A392">
        <v>389</v>
      </c>
      <c r="B392" s="46">
        <v>43824</v>
      </c>
      <c r="C392" s="285">
        <v>172.68689226917945</v>
      </c>
      <c r="D392" s="285">
        <v>104.08859355090497</v>
      </c>
      <c r="E392" s="181">
        <f t="shared" si="22"/>
        <v>104.08859355090497</v>
      </c>
      <c r="F392" s="209" t="str">
        <f t="shared" si="23"/>
        <v/>
      </c>
    </row>
    <row r="393" spans="1:6">
      <c r="A393">
        <v>390</v>
      </c>
      <c r="B393" s="46">
        <v>43825</v>
      </c>
      <c r="C393" s="285">
        <v>174.46318876918133</v>
      </c>
      <c r="D393" s="285">
        <v>104.08859355090497</v>
      </c>
      <c r="E393" s="181">
        <f t="shared" si="22"/>
        <v>104.08859355090497</v>
      </c>
      <c r="F393" s="209" t="str">
        <f t="shared" si="23"/>
        <v/>
      </c>
    </row>
    <row r="394" spans="1:6">
      <c r="A394">
        <v>391</v>
      </c>
      <c r="B394" s="46">
        <v>43826</v>
      </c>
      <c r="C394" s="285">
        <v>178.31420186918319</v>
      </c>
      <c r="D394" s="285">
        <v>104.08859355090497</v>
      </c>
      <c r="E394" s="181">
        <f t="shared" si="22"/>
        <v>104.08859355090497</v>
      </c>
      <c r="F394" s="209" t="str">
        <f t="shared" si="23"/>
        <v/>
      </c>
    </row>
    <row r="395" spans="1:6">
      <c r="A395">
        <v>392</v>
      </c>
      <c r="B395" s="46">
        <v>43827</v>
      </c>
      <c r="C395" s="285">
        <v>174.19467910117945</v>
      </c>
      <c r="D395" s="285">
        <v>104.08859355090497</v>
      </c>
      <c r="E395" s="181">
        <f t="shared" si="22"/>
        <v>104.08859355090497</v>
      </c>
      <c r="F395" s="209" t="str">
        <f t="shared" si="23"/>
        <v/>
      </c>
    </row>
    <row r="396" spans="1:6">
      <c r="A396">
        <v>393</v>
      </c>
      <c r="B396" s="46">
        <v>43828</v>
      </c>
      <c r="C396" s="285">
        <v>164.00843339318129</v>
      </c>
      <c r="D396" s="285">
        <v>104.08859355090497</v>
      </c>
      <c r="E396" s="181">
        <f t="shared" si="22"/>
        <v>104.08859355090497</v>
      </c>
      <c r="F396" s="209" t="str">
        <f t="shared" si="23"/>
        <v/>
      </c>
    </row>
    <row r="397" spans="1:6">
      <c r="A397">
        <v>394</v>
      </c>
      <c r="B397" s="46">
        <v>43829</v>
      </c>
      <c r="C397" s="285">
        <v>162.84888335718131</v>
      </c>
      <c r="D397" s="285">
        <v>104.08859355090497</v>
      </c>
      <c r="E397" s="181">
        <f t="shared" si="22"/>
        <v>104.08859355090497</v>
      </c>
      <c r="F397" s="209" t="str">
        <f t="shared" si="23"/>
        <v/>
      </c>
    </row>
    <row r="398" spans="1:6">
      <c r="A398">
        <v>395</v>
      </c>
      <c r="B398" s="46">
        <v>43830</v>
      </c>
      <c r="C398" s="285">
        <v>160.96440108718133</v>
      </c>
      <c r="D398" s="285">
        <v>104.08859355090497</v>
      </c>
      <c r="E398" s="181">
        <f t="shared" ref="E398" si="24">IF(C398&lt;D398,C398,D398)</f>
        <v>104.08859355090497</v>
      </c>
      <c r="F398" s="209" t="str">
        <f t="shared" si="23"/>
        <v/>
      </c>
    </row>
    <row r="399" spans="1:6">
      <c r="B399" s="46"/>
      <c r="C399" s="285"/>
      <c r="D399" s="285"/>
      <c r="E399" s="181"/>
      <c r="F399" s="209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1" t="s">
        <v>577</v>
      </c>
      <c r="D400" s="181" t="s">
        <v>577</v>
      </c>
      <c r="E400" s="181" t="str">
        <f t="shared" ref="E400:E451" si="25">IF(C400&lt;D400,C400,D400)</f>
        <v/>
      </c>
      <c r="F400" s="209" t="str">
        <f t="shared" ref="F400:F412" si="26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1" t="s">
        <v>577</v>
      </c>
      <c r="D401" s="181" t="s">
        <v>577</v>
      </c>
      <c r="E401" s="181" t="str">
        <f t="shared" si="25"/>
        <v/>
      </c>
      <c r="F401" s="209" t="str">
        <f t="shared" si="26"/>
        <v/>
      </c>
    </row>
    <row r="402" spans="3:7">
      <c r="C402" s="181" t="s">
        <v>577</v>
      </c>
      <c r="D402" s="181" t="s">
        <v>577</v>
      </c>
      <c r="E402" s="181" t="str">
        <f t="shared" si="25"/>
        <v/>
      </c>
      <c r="F402" s="209" t="str">
        <f t="shared" si="26"/>
        <v/>
      </c>
    </row>
    <row r="403" spans="3:7">
      <c r="C403" s="181" t="s">
        <v>577</v>
      </c>
      <c r="D403" s="181" t="s">
        <v>577</v>
      </c>
      <c r="E403" s="181" t="str">
        <f t="shared" si="25"/>
        <v/>
      </c>
      <c r="F403" s="209" t="str">
        <f t="shared" si="26"/>
        <v/>
      </c>
    </row>
    <row r="404" spans="3:7">
      <c r="C404" s="181" t="s">
        <v>577</v>
      </c>
      <c r="D404" s="181" t="s">
        <v>577</v>
      </c>
      <c r="E404" s="181" t="str">
        <f t="shared" si="25"/>
        <v/>
      </c>
      <c r="F404" s="209" t="str">
        <f t="shared" si="26"/>
        <v/>
      </c>
    </row>
    <row r="405" spans="3:7">
      <c r="C405" s="181" t="s">
        <v>577</v>
      </c>
      <c r="D405" s="181" t="s">
        <v>577</v>
      </c>
      <c r="E405" s="181" t="str">
        <f t="shared" si="25"/>
        <v/>
      </c>
      <c r="F405" s="209" t="str">
        <f t="shared" si="26"/>
        <v/>
      </c>
    </row>
    <row r="406" spans="3:7">
      <c r="C406" s="181" t="s">
        <v>577</v>
      </c>
      <c r="D406" s="181" t="s">
        <v>577</v>
      </c>
      <c r="E406" s="181" t="str">
        <f t="shared" si="25"/>
        <v/>
      </c>
      <c r="F406" s="209" t="str">
        <f t="shared" si="26"/>
        <v/>
      </c>
    </row>
    <row r="407" spans="3:7">
      <c r="C407" s="181" t="s">
        <v>577</v>
      </c>
      <c r="D407" s="181" t="s">
        <v>577</v>
      </c>
      <c r="E407" s="181" t="str">
        <f t="shared" si="25"/>
        <v/>
      </c>
      <c r="F407" s="209" t="str">
        <f t="shared" si="26"/>
        <v/>
      </c>
    </row>
    <row r="408" spans="3:7">
      <c r="C408" s="181" t="s">
        <v>577</v>
      </c>
      <c r="D408" s="181" t="s">
        <v>577</v>
      </c>
      <c r="E408" s="181" t="str">
        <f t="shared" si="25"/>
        <v/>
      </c>
      <c r="F408" s="209" t="str">
        <f t="shared" si="26"/>
        <v/>
      </c>
    </row>
    <row r="409" spans="3:7">
      <c r="C409" s="181" t="s">
        <v>577</v>
      </c>
      <c r="D409" s="181" t="s">
        <v>577</v>
      </c>
      <c r="E409" s="181" t="str">
        <f t="shared" si="25"/>
        <v/>
      </c>
      <c r="F409" s="209" t="str">
        <f t="shared" si="26"/>
        <v/>
      </c>
    </row>
    <row r="410" spans="3:7">
      <c r="C410" s="181" t="s">
        <v>577</v>
      </c>
      <c r="D410" s="181" t="s">
        <v>577</v>
      </c>
      <c r="E410" s="181" t="str">
        <f t="shared" si="25"/>
        <v/>
      </c>
      <c r="F410" s="209" t="str">
        <f t="shared" si="26"/>
        <v/>
      </c>
    </row>
    <row r="411" spans="3:7">
      <c r="C411" s="181" t="s">
        <v>577</v>
      </c>
      <c r="D411" s="181" t="s">
        <v>577</v>
      </c>
      <c r="E411" s="181" t="str">
        <f t="shared" si="25"/>
        <v/>
      </c>
      <c r="F411" s="209" t="str">
        <f t="shared" si="26"/>
        <v/>
      </c>
      <c r="G411" s="210" t="str">
        <f t="shared" ref="G411:G412" si="27">IF(DAY(B411)=15,D411,"")</f>
        <v/>
      </c>
    </row>
    <row r="412" spans="3:7">
      <c r="C412" s="181" t="s">
        <v>577</v>
      </c>
      <c r="D412" s="181" t="s">
        <v>577</v>
      </c>
      <c r="E412" s="181" t="str">
        <f t="shared" si="25"/>
        <v/>
      </c>
      <c r="F412" s="209" t="str">
        <f t="shared" si="26"/>
        <v/>
      </c>
      <c r="G412" s="210" t="str">
        <f t="shared" si="27"/>
        <v/>
      </c>
    </row>
    <row r="413" spans="3:7">
      <c r="C413" s="181" t="s">
        <v>577</v>
      </c>
      <c r="D413" s="181" t="s">
        <v>577</v>
      </c>
      <c r="E413" s="181" t="str">
        <f t="shared" si="25"/>
        <v/>
      </c>
    </row>
    <row r="414" spans="3:7">
      <c r="C414" s="181" t="s">
        <v>577</v>
      </c>
      <c r="D414" s="181" t="s">
        <v>577</v>
      </c>
      <c r="E414" s="181" t="str">
        <f t="shared" si="25"/>
        <v/>
      </c>
    </row>
    <row r="415" spans="3:7">
      <c r="C415" s="181" t="s">
        <v>577</v>
      </c>
      <c r="D415" s="181" t="s">
        <v>577</v>
      </c>
      <c r="E415" s="181" t="str">
        <f t="shared" si="25"/>
        <v/>
      </c>
    </row>
    <row r="416" spans="3:7">
      <c r="C416" s="181" t="s">
        <v>577</v>
      </c>
      <c r="D416" s="181" t="s">
        <v>577</v>
      </c>
      <c r="E416" s="181" t="str">
        <f t="shared" si="25"/>
        <v/>
      </c>
    </row>
    <row r="417" spans="3:5">
      <c r="C417" s="181" t="s">
        <v>577</v>
      </c>
      <c r="D417" s="181" t="s">
        <v>577</v>
      </c>
      <c r="E417" s="181" t="str">
        <f t="shared" si="25"/>
        <v/>
      </c>
    </row>
    <row r="418" spans="3:5">
      <c r="C418" s="181" t="s">
        <v>577</v>
      </c>
      <c r="D418" s="181" t="s">
        <v>577</v>
      </c>
      <c r="E418" s="181" t="str">
        <f t="shared" si="25"/>
        <v/>
      </c>
    </row>
    <row r="419" spans="3:5">
      <c r="C419" s="181" t="s">
        <v>577</v>
      </c>
      <c r="D419" s="181" t="s">
        <v>577</v>
      </c>
      <c r="E419" s="181" t="str">
        <f t="shared" si="25"/>
        <v/>
      </c>
    </row>
    <row r="420" spans="3:5">
      <c r="C420" s="181" t="s">
        <v>577</v>
      </c>
      <c r="D420" s="181" t="s">
        <v>577</v>
      </c>
      <c r="E420" s="181" t="str">
        <f t="shared" si="25"/>
        <v/>
      </c>
    </row>
    <row r="421" spans="3:5">
      <c r="C421" s="181" t="s">
        <v>577</v>
      </c>
      <c r="D421" s="181" t="s">
        <v>577</v>
      </c>
      <c r="E421" s="181" t="str">
        <f t="shared" si="25"/>
        <v/>
      </c>
    </row>
    <row r="422" spans="3:5">
      <c r="C422" s="181" t="s">
        <v>577</v>
      </c>
      <c r="D422" s="181" t="s">
        <v>577</v>
      </c>
      <c r="E422" s="181" t="str">
        <f t="shared" si="25"/>
        <v/>
      </c>
    </row>
    <row r="423" spans="3:5">
      <c r="C423" s="181" t="s">
        <v>577</v>
      </c>
      <c r="D423" s="181" t="s">
        <v>577</v>
      </c>
      <c r="E423" s="181" t="str">
        <f t="shared" si="25"/>
        <v/>
      </c>
    </row>
    <row r="424" spans="3:5">
      <c r="C424" s="181" t="s">
        <v>577</v>
      </c>
      <c r="D424" s="181" t="s">
        <v>577</v>
      </c>
      <c r="E424" s="181" t="str">
        <f t="shared" si="25"/>
        <v/>
      </c>
    </row>
    <row r="425" spans="3:5">
      <c r="C425" s="181" t="s">
        <v>577</v>
      </c>
      <c r="D425" s="181" t="s">
        <v>577</v>
      </c>
      <c r="E425" s="181" t="str">
        <f t="shared" si="25"/>
        <v/>
      </c>
    </row>
    <row r="426" spans="3:5">
      <c r="C426" s="181" t="s">
        <v>577</v>
      </c>
      <c r="D426" s="181" t="s">
        <v>577</v>
      </c>
      <c r="E426" s="181" t="str">
        <f t="shared" si="25"/>
        <v/>
      </c>
    </row>
    <row r="427" spans="3:5">
      <c r="C427" s="181" t="s">
        <v>577</v>
      </c>
      <c r="D427" s="181" t="s">
        <v>577</v>
      </c>
      <c r="E427" s="181" t="str">
        <f t="shared" si="25"/>
        <v/>
      </c>
    </row>
    <row r="428" spans="3:5">
      <c r="C428" s="181" t="s">
        <v>577</v>
      </c>
      <c r="D428" s="181" t="s">
        <v>577</v>
      </c>
      <c r="E428" s="181" t="str">
        <f t="shared" si="25"/>
        <v/>
      </c>
    </row>
    <row r="429" spans="3:5">
      <c r="C429" s="181" t="s">
        <v>577</v>
      </c>
      <c r="D429" s="181" t="s">
        <v>577</v>
      </c>
      <c r="E429" s="181" t="str">
        <f t="shared" si="25"/>
        <v/>
      </c>
    </row>
    <row r="430" spans="3:5">
      <c r="C430" s="181" t="s">
        <v>577</v>
      </c>
      <c r="D430" s="181" t="s">
        <v>577</v>
      </c>
      <c r="E430" s="181" t="str">
        <f t="shared" si="25"/>
        <v/>
      </c>
    </row>
    <row r="431" spans="3:5">
      <c r="C431" s="181" t="s">
        <v>577</v>
      </c>
      <c r="D431" s="181" t="s">
        <v>577</v>
      </c>
      <c r="E431" s="181" t="str">
        <f t="shared" si="25"/>
        <v/>
      </c>
    </row>
    <row r="432" spans="3:5">
      <c r="C432" s="181" t="s">
        <v>577</v>
      </c>
      <c r="D432" s="181" t="s">
        <v>577</v>
      </c>
      <c r="E432" s="181" t="str">
        <f t="shared" si="25"/>
        <v/>
      </c>
    </row>
    <row r="433" spans="3:5">
      <c r="C433" s="181" t="s">
        <v>577</v>
      </c>
      <c r="D433" s="181" t="s">
        <v>577</v>
      </c>
      <c r="E433" s="181" t="str">
        <f t="shared" si="25"/>
        <v/>
      </c>
    </row>
    <row r="434" spans="3:5">
      <c r="C434" s="181" t="s">
        <v>577</v>
      </c>
      <c r="D434" s="181" t="s">
        <v>577</v>
      </c>
      <c r="E434" s="181" t="str">
        <f t="shared" si="25"/>
        <v/>
      </c>
    </row>
    <row r="435" spans="3:5">
      <c r="C435" s="181" t="s">
        <v>577</v>
      </c>
      <c r="D435" s="181" t="s">
        <v>577</v>
      </c>
      <c r="E435" s="181" t="str">
        <f t="shared" si="25"/>
        <v/>
      </c>
    </row>
    <row r="436" spans="3:5">
      <c r="C436" s="181" t="s">
        <v>577</v>
      </c>
      <c r="D436" s="181" t="s">
        <v>577</v>
      </c>
      <c r="E436" s="181" t="str">
        <f t="shared" si="25"/>
        <v/>
      </c>
    </row>
    <row r="437" spans="3:5">
      <c r="C437" s="181" t="s">
        <v>577</v>
      </c>
      <c r="D437" s="181" t="s">
        <v>577</v>
      </c>
      <c r="E437" s="181" t="str">
        <f t="shared" si="25"/>
        <v/>
      </c>
    </row>
    <row r="438" spans="3:5">
      <c r="C438" s="181" t="s">
        <v>577</v>
      </c>
      <c r="D438" s="181" t="s">
        <v>577</v>
      </c>
      <c r="E438" s="181" t="str">
        <f t="shared" si="25"/>
        <v/>
      </c>
    </row>
    <row r="439" spans="3:5">
      <c r="C439" s="181" t="s">
        <v>577</v>
      </c>
      <c r="D439" s="181" t="s">
        <v>577</v>
      </c>
      <c r="E439" s="181" t="str">
        <f t="shared" si="25"/>
        <v/>
      </c>
    </row>
    <row r="440" spans="3:5">
      <c r="C440" s="181" t="s">
        <v>577</v>
      </c>
      <c r="D440" s="181" t="s">
        <v>577</v>
      </c>
      <c r="E440" s="181" t="str">
        <f t="shared" si="25"/>
        <v/>
      </c>
    </row>
    <row r="441" spans="3:5">
      <c r="C441" s="181" t="s">
        <v>577</v>
      </c>
      <c r="D441" s="181" t="s">
        <v>577</v>
      </c>
      <c r="E441" s="181" t="str">
        <f t="shared" si="25"/>
        <v/>
      </c>
    </row>
    <row r="442" spans="3:5">
      <c r="C442" s="181" t="s">
        <v>577</v>
      </c>
      <c r="D442" s="181" t="s">
        <v>577</v>
      </c>
      <c r="E442" s="181" t="str">
        <f t="shared" si="25"/>
        <v/>
      </c>
    </row>
    <row r="443" spans="3:5">
      <c r="C443" s="181" t="s">
        <v>577</v>
      </c>
      <c r="D443" s="181" t="s">
        <v>577</v>
      </c>
      <c r="E443" s="181" t="str">
        <f t="shared" si="25"/>
        <v/>
      </c>
    </row>
    <row r="444" spans="3:5">
      <c r="C444" s="181" t="s">
        <v>577</v>
      </c>
      <c r="D444" s="181" t="s">
        <v>577</v>
      </c>
      <c r="E444" s="181" t="str">
        <f t="shared" si="25"/>
        <v/>
      </c>
    </row>
    <row r="445" spans="3:5">
      <c r="C445" s="181" t="s">
        <v>577</v>
      </c>
      <c r="D445" s="181" t="s">
        <v>577</v>
      </c>
      <c r="E445" s="181" t="str">
        <f t="shared" si="25"/>
        <v/>
      </c>
    </row>
    <row r="446" spans="3:5">
      <c r="C446" s="181" t="s">
        <v>577</v>
      </c>
      <c r="D446" s="181" t="s">
        <v>577</v>
      </c>
      <c r="E446" s="181" t="str">
        <f t="shared" si="25"/>
        <v/>
      </c>
    </row>
    <row r="447" spans="3:5">
      <c r="C447" s="181" t="s">
        <v>577</v>
      </c>
      <c r="D447" s="181" t="s">
        <v>577</v>
      </c>
      <c r="E447" s="181" t="str">
        <f t="shared" si="25"/>
        <v/>
      </c>
    </row>
    <row r="448" spans="3:5">
      <c r="C448" s="181" t="s">
        <v>577</v>
      </c>
      <c r="D448" s="181" t="s">
        <v>577</v>
      </c>
      <c r="E448" s="181" t="str">
        <f t="shared" si="25"/>
        <v/>
      </c>
    </row>
    <row r="449" spans="3:5">
      <c r="C449" s="181" t="s">
        <v>577</v>
      </c>
      <c r="D449" s="181" t="s">
        <v>577</v>
      </c>
      <c r="E449" s="181" t="str">
        <f t="shared" si="25"/>
        <v/>
      </c>
    </row>
    <row r="450" spans="3:5">
      <c r="C450" s="181" t="s">
        <v>577</v>
      </c>
      <c r="D450" s="181" t="s">
        <v>577</v>
      </c>
      <c r="E450" s="181" t="str">
        <f t="shared" si="25"/>
        <v/>
      </c>
    </row>
    <row r="451" spans="3:5">
      <c r="C451" s="181" t="s">
        <v>577</v>
      </c>
      <c r="D451" s="181" t="s">
        <v>577</v>
      </c>
      <c r="E451" s="181" t="str">
        <f t="shared" si="25"/>
        <v/>
      </c>
    </row>
    <row r="452" spans="3:5">
      <c r="C452" s="181" t="s">
        <v>577</v>
      </c>
      <c r="D452" s="181" t="s">
        <v>577</v>
      </c>
      <c r="E452" s="181" t="str">
        <f t="shared" ref="E452:E515" si="28">IF(C452&lt;D452,C452,D452)</f>
        <v/>
      </c>
    </row>
    <row r="453" spans="3:5">
      <c r="C453" s="181" t="s">
        <v>577</v>
      </c>
      <c r="D453" s="181" t="s">
        <v>577</v>
      </c>
      <c r="E453" s="181" t="str">
        <f t="shared" si="28"/>
        <v/>
      </c>
    </row>
    <row r="454" spans="3:5">
      <c r="C454" s="181" t="s">
        <v>577</v>
      </c>
      <c r="D454" s="181" t="s">
        <v>577</v>
      </c>
      <c r="E454" s="181" t="str">
        <f t="shared" si="28"/>
        <v/>
      </c>
    </row>
    <row r="455" spans="3:5">
      <c r="C455" s="181" t="s">
        <v>577</v>
      </c>
      <c r="D455" s="181" t="s">
        <v>577</v>
      </c>
      <c r="E455" s="181" t="str">
        <f t="shared" si="28"/>
        <v/>
      </c>
    </row>
    <row r="456" spans="3:5">
      <c r="C456" s="181" t="s">
        <v>577</v>
      </c>
      <c r="D456" s="181" t="s">
        <v>577</v>
      </c>
      <c r="E456" s="181" t="str">
        <f t="shared" si="28"/>
        <v/>
      </c>
    </row>
    <row r="457" spans="3:5">
      <c r="C457" s="181" t="s">
        <v>577</v>
      </c>
      <c r="D457" s="181" t="s">
        <v>577</v>
      </c>
      <c r="E457" s="181" t="str">
        <f t="shared" si="28"/>
        <v/>
      </c>
    </row>
    <row r="458" spans="3:5">
      <c r="C458" s="181" t="s">
        <v>577</v>
      </c>
      <c r="D458" s="181" t="s">
        <v>577</v>
      </c>
      <c r="E458" s="181" t="str">
        <f t="shared" si="28"/>
        <v/>
      </c>
    </row>
    <row r="459" spans="3:5">
      <c r="C459" s="181" t="s">
        <v>577</v>
      </c>
      <c r="D459" s="181" t="s">
        <v>577</v>
      </c>
      <c r="E459" s="181" t="str">
        <f t="shared" si="28"/>
        <v/>
      </c>
    </row>
    <row r="460" spans="3:5">
      <c r="C460" s="181" t="s">
        <v>577</v>
      </c>
      <c r="D460" s="181" t="s">
        <v>577</v>
      </c>
      <c r="E460" s="181" t="str">
        <f t="shared" si="28"/>
        <v/>
      </c>
    </row>
    <row r="461" spans="3:5">
      <c r="C461" s="181" t="s">
        <v>577</v>
      </c>
      <c r="D461" s="181" t="s">
        <v>577</v>
      </c>
      <c r="E461" s="181" t="str">
        <f t="shared" si="28"/>
        <v/>
      </c>
    </row>
    <row r="462" spans="3:5">
      <c r="C462" s="181" t="s">
        <v>577</v>
      </c>
      <c r="D462" s="181" t="s">
        <v>577</v>
      </c>
      <c r="E462" s="181" t="str">
        <f t="shared" si="28"/>
        <v/>
      </c>
    </row>
    <row r="463" spans="3:5">
      <c r="C463" s="181" t="s">
        <v>577</v>
      </c>
      <c r="D463" s="181" t="s">
        <v>577</v>
      </c>
      <c r="E463" s="181" t="str">
        <f t="shared" si="28"/>
        <v/>
      </c>
    </row>
    <row r="464" spans="3:5">
      <c r="C464" s="181" t="s">
        <v>577</v>
      </c>
      <c r="D464" s="181" t="s">
        <v>577</v>
      </c>
      <c r="E464" s="181" t="str">
        <f t="shared" si="28"/>
        <v/>
      </c>
    </row>
    <row r="465" spans="3:5">
      <c r="C465" s="181" t="s">
        <v>577</v>
      </c>
      <c r="D465" s="181" t="s">
        <v>577</v>
      </c>
      <c r="E465" s="181" t="str">
        <f t="shared" si="28"/>
        <v/>
      </c>
    </row>
    <row r="466" spans="3:5">
      <c r="C466" s="181" t="s">
        <v>577</v>
      </c>
      <c r="D466" s="181" t="s">
        <v>577</v>
      </c>
      <c r="E466" s="181" t="str">
        <f t="shared" si="28"/>
        <v/>
      </c>
    </row>
    <row r="467" spans="3:5">
      <c r="C467" s="181" t="s">
        <v>577</v>
      </c>
      <c r="D467" s="181" t="s">
        <v>577</v>
      </c>
      <c r="E467" s="181" t="str">
        <f t="shared" si="28"/>
        <v/>
      </c>
    </row>
    <row r="468" spans="3:5">
      <c r="C468" s="181" t="s">
        <v>577</v>
      </c>
      <c r="D468" s="181" t="s">
        <v>577</v>
      </c>
      <c r="E468" s="181" t="str">
        <f t="shared" si="28"/>
        <v/>
      </c>
    </row>
    <row r="469" spans="3:5">
      <c r="C469" s="181" t="s">
        <v>577</v>
      </c>
      <c r="D469" s="181" t="s">
        <v>577</v>
      </c>
      <c r="E469" s="181" t="str">
        <f t="shared" si="28"/>
        <v/>
      </c>
    </row>
    <row r="470" spans="3:5">
      <c r="C470" s="181" t="s">
        <v>577</v>
      </c>
      <c r="D470" s="181" t="s">
        <v>577</v>
      </c>
      <c r="E470" s="181" t="str">
        <f t="shared" si="28"/>
        <v/>
      </c>
    </row>
    <row r="471" spans="3:5">
      <c r="C471" s="181" t="s">
        <v>577</v>
      </c>
      <c r="D471" s="181" t="s">
        <v>577</v>
      </c>
      <c r="E471" s="181" t="str">
        <f t="shared" si="28"/>
        <v/>
      </c>
    </row>
    <row r="472" spans="3:5">
      <c r="C472" s="181" t="s">
        <v>577</v>
      </c>
      <c r="D472" s="181" t="s">
        <v>577</v>
      </c>
      <c r="E472" s="181" t="str">
        <f t="shared" si="28"/>
        <v/>
      </c>
    </row>
    <row r="473" spans="3:5">
      <c r="C473" s="181" t="s">
        <v>577</v>
      </c>
      <c r="D473" s="181" t="s">
        <v>577</v>
      </c>
      <c r="E473" s="181" t="str">
        <f t="shared" si="28"/>
        <v/>
      </c>
    </row>
    <row r="474" spans="3:5">
      <c r="C474" s="181" t="s">
        <v>577</v>
      </c>
      <c r="D474" s="181" t="s">
        <v>577</v>
      </c>
      <c r="E474" s="181" t="str">
        <f t="shared" si="28"/>
        <v/>
      </c>
    </row>
    <row r="475" spans="3:5">
      <c r="C475" s="181" t="s">
        <v>577</v>
      </c>
      <c r="D475" s="181" t="s">
        <v>577</v>
      </c>
      <c r="E475" s="181" t="str">
        <f t="shared" si="28"/>
        <v/>
      </c>
    </row>
    <row r="476" spans="3:5">
      <c r="C476" s="181" t="s">
        <v>577</v>
      </c>
      <c r="D476" s="181" t="s">
        <v>577</v>
      </c>
      <c r="E476" s="181" t="str">
        <f t="shared" si="28"/>
        <v/>
      </c>
    </row>
    <row r="477" spans="3:5">
      <c r="C477" s="181" t="s">
        <v>577</v>
      </c>
      <c r="D477" s="181" t="s">
        <v>577</v>
      </c>
      <c r="E477" s="181" t="str">
        <f t="shared" si="28"/>
        <v/>
      </c>
    </row>
    <row r="478" spans="3:5">
      <c r="C478" s="181" t="s">
        <v>577</v>
      </c>
      <c r="D478" s="181" t="s">
        <v>577</v>
      </c>
      <c r="E478" s="181" t="str">
        <f t="shared" si="28"/>
        <v/>
      </c>
    </row>
    <row r="479" spans="3:5">
      <c r="C479" s="181" t="s">
        <v>577</v>
      </c>
      <c r="D479" s="181" t="s">
        <v>577</v>
      </c>
      <c r="E479" s="181" t="str">
        <f t="shared" si="28"/>
        <v/>
      </c>
    </row>
    <row r="480" spans="3:5">
      <c r="C480" s="181" t="s">
        <v>577</v>
      </c>
      <c r="D480" s="181" t="s">
        <v>577</v>
      </c>
      <c r="E480" s="181" t="str">
        <f t="shared" si="28"/>
        <v/>
      </c>
    </row>
    <row r="481" spans="3:5">
      <c r="C481" s="181" t="s">
        <v>577</v>
      </c>
      <c r="D481" s="181" t="s">
        <v>577</v>
      </c>
      <c r="E481" s="181" t="str">
        <f t="shared" si="28"/>
        <v/>
      </c>
    </row>
    <row r="482" spans="3:5">
      <c r="C482" s="181" t="s">
        <v>577</v>
      </c>
      <c r="D482" s="181" t="s">
        <v>577</v>
      </c>
      <c r="E482" s="181" t="str">
        <f t="shared" si="28"/>
        <v/>
      </c>
    </row>
    <row r="483" spans="3:5">
      <c r="C483" s="181" t="s">
        <v>577</v>
      </c>
      <c r="D483" s="181" t="s">
        <v>577</v>
      </c>
      <c r="E483" s="181" t="str">
        <f t="shared" si="28"/>
        <v/>
      </c>
    </row>
    <row r="484" spans="3:5">
      <c r="C484" s="181" t="s">
        <v>577</v>
      </c>
      <c r="D484" s="181" t="s">
        <v>577</v>
      </c>
      <c r="E484" s="181" t="str">
        <f t="shared" si="28"/>
        <v/>
      </c>
    </row>
    <row r="485" spans="3:5">
      <c r="C485" s="181" t="s">
        <v>577</v>
      </c>
      <c r="D485" s="181" t="s">
        <v>577</v>
      </c>
      <c r="E485" s="181" t="str">
        <f t="shared" si="28"/>
        <v/>
      </c>
    </row>
    <row r="486" spans="3:5">
      <c r="C486" s="181" t="s">
        <v>577</v>
      </c>
      <c r="D486" s="181" t="s">
        <v>577</v>
      </c>
      <c r="E486" s="181" t="str">
        <f t="shared" si="28"/>
        <v/>
      </c>
    </row>
    <row r="487" spans="3:5">
      <c r="C487" s="181" t="s">
        <v>577</v>
      </c>
      <c r="D487" s="181" t="s">
        <v>577</v>
      </c>
      <c r="E487" s="181" t="str">
        <f t="shared" si="28"/>
        <v/>
      </c>
    </row>
    <row r="488" spans="3:5">
      <c r="C488" s="181" t="s">
        <v>577</v>
      </c>
      <c r="D488" s="181" t="s">
        <v>577</v>
      </c>
      <c r="E488" s="181" t="str">
        <f t="shared" si="28"/>
        <v/>
      </c>
    </row>
    <row r="489" spans="3:5">
      <c r="C489" s="181" t="s">
        <v>577</v>
      </c>
      <c r="D489" s="181" t="s">
        <v>577</v>
      </c>
      <c r="E489" s="181" t="str">
        <f t="shared" si="28"/>
        <v/>
      </c>
    </row>
    <row r="490" spans="3:5">
      <c r="C490" s="181" t="s">
        <v>577</v>
      </c>
      <c r="D490" s="181" t="s">
        <v>577</v>
      </c>
      <c r="E490" s="181" t="str">
        <f t="shared" si="28"/>
        <v/>
      </c>
    </row>
    <row r="491" spans="3:5">
      <c r="C491" s="181" t="s">
        <v>577</v>
      </c>
      <c r="D491" s="181" t="s">
        <v>577</v>
      </c>
      <c r="E491" s="181" t="str">
        <f t="shared" si="28"/>
        <v/>
      </c>
    </row>
    <row r="492" spans="3:5">
      <c r="C492" s="181" t="s">
        <v>577</v>
      </c>
      <c r="D492" s="181" t="s">
        <v>577</v>
      </c>
      <c r="E492" s="181" t="str">
        <f t="shared" si="28"/>
        <v/>
      </c>
    </row>
    <row r="493" spans="3:5">
      <c r="C493" s="181" t="s">
        <v>577</v>
      </c>
      <c r="D493" s="181" t="s">
        <v>577</v>
      </c>
      <c r="E493" s="181" t="str">
        <f t="shared" si="28"/>
        <v/>
      </c>
    </row>
    <row r="494" spans="3:5">
      <c r="C494" s="181" t="s">
        <v>577</v>
      </c>
      <c r="D494" s="181" t="s">
        <v>577</v>
      </c>
      <c r="E494" s="181" t="str">
        <f t="shared" si="28"/>
        <v/>
      </c>
    </row>
    <row r="495" spans="3:5">
      <c r="C495" s="181" t="s">
        <v>577</v>
      </c>
      <c r="D495" s="181" t="s">
        <v>577</v>
      </c>
      <c r="E495" s="181" t="str">
        <f t="shared" si="28"/>
        <v/>
      </c>
    </row>
    <row r="496" spans="3:5">
      <c r="C496" s="181" t="s">
        <v>577</v>
      </c>
      <c r="D496" s="181" t="s">
        <v>577</v>
      </c>
      <c r="E496" s="181" t="str">
        <f t="shared" si="28"/>
        <v/>
      </c>
    </row>
    <row r="497" spans="3:5">
      <c r="C497" s="181" t="s">
        <v>577</v>
      </c>
      <c r="D497" s="181" t="s">
        <v>577</v>
      </c>
      <c r="E497" s="181" t="str">
        <f t="shared" si="28"/>
        <v/>
      </c>
    </row>
    <row r="498" spans="3:5">
      <c r="C498" s="181" t="s">
        <v>577</v>
      </c>
      <c r="D498" s="181" t="s">
        <v>577</v>
      </c>
      <c r="E498" s="181" t="str">
        <f t="shared" si="28"/>
        <v/>
      </c>
    </row>
    <row r="499" spans="3:5">
      <c r="C499" s="181" t="s">
        <v>577</v>
      </c>
      <c r="D499" s="181" t="s">
        <v>577</v>
      </c>
      <c r="E499" s="181" t="str">
        <f t="shared" si="28"/>
        <v/>
      </c>
    </row>
    <row r="500" spans="3:5">
      <c r="C500" s="181" t="s">
        <v>577</v>
      </c>
      <c r="D500" s="181" t="s">
        <v>577</v>
      </c>
      <c r="E500" s="181" t="str">
        <f t="shared" si="28"/>
        <v/>
      </c>
    </row>
    <row r="501" spans="3:5">
      <c r="C501" s="181" t="s">
        <v>577</v>
      </c>
      <c r="D501" s="181" t="s">
        <v>577</v>
      </c>
      <c r="E501" s="181" t="str">
        <f t="shared" si="28"/>
        <v/>
      </c>
    </row>
    <row r="502" spans="3:5">
      <c r="C502" s="181" t="s">
        <v>577</v>
      </c>
      <c r="D502" s="181" t="s">
        <v>577</v>
      </c>
      <c r="E502" s="181" t="str">
        <f t="shared" si="28"/>
        <v/>
      </c>
    </row>
    <row r="503" spans="3:5">
      <c r="C503" s="181" t="s">
        <v>577</v>
      </c>
      <c r="D503" s="181" t="s">
        <v>577</v>
      </c>
      <c r="E503" s="181" t="str">
        <f t="shared" si="28"/>
        <v/>
      </c>
    </row>
    <row r="504" spans="3:5">
      <c r="C504" s="181" t="s">
        <v>577</v>
      </c>
      <c r="D504" s="181" t="s">
        <v>577</v>
      </c>
      <c r="E504" s="181" t="str">
        <f t="shared" si="28"/>
        <v/>
      </c>
    </row>
    <row r="505" spans="3:5">
      <c r="C505" s="181" t="s">
        <v>577</v>
      </c>
      <c r="D505" s="181" t="s">
        <v>577</v>
      </c>
      <c r="E505" s="181" t="str">
        <f t="shared" si="28"/>
        <v/>
      </c>
    </row>
    <row r="506" spans="3:5">
      <c r="C506" s="181" t="s">
        <v>577</v>
      </c>
      <c r="D506" s="181" t="s">
        <v>577</v>
      </c>
      <c r="E506" s="181" t="str">
        <f t="shared" si="28"/>
        <v/>
      </c>
    </row>
    <row r="507" spans="3:5">
      <c r="C507" s="181" t="s">
        <v>577</v>
      </c>
      <c r="D507" s="181" t="s">
        <v>577</v>
      </c>
      <c r="E507" s="181" t="str">
        <f t="shared" si="28"/>
        <v/>
      </c>
    </row>
    <row r="508" spans="3:5">
      <c r="C508" s="181" t="s">
        <v>577</v>
      </c>
      <c r="D508" s="181" t="s">
        <v>577</v>
      </c>
      <c r="E508" s="181" t="str">
        <f t="shared" si="28"/>
        <v/>
      </c>
    </row>
    <row r="509" spans="3:5">
      <c r="C509" s="181" t="s">
        <v>577</v>
      </c>
      <c r="D509" s="181" t="s">
        <v>577</v>
      </c>
      <c r="E509" s="181" t="str">
        <f t="shared" si="28"/>
        <v/>
      </c>
    </row>
    <row r="510" spans="3:5">
      <c r="C510" s="181" t="s">
        <v>577</v>
      </c>
      <c r="D510" s="181" t="s">
        <v>577</v>
      </c>
      <c r="E510" s="181" t="str">
        <f t="shared" si="28"/>
        <v/>
      </c>
    </row>
    <row r="511" spans="3:5">
      <c r="C511" s="181" t="s">
        <v>577</v>
      </c>
      <c r="D511" s="181" t="s">
        <v>577</v>
      </c>
      <c r="E511" s="181" t="str">
        <f t="shared" si="28"/>
        <v/>
      </c>
    </row>
    <row r="512" spans="3:5">
      <c r="C512" s="181" t="s">
        <v>577</v>
      </c>
      <c r="D512" s="181" t="s">
        <v>577</v>
      </c>
      <c r="E512" s="181" t="str">
        <f t="shared" si="28"/>
        <v/>
      </c>
    </row>
    <row r="513" spans="3:5">
      <c r="C513" s="181" t="s">
        <v>577</v>
      </c>
      <c r="D513" s="181" t="s">
        <v>577</v>
      </c>
      <c r="E513" s="181" t="str">
        <f t="shared" si="28"/>
        <v/>
      </c>
    </row>
    <row r="514" spans="3:5">
      <c r="C514" s="181" t="s">
        <v>577</v>
      </c>
      <c r="D514" s="181" t="s">
        <v>577</v>
      </c>
      <c r="E514" s="181" t="str">
        <f t="shared" si="28"/>
        <v/>
      </c>
    </row>
    <row r="515" spans="3:5">
      <c r="C515" s="181" t="s">
        <v>577</v>
      </c>
      <c r="D515" s="181" t="s">
        <v>577</v>
      </c>
      <c r="E515" s="181" t="str">
        <f t="shared" si="28"/>
        <v/>
      </c>
    </row>
    <row r="516" spans="3:5">
      <c r="C516" s="181" t="s">
        <v>577</v>
      </c>
      <c r="D516" s="181" t="s">
        <v>577</v>
      </c>
      <c r="E516" s="181" t="str">
        <f t="shared" ref="E516:E579" si="29">IF(C516&lt;D516,C516,D516)</f>
        <v/>
      </c>
    </row>
    <row r="517" spans="3:5">
      <c r="C517" s="181" t="s">
        <v>577</v>
      </c>
      <c r="D517" s="181" t="s">
        <v>577</v>
      </c>
      <c r="E517" s="181" t="str">
        <f t="shared" si="29"/>
        <v/>
      </c>
    </row>
    <row r="518" spans="3:5">
      <c r="C518" s="181" t="s">
        <v>577</v>
      </c>
      <c r="D518" s="181" t="s">
        <v>577</v>
      </c>
      <c r="E518" s="181" t="str">
        <f t="shared" si="29"/>
        <v/>
      </c>
    </row>
    <row r="519" spans="3:5">
      <c r="C519" s="181" t="s">
        <v>577</v>
      </c>
      <c r="D519" s="181" t="s">
        <v>577</v>
      </c>
      <c r="E519" s="181" t="str">
        <f t="shared" si="29"/>
        <v/>
      </c>
    </row>
    <row r="520" spans="3:5">
      <c r="C520" s="181" t="s">
        <v>577</v>
      </c>
      <c r="D520" s="181" t="s">
        <v>577</v>
      </c>
      <c r="E520" s="181" t="str">
        <f t="shared" si="29"/>
        <v/>
      </c>
    </row>
    <row r="521" spans="3:5">
      <c r="C521" s="181" t="s">
        <v>577</v>
      </c>
      <c r="D521" s="181" t="s">
        <v>577</v>
      </c>
      <c r="E521" s="181" t="str">
        <f t="shared" si="29"/>
        <v/>
      </c>
    </row>
    <row r="522" spans="3:5">
      <c r="C522" s="181" t="s">
        <v>577</v>
      </c>
      <c r="D522" s="181" t="s">
        <v>577</v>
      </c>
      <c r="E522" s="181" t="str">
        <f t="shared" si="29"/>
        <v/>
      </c>
    </row>
    <row r="523" spans="3:5">
      <c r="C523" s="181" t="s">
        <v>577</v>
      </c>
      <c r="D523" s="181" t="s">
        <v>577</v>
      </c>
      <c r="E523" s="181" t="str">
        <f t="shared" si="29"/>
        <v/>
      </c>
    </row>
    <row r="524" spans="3:5">
      <c r="C524" s="181" t="s">
        <v>577</v>
      </c>
      <c r="D524" s="181" t="s">
        <v>577</v>
      </c>
      <c r="E524" s="181" t="str">
        <f t="shared" si="29"/>
        <v/>
      </c>
    </row>
    <row r="525" spans="3:5">
      <c r="C525" s="181" t="s">
        <v>577</v>
      </c>
      <c r="D525" s="181" t="s">
        <v>577</v>
      </c>
      <c r="E525" s="181" t="str">
        <f t="shared" si="29"/>
        <v/>
      </c>
    </row>
    <row r="526" spans="3:5">
      <c r="C526" s="181" t="s">
        <v>577</v>
      </c>
      <c r="D526" s="181" t="s">
        <v>577</v>
      </c>
      <c r="E526" s="181" t="str">
        <f t="shared" si="29"/>
        <v/>
      </c>
    </row>
    <row r="527" spans="3:5">
      <c r="C527" s="181" t="s">
        <v>577</v>
      </c>
      <c r="D527" s="181" t="s">
        <v>577</v>
      </c>
      <c r="E527" s="181" t="str">
        <f t="shared" si="29"/>
        <v/>
      </c>
    </row>
    <row r="528" spans="3:5">
      <c r="C528" s="181" t="s">
        <v>577</v>
      </c>
      <c r="D528" s="181" t="s">
        <v>577</v>
      </c>
      <c r="E528" s="181" t="str">
        <f t="shared" si="29"/>
        <v/>
      </c>
    </row>
    <row r="529" spans="3:5">
      <c r="C529" s="181" t="s">
        <v>577</v>
      </c>
      <c r="D529" s="181" t="s">
        <v>577</v>
      </c>
      <c r="E529" s="181" t="str">
        <f t="shared" si="29"/>
        <v/>
      </c>
    </row>
    <row r="530" spans="3:5">
      <c r="C530" s="181" t="s">
        <v>577</v>
      </c>
      <c r="D530" s="181" t="s">
        <v>577</v>
      </c>
      <c r="E530" s="181" t="str">
        <f t="shared" si="29"/>
        <v/>
      </c>
    </row>
    <row r="531" spans="3:5">
      <c r="C531" s="181" t="s">
        <v>577</v>
      </c>
      <c r="D531" s="181" t="s">
        <v>577</v>
      </c>
      <c r="E531" s="181" t="str">
        <f t="shared" si="29"/>
        <v/>
      </c>
    </row>
    <row r="532" spans="3:5">
      <c r="C532" s="181" t="s">
        <v>577</v>
      </c>
      <c r="D532" s="181" t="s">
        <v>577</v>
      </c>
      <c r="E532" s="181" t="str">
        <f t="shared" si="29"/>
        <v/>
      </c>
    </row>
    <row r="533" spans="3:5">
      <c r="C533" s="181" t="s">
        <v>577</v>
      </c>
      <c r="D533" s="181" t="s">
        <v>577</v>
      </c>
      <c r="E533" s="181" t="str">
        <f t="shared" si="29"/>
        <v/>
      </c>
    </row>
    <row r="534" spans="3:5">
      <c r="C534" s="181" t="s">
        <v>577</v>
      </c>
      <c r="D534" s="181" t="s">
        <v>577</v>
      </c>
      <c r="E534" s="181" t="str">
        <f t="shared" si="29"/>
        <v/>
      </c>
    </row>
    <row r="535" spans="3:5">
      <c r="C535" s="181" t="s">
        <v>577</v>
      </c>
      <c r="D535" s="181" t="s">
        <v>577</v>
      </c>
      <c r="E535" s="181" t="str">
        <f t="shared" si="29"/>
        <v/>
      </c>
    </row>
    <row r="536" spans="3:5">
      <c r="C536" s="181" t="s">
        <v>577</v>
      </c>
      <c r="D536" s="181" t="s">
        <v>577</v>
      </c>
      <c r="E536" s="181" t="str">
        <f t="shared" si="29"/>
        <v/>
      </c>
    </row>
    <row r="537" spans="3:5">
      <c r="C537" s="181" t="s">
        <v>577</v>
      </c>
      <c r="D537" s="181" t="s">
        <v>577</v>
      </c>
      <c r="E537" s="181" t="str">
        <f t="shared" si="29"/>
        <v/>
      </c>
    </row>
    <row r="538" spans="3:5">
      <c r="C538" s="181" t="s">
        <v>577</v>
      </c>
      <c r="D538" s="181" t="s">
        <v>577</v>
      </c>
      <c r="E538" s="181" t="str">
        <f t="shared" si="29"/>
        <v/>
      </c>
    </row>
    <row r="539" spans="3:5">
      <c r="C539" s="181" t="s">
        <v>577</v>
      </c>
      <c r="D539" s="181" t="s">
        <v>577</v>
      </c>
      <c r="E539" s="181" t="str">
        <f t="shared" si="29"/>
        <v/>
      </c>
    </row>
    <row r="540" spans="3:5">
      <c r="C540" s="181" t="s">
        <v>577</v>
      </c>
      <c r="D540" s="181" t="s">
        <v>577</v>
      </c>
      <c r="E540" s="181" t="str">
        <f t="shared" si="29"/>
        <v/>
      </c>
    </row>
    <row r="541" spans="3:5">
      <c r="C541" s="181" t="s">
        <v>577</v>
      </c>
      <c r="D541" s="181" t="s">
        <v>577</v>
      </c>
      <c r="E541" s="181" t="str">
        <f t="shared" si="29"/>
        <v/>
      </c>
    </row>
    <row r="542" spans="3:5">
      <c r="C542" s="181" t="s">
        <v>577</v>
      </c>
      <c r="D542" s="181" t="s">
        <v>577</v>
      </c>
      <c r="E542" s="181" t="str">
        <f t="shared" si="29"/>
        <v/>
      </c>
    </row>
    <row r="543" spans="3:5">
      <c r="C543" s="181" t="s">
        <v>577</v>
      </c>
      <c r="D543" s="181" t="s">
        <v>577</v>
      </c>
      <c r="E543" s="181" t="str">
        <f t="shared" si="29"/>
        <v/>
      </c>
    </row>
    <row r="544" spans="3:5">
      <c r="C544" s="181" t="s">
        <v>577</v>
      </c>
      <c r="D544" s="181" t="s">
        <v>577</v>
      </c>
      <c r="E544" s="181" t="str">
        <f t="shared" si="29"/>
        <v/>
      </c>
    </row>
    <row r="545" spans="3:5">
      <c r="C545" s="181" t="s">
        <v>577</v>
      </c>
      <c r="D545" s="181" t="s">
        <v>577</v>
      </c>
      <c r="E545" s="181" t="str">
        <f t="shared" si="29"/>
        <v/>
      </c>
    </row>
    <row r="546" spans="3:5">
      <c r="C546" s="181" t="s">
        <v>577</v>
      </c>
      <c r="D546" s="181" t="s">
        <v>577</v>
      </c>
      <c r="E546" s="181" t="str">
        <f t="shared" si="29"/>
        <v/>
      </c>
    </row>
    <row r="547" spans="3:5">
      <c r="C547" s="181" t="s">
        <v>577</v>
      </c>
      <c r="D547" s="181" t="s">
        <v>577</v>
      </c>
      <c r="E547" s="181" t="str">
        <f t="shared" si="29"/>
        <v/>
      </c>
    </row>
    <row r="548" spans="3:5">
      <c r="C548" s="181" t="s">
        <v>577</v>
      </c>
      <c r="D548" s="181" t="s">
        <v>577</v>
      </c>
      <c r="E548" s="181" t="str">
        <f t="shared" si="29"/>
        <v/>
      </c>
    </row>
    <row r="549" spans="3:5">
      <c r="C549" s="181" t="s">
        <v>577</v>
      </c>
      <c r="D549" s="181" t="s">
        <v>577</v>
      </c>
      <c r="E549" s="181" t="str">
        <f t="shared" si="29"/>
        <v/>
      </c>
    </row>
    <row r="550" spans="3:5">
      <c r="C550" s="181" t="s">
        <v>577</v>
      </c>
      <c r="D550" s="181" t="s">
        <v>577</v>
      </c>
      <c r="E550" s="181" t="str">
        <f t="shared" si="29"/>
        <v/>
      </c>
    </row>
    <row r="551" spans="3:5">
      <c r="C551" s="181" t="s">
        <v>577</v>
      </c>
      <c r="D551" s="181" t="s">
        <v>577</v>
      </c>
      <c r="E551" s="181" t="str">
        <f t="shared" si="29"/>
        <v/>
      </c>
    </row>
    <row r="552" spans="3:5">
      <c r="C552" s="181" t="s">
        <v>577</v>
      </c>
      <c r="D552" s="181" t="s">
        <v>577</v>
      </c>
      <c r="E552" s="181" t="str">
        <f t="shared" si="29"/>
        <v/>
      </c>
    </row>
    <row r="553" spans="3:5">
      <c r="C553" s="181" t="s">
        <v>577</v>
      </c>
      <c r="D553" s="181" t="s">
        <v>577</v>
      </c>
      <c r="E553" s="181" t="str">
        <f t="shared" si="29"/>
        <v/>
      </c>
    </row>
    <row r="554" spans="3:5">
      <c r="C554" s="181" t="s">
        <v>577</v>
      </c>
      <c r="D554" s="181" t="s">
        <v>577</v>
      </c>
      <c r="E554" s="181" t="str">
        <f t="shared" si="29"/>
        <v/>
      </c>
    </row>
    <row r="555" spans="3:5">
      <c r="C555" s="181" t="s">
        <v>577</v>
      </c>
      <c r="D555" s="181" t="s">
        <v>577</v>
      </c>
      <c r="E555" s="181" t="str">
        <f t="shared" si="29"/>
        <v/>
      </c>
    </row>
    <row r="556" spans="3:5">
      <c r="C556" s="181" t="s">
        <v>577</v>
      </c>
      <c r="D556" s="181" t="s">
        <v>577</v>
      </c>
      <c r="E556" s="181" t="str">
        <f t="shared" si="29"/>
        <v/>
      </c>
    </row>
    <row r="557" spans="3:5">
      <c r="C557" s="181" t="s">
        <v>577</v>
      </c>
      <c r="D557" s="181" t="s">
        <v>577</v>
      </c>
      <c r="E557" s="181" t="str">
        <f t="shared" si="29"/>
        <v/>
      </c>
    </row>
    <row r="558" spans="3:5">
      <c r="C558" s="181" t="s">
        <v>577</v>
      </c>
      <c r="D558" s="181" t="s">
        <v>577</v>
      </c>
      <c r="E558" s="181" t="str">
        <f t="shared" si="29"/>
        <v/>
      </c>
    </row>
    <row r="559" spans="3:5">
      <c r="C559" s="181" t="s">
        <v>577</v>
      </c>
      <c r="D559" s="181" t="s">
        <v>577</v>
      </c>
      <c r="E559" s="181" t="str">
        <f t="shared" si="29"/>
        <v/>
      </c>
    </row>
    <row r="560" spans="3:5">
      <c r="C560" s="181" t="s">
        <v>577</v>
      </c>
      <c r="D560" s="181" t="s">
        <v>577</v>
      </c>
      <c r="E560" s="181" t="str">
        <f t="shared" si="29"/>
        <v/>
      </c>
    </row>
    <row r="561" spans="3:5">
      <c r="C561" s="181" t="s">
        <v>577</v>
      </c>
      <c r="D561" s="181" t="s">
        <v>577</v>
      </c>
      <c r="E561" s="181" t="str">
        <f t="shared" si="29"/>
        <v/>
      </c>
    </row>
    <row r="562" spans="3:5">
      <c r="C562" s="181" t="s">
        <v>577</v>
      </c>
      <c r="D562" s="181" t="s">
        <v>577</v>
      </c>
      <c r="E562" s="181" t="str">
        <f t="shared" si="29"/>
        <v/>
      </c>
    </row>
    <row r="563" spans="3:5">
      <c r="C563" s="181" t="s">
        <v>577</v>
      </c>
      <c r="D563" s="181" t="s">
        <v>577</v>
      </c>
      <c r="E563" s="181" t="str">
        <f t="shared" si="29"/>
        <v/>
      </c>
    </row>
    <row r="564" spans="3:5">
      <c r="C564" s="181" t="s">
        <v>577</v>
      </c>
      <c r="D564" s="181" t="s">
        <v>577</v>
      </c>
      <c r="E564" s="181" t="str">
        <f t="shared" si="29"/>
        <v/>
      </c>
    </row>
    <row r="565" spans="3:5">
      <c r="C565" s="181" t="s">
        <v>577</v>
      </c>
      <c r="D565" s="181" t="s">
        <v>577</v>
      </c>
      <c r="E565" s="181" t="str">
        <f t="shared" si="29"/>
        <v/>
      </c>
    </row>
    <row r="566" spans="3:5">
      <c r="C566" s="181" t="s">
        <v>577</v>
      </c>
      <c r="D566" s="181" t="s">
        <v>577</v>
      </c>
      <c r="E566" s="181" t="str">
        <f t="shared" si="29"/>
        <v/>
      </c>
    </row>
    <row r="567" spans="3:5">
      <c r="C567" s="181" t="s">
        <v>577</v>
      </c>
      <c r="D567" s="181" t="s">
        <v>577</v>
      </c>
      <c r="E567" s="181" t="str">
        <f t="shared" si="29"/>
        <v/>
      </c>
    </row>
    <row r="568" spans="3:5">
      <c r="C568" s="181" t="s">
        <v>577</v>
      </c>
      <c r="D568" s="181" t="s">
        <v>577</v>
      </c>
      <c r="E568" s="181" t="str">
        <f t="shared" si="29"/>
        <v/>
      </c>
    </row>
    <row r="569" spans="3:5">
      <c r="C569" s="181" t="s">
        <v>577</v>
      </c>
      <c r="D569" s="181" t="s">
        <v>577</v>
      </c>
      <c r="E569" s="181" t="str">
        <f t="shared" si="29"/>
        <v/>
      </c>
    </row>
    <row r="570" spans="3:5">
      <c r="C570" s="181" t="s">
        <v>577</v>
      </c>
      <c r="D570" s="181" t="s">
        <v>577</v>
      </c>
      <c r="E570" s="181" t="str">
        <f t="shared" si="29"/>
        <v/>
      </c>
    </row>
    <row r="571" spans="3:5">
      <c r="C571" s="181" t="s">
        <v>577</v>
      </c>
      <c r="D571" s="181" t="s">
        <v>577</v>
      </c>
      <c r="E571" s="181" t="str">
        <f t="shared" si="29"/>
        <v/>
      </c>
    </row>
    <row r="572" spans="3:5">
      <c r="C572" s="181" t="s">
        <v>577</v>
      </c>
      <c r="D572" s="181" t="s">
        <v>577</v>
      </c>
      <c r="E572" s="181" t="str">
        <f t="shared" si="29"/>
        <v/>
      </c>
    </row>
    <row r="573" spans="3:5">
      <c r="C573" s="181" t="s">
        <v>577</v>
      </c>
      <c r="D573" s="181" t="s">
        <v>577</v>
      </c>
      <c r="E573" s="181" t="str">
        <f t="shared" si="29"/>
        <v/>
      </c>
    </row>
    <row r="574" spans="3:5">
      <c r="C574" s="181" t="s">
        <v>577</v>
      </c>
      <c r="D574" s="181" t="s">
        <v>577</v>
      </c>
      <c r="E574" s="181" t="str">
        <f t="shared" si="29"/>
        <v/>
      </c>
    </row>
    <row r="575" spans="3:5">
      <c r="C575" s="181" t="s">
        <v>577</v>
      </c>
      <c r="D575" s="181" t="s">
        <v>577</v>
      </c>
      <c r="E575" s="181" t="str">
        <f t="shared" si="29"/>
        <v/>
      </c>
    </row>
    <row r="576" spans="3:5">
      <c r="C576" s="181" t="s">
        <v>577</v>
      </c>
      <c r="D576" s="181" t="s">
        <v>577</v>
      </c>
      <c r="E576" s="181" t="str">
        <f t="shared" si="29"/>
        <v/>
      </c>
    </row>
    <row r="577" spans="3:5">
      <c r="C577" s="181" t="s">
        <v>577</v>
      </c>
      <c r="D577" s="181" t="s">
        <v>577</v>
      </c>
      <c r="E577" s="181" t="str">
        <f t="shared" si="29"/>
        <v/>
      </c>
    </row>
    <row r="578" spans="3:5">
      <c r="C578" s="181" t="s">
        <v>577</v>
      </c>
      <c r="D578" s="181" t="s">
        <v>577</v>
      </c>
      <c r="E578" s="181" t="str">
        <f t="shared" si="29"/>
        <v/>
      </c>
    </row>
    <row r="579" spans="3:5">
      <c r="C579" s="181" t="s">
        <v>577</v>
      </c>
      <c r="D579" s="181" t="s">
        <v>577</v>
      </c>
      <c r="E579" s="181" t="str">
        <f t="shared" si="29"/>
        <v/>
      </c>
    </row>
    <row r="580" spans="3:5">
      <c r="C580" s="181" t="s">
        <v>577</v>
      </c>
      <c r="D580" s="181" t="s">
        <v>577</v>
      </c>
      <c r="E580" s="181" t="str">
        <f t="shared" ref="E580:E643" si="30">IF(C580&lt;D580,C580,D580)</f>
        <v/>
      </c>
    </row>
    <row r="581" spans="3:5">
      <c r="C581" s="181" t="s">
        <v>577</v>
      </c>
      <c r="D581" s="181" t="s">
        <v>577</v>
      </c>
      <c r="E581" s="181" t="str">
        <f t="shared" si="30"/>
        <v/>
      </c>
    </row>
    <row r="582" spans="3:5">
      <c r="C582" s="181" t="s">
        <v>577</v>
      </c>
      <c r="D582" s="181" t="s">
        <v>577</v>
      </c>
      <c r="E582" s="181" t="str">
        <f t="shared" si="30"/>
        <v/>
      </c>
    </row>
    <row r="583" spans="3:5">
      <c r="C583" s="181" t="s">
        <v>577</v>
      </c>
      <c r="D583" s="181" t="s">
        <v>577</v>
      </c>
      <c r="E583" s="181" t="str">
        <f t="shared" si="30"/>
        <v/>
      </c>
    </row>
    <row r="584" spans="3:5">
      <c r="C584" s="181" t="s">
        <v>577</v>
      </c>
      <c r="D584" s="181" t="s">
        <v>577</v>
      </c>
      <c r="E584" s="181" t="str">
        <f t="shared" si="30"/>
        <v/>
      </c>
    </row>
    <row r="585" spans="3:5">
      <c r="C585" s="181" t="s">
        <v>577</v>
      </c>
      <c r="D585" s="181" t="s">
        <v>577</v>
      </c>
      <c r="E585" s="181" t="str">
        <f t="shared" si="30"/>
        <v/>
      </c>
    </row>
    <row r="586" spans="3:5">
      <c r="C586" s="181" t="s">
        <v>577</v>
      </c>
      <c r="D586" s="181" t="s">
        <v>577</v>
      </c>
      <c r="E586" s="181" t="str">
        <f t="shared" si="30"/>
        <v/>
      </c>
    </row>
    <row r="587" spans="3:5">
      <c r="C587" s="181" t="s">
        <v>577</v>
      </c>
      <c r="D587" s="181" t="s">
        <v>577</v>
      </c>
      <c r="E587" s="181" t="str">
        <f t="shared" si="30"/>
        <v/>
      </c>
    </row>
    <row r="588" spans="3:5">
      <c r="C588" s="181" t="s">
        <v>577</v>
      </c>
      <c r="D588" s="181" t="s">
        <v>577</v>
      </c>
      <c r="E588" s="181" t="str">
        <f t="shared" si="30"/>
        <v/>
      </c>
    </row>
    <row r="589" spans="3:5">
      <c r="C589" s="181" t="s">
        <v>577</v>
      </c>
      <c r="D589" s="181" t="s">
        <v>577</v>
      </c>
      <c r="E589" s="181" t="str">
        <f t="shared" si="30"/>
        <v/>
      </c>
    </row>
    <row r="590" spans="3:5">
      <c r="C590" s="181" t="s">
        <v>577</v>
      </c>
      <c r="D590" s="181" t="s">
        <v>577</v>
      </c>
      <c r="E590" s="181" t="str">
        <f t="shared" si="30"/>
        <v/>
      </c>
    </row>
    <row r="591" spans="3:5">
      <c r="C591" s="181" t="s">
        <v>577</v>
      </c>
      <c r="D591" s="181" t="s">
        <v>577</v>
      </c>
      <c r="E591" s="181" t="str">
        <f t="shared" si="30"/>
        <v/>
      </c>
    </row>
    <row r="592" spans="3:5">
      <c r="C592" s="181" t="s">
        <v>577</v>
      </c>
      <c r="D592" s="181" t="s">
        <v>577</v>
      </c>
      <c r="E592" s="181" t="str">
        <f t="shared" si="30"/>
        <v/>
      </c>
    </row>
    <row r="593" spans="3:5">
      <c r="C593" s="181" t="s">
        <v>577</v>
      </c>
      <c r="D593" s="181" t="s">
        <v>577</v>
      </c>
      <c r="E593" s="181" t="str">
        <f t="shared" si="30"/>
        <v/>
      </c>
    </row>
    <row r="594" spans="3:5">
      <c r="C594" s="181" t="s">
        <v>577</v>
      </c>
      <c r="D594" s="181" t="s">
        <v>577</v>
      </c>
      <c r="E594" s="181" t="str">
        <f t="shared" si="30"/>
        <v/>
      </c>
    </row>
    <row r="595" spans="3:5">
      <c r="C595" s="181" t="s">
        <v>577</v>
      </c>
      <c r="D595" s="181" t="s">
        <v>577</v>
      </c>
      <c r="E595" s="181" t="str">
        <f t="shared" si="30"/>
        <v/>
      </c>
    </row>
    <row r="596" spans="3:5">
      <c r="C596" s="181" t="s">
        <v>577</v>
      </c>
      <c r="D596" s="181" t="s">
        <v>577</v>
      </c>
      <c r="E596" s="181" t="str">
        <f t="shared" si="30"/>
        <v/>
      </c>
    </row>
    <row r="597" spans="3:5">
      <c r="C597" s="181" t="s">
        <v>577</v>
      </c>
      <c r="D597" s="181" t="s">
        <v>577</v>
      </c>
      <c r="E597" s="181" t="str">
        <f t="shared" si="30"/>
        <v/>
      </c>
    </row>
    <row r="598" spans="3:5">
      <c r="C598" s="181" t="s">
        <v>577</v>
      </c>
      <c r="D598" s="181" t="s">
        <v>577</v>
      </c>
      <c r="E598" s="181" t="str">
        <f t="shared" si="30"/>
        <v/>
      </c>
    </row>
    <row r="599" spans="3:5">
      <c r="C599" s="181" t="s">
        <v>577</v>
      </c>
      <c r="D599" s="181" t="s">
        <v>577</v>
      </c>
      <c r="E599" s="181" t="str">
        <f t="shared" si="30"/>
        <v/>
      </c>
    </row>
    <row r="600" spans="3:5">
      <c r="C600" s="181" t="s">
        <v>577</v>
      </c>
      <c r="D600" s="181" t="s">
        <v>577</v>
      </c>
      <c r="E600" s="181" t="str">
        <f t="shared" si="30"/>
        <v/>
      </c>
    </row>
    <row r="601" spans="3:5">
      <c r="C601" s="181" t="s">
        <v>577</v>
      </c>
      <c r="D601" s="181" t="s">
        <v>577</v>
      </c>
      <c r="E601" s="181" t="str">
        <f t="shared" si="30"/>
        <v/>
      </c>
    </row>
    <row r="602" spans="3:5">
      <c r="C602" s="181" t="s">
        <v>577</v>
      </c>
      <c r="D602" s="181" t="s">
        <v>577</v>
      </c>
      <c r="E602" s="181" t="str">
        <f t="shared" si="30"/>
        <v/>
      </c>
    </row>
    <row r="603" spans="3:5">
      <c r="C603" s="181" t="s">
        <v>577</v>
      </c>
      <c r="D603" s="181" t="s">
        <v>577</v>
      </c>
      <c r="E603" s="181" t="str">
        <f t="shared" si="30"/>
        <v/>
      </c>
    </row>
    <row r="604" spans="3:5">
      <c r="C604" s="181" t="s">
        <v>577</v>
      </c>
      <c r="D604" s="181" t="s">
        <v>577</v>
      </c>
      <c r="E604" s="181" t="str">
        <f t="shared" si="30"/>
        <v/>
      </c>
    </row>
    <row r="605" spans="3:5">
      <c r="C605" s="181" t="s">
        <v>577</v>
      </c>
      <c r="D605" s="181" t="s">
        <v>577</v>
      </c>
      <c r="E605" s="181" t="str">
        <f t="shared" si="30"/>
        <v/>
      </c>
    </row>
    <row r="606" spans="3:5">
      <c r="C606" s="181" t="s">
        <v>577</v>
      </c>
      <c r="D606" s="181" t="s">
        <v>577</v>
      </c>
      <c r="E606" s="181" t="str">
        <f t="shared" si="30"/>
        <v/>
      </c>
    </row>
    <row r="607" spans="3:5">
      <c r="C607" s="181" t="s">
        <v>577</v>
      </c>
      <c r="D607" s="181" t="s">
        <v>577</v>
      </c>
      <c r="E607" s="181" t="str">
        <f t="shared" si="30"/>
        <v/>
      </c>
    </row>
    <row r="608" spans="3:5">
      <c r="C608" s="181" t="s">
        <v>577</v>
      </c>
      <c r="D608" s="181" t="s">
        <v>577</v>
      </c>
      <c r="E608" s="181" t="str">
        <f t="shared" si="30"/>
        <v/>
      </c>
    </row>
    <row r="609" spans="3:5">
      <c r="C609" s="181" t="s">
        <v>577</v>
      </c>
      <c r="D609" s="181" t="s">
        <v>577</v>
      </c>
      <c r="E609" s="181" t="str">
        <f t="shared" si="30"/>
        <v/>
      </c>
    </row>
    <row r="610" spans="3:5">
      <c r="C610" s="181" t="s">
        <v>577</v>
      </c>
      <c r="D610" s="181" t="s">
        <v>577</v>
      </c>
      <c r="E610" s="181" t="str">
        <f t="shared" si="30"/>
        <v/>
      </c>
    </row>
    <row r="611" spans="3:5">
      <c r="C611" s="181" t="s">
        <v>577</v>
      </c>
      <c r="D611" s="181" t="s">
        <v>577</v>
      </c>
      <c r="E611" s="181" t="str">
        <f t="shared" si="30"/>
        <v/>
      </c>
    </row>
    <row r="612" spans="3:5">
      <c r="C612" s="181" t="s">
        <v>577</v>
      </c>
      <c r="D612" s="181" t="s">
        <v>577</v>
      </c>
      <c r="E612" s="181" t="str">
        <f t="shared" si="30"/>
        <v/>
      </c>
    </row>
    <row r="613" spans="3:5">
      <c r="C613" s="181" t="s">
        <v>577</v>
      </c>
      <c r="D613" s="181" t="s">
        <v>577</v>
      </c>
      <c r="E613" s="181" t="str">
        <f t="shared" si="30"/>
        <v/>
      </c>
    </row>
    <row r="614" spans="3:5">
      <c r="C614" s="181" t="s">
        <v>577</v>
      </c>
      <c r="D614" s="181" t="s">
        <v>577</v>
      </c>
      <c r="E614" s="181" t="str">
        <f t="shared" si="30"/>
        <v/>
      </c>
    </row>
    <row r="615" spans="3:5">
      <c r="C615" s="181" t="s">
        <v>577</v>
      </c>
      <c r="D615" s="181" t="s">
        <v>577</v>
      </c>
      <c r="E615" s="181" t="str">
        <f t="shared" si="30"/>
        <v/>
      </c>
    </row>
    <row r="616" spans="3:5">
      <c r="C616" s="181" t="s">
        <v>577</v>
      </c>
      <c r="D616" s="181" t="s">
        <v>577</v>
      </c>
      <c r="E616" s="181" t="str">
        <f t="shared" si="30"/>
        <v/>
      </c>
    </row>
    <row r="617" spans="3:5">
      <c r="C617" s="181" t="s">
        <v>577</v>
      </c>
      <c r="D617" s="181" t="s">
        <v>577</v>
      </c>
      <c r="E617" s="181" t="str">
        <f t="shared" si="30"/>
        <v/>
      </c>
    </row>
    <row r="618" spans="3:5">
      <c r="C618" s="181" t="s">
        <v>577</v>
      </c>
      <c r="D618" s="181" t="s">
        <v>577</v>
      </c>
      <c r="E618" s="181" t="str">
        <f t="shared" si="30"/>
        <v/>
      </c>
    </row>
    <row r="619" spans="3:5">
      <c r="C619" s="181" t="s">
        <v>577</v>
      </c>
      <c r="D619" s="181" t="s">
        <v>577</v>
      </c>
      <c r="E619" s="181" t="str">
        <f t="shared" si="30"/>
        <v/>
      </c>
    </row>
    <row r="620" spans="3:5">
      <c r="C620" s="181" t="s">
        <v>577</v>
      </c>
      <c r="D620" s="181" t="s">
        <v>577</v>
      </c>
      <c r="E620" s="181" t="str">
        <f t="shared" si="30"/>
        <v/>
      </c>
    </row>
    <row r="621" spans="3:5">
      <c r="C621" s="181" t="s">
        <v>577</v>
      </c>
      <c r="D621" s="181" t="s">
        <v>577</v>
      </c>
      <c r="E621" s="181" t="str">
        <f t="shared" si="30"/>
        <v/>
      </c>
    </row>
    <row r="622" spans="3:5">
      <c r="C622" s="181" t="s">
        <v>577</v>
      </c>
      <c r="D622" s="181" t="s">
        <v>577</v>
      </c>
      <c r="E622" s="181" t="str">
        <f t="shared" si="30"/>
        <v/>
      </c>
    </row>
    <row r="623" spans="3:5">
      <c r="C623" s="181" t="s">
        <v>577</v>
      </c>
      <c r="D623" s="181" t="s">
        <v>577</v>
      </c>
      <c r="E623" s="181" t="str">
        <f t="shared" si="30"/>
        <v/>
      </c>
    </row>
    <row r="624" spans="3:5">
      <c r="C624" s="181" t="s">
        <v>577</v>
      </c>
      <c r="D624" s="181" t="s">
        <v>577</v>
      </c>
      <c r="E624" s="181" t="str">
        <f t="shared" si="30"/>
        <v/>
      </c>
    </row>
    <row r="625" spans="3:5">
      <c r="C625" s="181" t="s">
        <v>577</v>
      </c>
      <c r="D625" s="181" t="s">
        <v>577</v>
      </c>
      <c r="E625" s="181" t="str">
        <f t="shared" si="30"/>
        <v/>
      </c>
    </row>
    <row r="626" spans="3:5">
      <c r="C626" s="181" t="s">
        <v>577</v>
      </c>
      <c r="D626" s="181" t="s">
        <v>577</v>
      </c>
      <c r="E626" s="181" t="str">
        <f t="shared" si="30"/>
        <v/>
      </c>
    </row>
    <row r="627" spans="3:5">
      <c r="C627" s="181" t="s">
        <v>577</v>
      </c>
      <c r="D627" s="181" t="s">
        <v>577</v>
      </c>
      <c r="E627" s="181" t="str">
        <f t="shared" si="30"/>
        <v/>
      </c>
    </row>
    <row r="628" spans="3:5">
      <c r="C628" s="181" t="s">
        <v>577</v>
      </c>
      <c r="D628" s="181" t="s">
        <v>577</v>
      </c>
      <c r="E628" s="181" t="str">
        <f t="shared" si="30"/>
        <v/>
      </c>
    </row>
    <row r="629" spans="3:5">
      <c r="C629" s="181" t="s">
        <v>577</v>
      </c>
      <c r="D629" s="181" t="s">
        <v>577</v>
      </c>
      <c r="E629" s="181" t="str">
        <f t="shared" si="30"/>
        <v/>
      </c>
    </row>
    <row r="630" spans="3:5">
      <c r="C630" s="181" t="s">
        <v>577</v>
      </c>
      <c r="D630" s="181" t="s">
        <v>577</v>
      </c>
      <c r="E630" s="181" t="str">
        <f t="shared" si="30"/>
        <v/>
      </c>
    </row>
    <row r="631" spans="3:5">
      <c r="C631" s="181" t="s">
        <v>577</v>
      </c>
      <c r="D631" s="181" t="s">
        <v>577</v>
      </c>
      <c r="E631" s="181" t="str">
        <f t="shared" si="30"/>
        <v/>
      </c>
    </row>
    <row r="632" spans="3:5">
      <c r="C632" s="181" t="s">
        <v>577</v>
      </c>
      <c r="D632" s="181" t="s">
        <v>577</v>
      </c>
      <c r="E632" s="181" t="str">
        <f t="shared" si="30"/>
        <v/>
      </c>
    </row>
    <row r="633" spans="3:5">
      <c r="C633" s="181" t="s">
        <v>577</v>
      </c>
      <c r="D633" s="181" t="s">
        <v>577</v>
      </c>
      <c r="E633" s="181" t="str">
        <f t="shared" si="30"/>
        <v/>
      </c>
    </row>
    <row r="634" spans="3:5">
      <c r="C634" s="181" t="s">
        <v>577</v>
      </c>
      <c r="D634" s="181" t="s">
        <v>577</v>
      </c>
      <c r="E634" s="181" t="str">
        <f t="shared" si="30"/>
        <v/>
      </c>
    </row>
    <row r="635" spans="3:5">
      <c r="C635" s="181" t="s">
        <v>577</v>
      </c>
      <c r="D635" s="181" t="s">
        <v>577</v>
      </c>
      <c r="E635" s="181" t="str">
        <f t="shared" si="30"/>
        <v/>
      </c>
    </row>
    <row r="636" spans="3:5">
      <c r="C636" s="181" t="s">
        <v>577</v>
      </c>
      <c r="D636" s="181" t="s">
        <v>577</v>
      </c>
      <c r="E636" s="181" t="str">
        <f t="shared" si="30"/>
        <v/>
      </c>
    </row>
    <row r="637" spans="3:5">
      <c r="C637" s="181" t="s">
        <v>577</v>
      </c>
      <c r="D637" s="181" t="s">
        <v>577</v>
      </c>
      <c r="E637" s="181" t="str">
        <f t="shared" si="30"/>
        <v/>
      </c>
    </row>
    <row r="638" spans="3:5">
      <c r="C638" s="181" t="s">
        <v>577</v>
      </c>
      <c r="D638" s="181" t="s">
        <v>577</v>
      </c>
      <c r="E638" s="181" t="str">
        <f t="shared" si="30"/>
        <v/>
      </c>
    </row>
    <row r="639" spans="3:5">
      <c r="C639" s="181" t="s">
        <v>577</v>
      </c>
      <c r="D639" s="181" t="s">
        <v>577</v>
      </c>
      <c r="E639" s="181" t="str">
        <f t="shared" si="30"/>
        <v/>
      </c>
    </row>
    <row r="640" spans="3:5">
      <c r="C640" s="181" t="s">
        <v>577</v>
      </c>
      <c r="D640" s="181" t="s">
        <v>577</v>
      </c>
      <c r="E640" s="181" t="str">
        <f t="shared" si="30"/>
        <v/>
      </c>
    </row>
    <row r="641" spans="3:5">
      <c r="C641" s="181" t="s">
        <v>577</v>
      </c>
      <c r="D641" s="181" t="s">
        <v>577</v>
      </c>
      <c r="E641" s="181" t="str">
        <f t="shared" si="30"/>
        <v/>
      </c>
    </row>
    <row r="642" spans="3:5">
      <c r="C642" s="181" t="s">
        <v>577</v>
      </c>
      <c r="D642" s="181" t="s">
        <v>577</v>
      </c>
      <c r="E642" s="181" t="str">
        <f t="shared" si="30"/>
        <v/>
      </c>
    </row>
    <row r="643" spans="3:5">
      <c r="C643" s="181" t="s">
        <v>577</v>
      </c>
      <c r="D643" s="181" t="s">
        <v>577</v>
      </c>
      <c r="E643" s="181" t="str">
        <f t="shared" si="30"/>
        <v/>
      </c>
    </row>
    <row r="644" spans="3:5">
      <c r="C644" s="181" t="s">
        <v>577</v>
      </c>
      <c r="D644" s="181" t="s">
        <v>577</v>
      </c>
      <c r="E644" s="181" t="str">
        <f t="shared" ref="E644:E707" si="31">IF(C644&lt;D644,C644,D644)</f>
        <v/>
      </c>
    </row>
    <row r="645" spans="3:5">
      <c r="C645" s="181" t="s">
        <v>577</v>
      </c>
      <c r="D645" s="181" t="s">
        <v>577</v>
      </c>
      <c r="E645" s="181" t="str">
        <f t="shared" si="31"/>
        <v/>
      </c>
    </row>
    <row r="646" spans="3:5">
      <c r="C646" s="181" t="s">
        <v>577</v>
      </c>
      <c r="D646" s="181" t="s">
        <v>577</v>
      </c>
      <c r="E646" s="181" t="str">
        <f t="shared" si="31"/>
        <v/>
      </c>
    </row>
    <row r="647" spans="3:5">
      <c r="C647" s="181" t="s">
        <v>577</v>
      </c>
      <c r="D647" s="181" t="s">
        <v>577</v>
      </c>
      <c r="E647" s="181" t="str">
        <f t="shared" si="31"/>
        <v/>
      </c>
    </row>
    <row r="648" spans="3:5">
      <c r="C648" s="181" t="s">
        <v>577</v>
      </c>
      <c r="D648" s="181" t="s">
        <v>577</v>
      </c>
      <c r="E648" s="181" t="str">
        <f t="shared" si="31"/>
        <v/>
      </c>
    </row>
    <row r="649" spans="3:5">
      <c r="C649" s="181" t="s">
        <v>577</v>
      </c>
      <c r="D649" s="181" t="s">
        <v>577</v>
      </c>
      <c r="E649" s="181" t="str">
        <f t="shared" si="31"/>
        <v/>
      </c>
    </row>
    <row r="650" spans="3:5">
      <c r="C650" s="181" t="s">
        <v>577</v>
      </c>
      <c r="D650" s="181" t="s">
        <v>577</v>
      </c>
      <c r="E650" s="181" t="str">
        <f t="shared" si="31"/>
        <v/>
      </c>
    </row>
    <row r="651" spans="3:5">
      <c r="C651" s="181" t="s">
        <v>577</v>
      </c>
      <c r="D651" s="181" t="s">
        <v>577</v>
      </c>
      <c r="E651" s="181" t="str">
        <f t="shared" si="31"/>
        <v/>
      </c>
    </row>
    <row r="652" spans="3:5">
      <c r="C652" s="181" t="s">
        <v>577</v>
      </c>
      <c r="D652" s="181" t="s">
        <v>577</v>
      </c>
      <c r="E652" s="181" t="str">
        <f t="shared" si="31"/>
        <v/>
      </c>
    </row>
    <row r="653" spans="3:5">
      <c r="C653" s="181" t="s">
        <v>577</v>
      </c>
      <c r="D653" s="181" t="s">
        <v>577</v>
      </c>
      <c r="E653" s="181" t="str">
        <f t="shared" si="31"/>
        <v/>
      </c>
    </row>
    <row r="654" spans="3:5">
      <c r="C654" s="181" t="s">
        <v>577</v>
      </c>
      <c r="D654" s="181" t="s">
        <v>577</v>
      </c>
      <c r="E654" s="181" t="str">
        <f t="shared" si="31"/>
        <v/>
      </c>
    </row>
    <row r="655" spans="3:5">
      <c r="C655" s="181" t="s">
        <v>577</v>
      </c>
      <c r="D655" s="181" t="s">
        <v>577</v>
      </c>
      <c r="E655" s="181" t="str">
        <f t="shared" si="31"/>
        <v/>
      </c>
    </row>
    <row r="656" spans="3:5">
      <c r="C656" s="181" t="s">
        <v>577</v>
      </c>
      <c r="D656" s="181" t="s">
        <v>577</v>
      </c>
      <c r="E656" s="181" t="str">
        <f t="shared" si="31"/>
        <v/>
      </c>
    </row>
    <row r="657" spans="3:5">
      <c r="C657" s="181" t="s">
        <v>577</v>
      </c>
      <c r="D657" s="181" t="s">
        <v>577</v>
      </c>
      <c r="E657" s="181" t="str">
        <f t="shared" si="31"/>
        <v/>
      </c>
    </row>
    <row r="658" spans="3:5">
      <c r="C658" s="181" t="s">
        <v>577</v>
      </c>
      <c r="D658" s="181" t="s">
        <v>577</v>
      </c>
      <c r="E658" s="181" t="str">
        <f t="shared" si="31"/>
        <v/>
      </c>
    </row>
    <row r="659" spans="3:5">
      <c r="C659" s="181" t="s">
        <v>577</v>
      </c>
      <c r="D659" s="181" t="s">
        <v>577</v>
      </c>
      <c r="E659" s="181" t="str">
        <f t="shared" si="31"/>
        <v/>
      </c>
    </row>
    <row r="660" spans="3:5">
      <c r="C660" s="181" t="s">
        <v>577</v>
      </c>
      <c r="D660" s="181" t="s">
        <v>577</v>
      </c>
      <c r="E660" s="181" t="str">
        <f t="shared" si="31"/>
        <v/>
      </c>
    </row>
    <row r="661" spans="3:5">
      <c r="C661" s="181" t="s">
        <v>577</v>
      </c>
      <c r="D661" s="181" t="s">
        <v>577</v>
      </c>
      <c r="E661" s="181" t="str">
        <f t="shared" si="31"/>
        <v/>
      </c>
    </row>
    <row r="662" spans="3:5">
      <c r="C662" s="181" t="s">
        <v>577</v>
      </c>
      <c r="D662" s="181" t="s">
        <v>577</v>
      </c>
      <c r="E662" s="181" t="str">
        <f t="shared" si="31"/>
        <v/>
      </c>
    </row>
    <row r="663" spans="3:5">
      <c r="C663" s="181" t="s">
        <v>577</v>
      </c>
      <c r="D663" s="181" t="s">
        <v>577</v>
      </c>
      <c r="E663" s="181" t="str">
        <f t="shared" si="31"/>
        <v/>
      </c>
    </row>
    <row r="664" spans="3:5">
      <c r="C664" s="181" t="s">
        <v>577</v>
      </c>
      <c r="D664" s="181" t="s">
        <v>577</v>
      </c>
      <c r="E664" s="181" t="str">
        <f t="shared" si="31"/>
        <v/>
      </c>
    </row>
    <row r="665" spans="3:5">
      <c r="C665" s="181" t="s">
        <v>577</v>
      </c>
      <c r="D665" s="181" t="s">
        <v>577</v>
      </c>
      <c r="E665" s="181" t="str">
        <f t="shared" si="31"/>
        <v/>
      </c>
    </row>
    <row r="666" spans="3:5">
      <c r="C666" s="181" t="s">
        <v>577</v>
      </c>
      <c r="D666" s="181" t="s">
        <v>577</v>
      </c>
      <c r="E666" s="181" t="str">
        <f t="shared" si="31"/>
        <v/>
      </c>
    </row>
    <row r="667" spans="3:5">
      <c r="C667" s="181" t="s">
        <v>577</v>
      </c>
      <c r="D667" s="181" t="s">
        <v>577</v>
      </c>
      <c r="E667" s="181" t="str">
        <f t="shared" si="31"/>
        <v/>
      </c>
    </row>
    <row r="668" spans="3:5">
      <c r="C668" s="181" t="s">
        <v>577</v>
      </c>
      <c r="D668" s="181" t="s">
        <v>577</v>
      </c>
      <c r="E668" s="181" t="str">
        <f t="shared" si="31"/>
        <v/>
      </c>
    </row>
    <row r="669" spans="3:5">
      <c r="C669" s="181" t="s">
        <v>577</v>
      </c>
      <c r="D669" s="181" t="s">
        <v>577</v>
      </c>
      <c r="E669" s="181" t="str">
        <f t="shared" si="31"/>
        <v/>
      </c>
    </row>
    <row r="670" spans="3:5">
      <c r="C670" s="181" t="s">
        <v>577</v>
      </c>
      <c r="D670" s="181" t="s">
        <v>577</v>
      </c>
      <c r="E670" s="181" t="str">
        <f t="shared" si="31"/>
        <v/>
      </c>
    </row>
    <row r="671" spans="3:5">
      <c r="C671" s="181" t="s">
        <v>577</v>
      </c>
      <c r="D671" s="181" t="s">
        <v>577</v>
      </c>
      <c r="E671" s="181" t="str">
        <f t="shared" si="31"/>
        <v/>
      </c>
    </row>
    <row r="672" spans="3:5">
      <c r="C672" s="181" t="s">
        <v>577</v>
      </c>
      <c r="D672" s="181" t="s">
        <v>577</v>
      </c>
      <c r="E672" s="181" t="str">
        <f t="shared" si="31"/>
        <v/>
      </c>
    </row>
    <row r="673" spans="3:5">
      <c r="C673" s="181" t="s">
        <v>577</v>
      </c>
      <c r="D673" s="181" t="s">
        <v>577</v>
      </c>
      <c r="E673" s="181" t="str">
        <f t="shared" si="31"/>
        <v/>
      </c>
    </row>
    <row r="674" spans="3:5">
      <c r="C674" s="181" t="s">
        <v>577</v>
      </c>
      <c r="D674" s="181" t="s">
        <v>577</v>
      </c>
      <c r="E674" s="181" t="str">
        <f t="shared" si="31"/>
        <v/>
      </c>
    </row>
    <row r="675" spans="3:5">
      <c r="C675" s="181" t="s">
        <v>577</v>
      </c>
      <c r="D675" s="181" t="s">
        <v>577</v>
      </c>
      <c r="E675" s="181" t="str">
        <f t="shared" si="31"/>
        <v/>
      </c>
    </row>
    <row r="676" spans="3:5">
      <c r="C676" s="181" t="s">
        <v>577</v>
      </c>
      <c r="D676" s="181" t="s">
        <v>577</v>
      </c>
      <c r="E676" s="181" t="str">
        <f t="shared" si="31"/>
        <v/>
      </c>
    </row>
    <row r="677" spans="3:5">
      <c r="C677" s="181" t="s">
        <v>577</v>
      </c>
      <c r="D677" s="181" t="s">
        <v>577</v>
      </c>
      <c r="E677" s="181" t="str">
        <f t="shared" si="31"/>
        <v/>
      </c>
    </row>
    <row r="678" spans="3:5">
      <c r="C678" s="181" t="s">
        <v>577</v>
      </c>
      <c r="D678" s="181" t="s">
        <v>577</v>
      </c>
      <c r="E678" s="181" t="str">
        <f t="shared" si="31"/>
        <v/>
      </c>
    </row>
    <row r="679" spans="3:5">
      <c r="C679" s="181" t="s">
        <v>577</v>
      </c>
      <c r="D679" s="181" t="s">
        <v>577</v>
      </c>
      <c r="E679" s="181" t="str">
        <f t="shared" si="31"/>
        <v/>
      </c>
    </row>
    <row r="680" spans="3:5">
      <c r="C680" s="181" t="s">
        <v>577</v>
      </c>
      <c r="D680" s="181" t="s">
        <v>577</v>
      </c>
      <c r="E680" s="181" t="str">
        <f t="shared" si="31"/>
        <v/>
      </c>
    </row>
    <row r="681" spans="3:5">
      <c r="C681" s="181" t="s">
        <v>577</v>
      </c>
      <c r="D681" s="181" t="s">
        <v>577</v>
      </c>
      <c r="E681" s="181" t="str">
        <f t="shared" si="31"/>
        <v/>
      </c>
    </row>
    <row r="682" spans="3:5">
      <c r="C682" s="181" t="s">
        <v>577</v>
      </c>
      <c r="D682" s="181" t="s">
        <v>577</v>
      </c>
      <c r="E682" s="181" t="str">
        <f t="shared" si="31"/>
        <v/>
      </c>
    </row>
    <row r="683" spans="3:5">
      <c r="C683" s="181" t="s">
        <v>577</v>
      </c>
      <c r="D683" s="181" t="s">
        <v>577</v>
      </c>
      <c r="E683" s="181" t="str">
        <f t="shared" si="31"/>
        <v/>
      </c>
    </row>
    <row r="684" spans="3:5">
      <c r="C684" s="181" t="s">
        <v>577</v>
      </c>
      <c r="D684" s="181" t="s">
        <v>577</v>
      </c>
      <c r="E684" s="181" t="str">
        <f t="shared" si="31"/>
        <v/>
      </c>
    </row>
    <row r="685" spans="3:5">
      <c r="C685" s="181" t="s">
        <v>577</v>
      </c>
      <c r="D685" s="181" t="s">
        <v>577</v>
      </c>
      <c r="E685" s="181" t="str">
        <f t="shared" si="31"/>
        <v/>
      </c>
    </row>
    <row r="686" spans="3:5">
      <c r="C686" s="181" t="s">
        <v>577</v>
      </c>
      <c r="D686" s="181" t="s">
        <v>577</v>
      </c>
      <c r="E686" s="181" t="str">
        <f t="shared" si="31"/>
        <v/>
      </c>
    </row>
    <row r="687" spans="3:5">
      <c r="C687" s="181" t="s">
        <v>577</v>
      </c>
      <c r="D687" s="181" t="s">
        <v>577</v>
      </c>
      <c r="E687" s="181" t="str">
        <f t="shared" si="31"/>
        <v/>
      </c>
    </row>
    <row r="688" spans="3:5">
      <c r="C688" s="181" t="s">
        <v>577</v>
      </c>
      <c r="D688" s="181" t="s">
        <v>577</v>
      </c>
      <c r="E688" s="181" t="str">
        <f t="shared" si="31"/>
        <v/>
      </c>
    </row>
    <row r="689" spans="3:5">
      <c r="C689" s="181" t="s">
        <v>577</v>
      </c>
      <c r="D689" s="181" t="s">
        <v>577</v>
      </c>
      <c r="E689" s="181" t="str">
        <f t="shared" si="31"/>
        <v/>
      </c>
    </row>
    <row r="690" spans="3:5">
      <c r="C690" s="181" t="s">
        <v>577</v>
      </c>
      <c r="D690" s="181" t="s">
        <v>577</v>
      </c>
      <c r="E690" s="181" t="str">
        <f t="shared" si="31"/>
        <v/>
      </c>
    </row>
    <row r="691" spans="3:5">
      <c r="C691" s="181" t="s">
        <v>577</v>
      </c>
      <c r="D691" s="181" t="s">
        <v>577</v>
      </c>
      <c r="E691" s="181" t="str">
        <f t="shared" si="31"/>
        <v/>
      </c>
    </row>
    <row r="692" spans="3:5">
      <c r="C692" s="181" t="s">
        <v>577</v>
      </c>
      <c r="D692" s="181" t="s">
        <v>577</v>
      </c>
      <c r="E692" s="181" t="str">
        <f t="shared" si="31"/>
        <v/>
      </c>
    </row>
    <row r="693" spans="3:5">
      <c r="C693" s="181" t="s">
        <v>577</v>
      </c>
      <c r="D693" s="181" t="s">
        <v>577</v>
      </c>
      <c r="E693" s="181" t="str">
        <f t="shared" si="31"/>
        <v/>
      </c>
    </row>
    <row r="694" spans="3:5">
      <c r="C694" s="181" t="s">
        <v>577</v>
      </c>
      <c r="D694" s="181" t="s">
        <v>577</v>
      </c>
      <c r="E694" s="181" t="str">
        <f t="shared" si="31"/>
        <v/>
      </c>
    </row>
    <row r="695" spans="3:5">
      <c r="C695" s="181" t="s">
        <v>577</v>
      </c>
      <c r="D695" s="181" t="s">
        <v>577</v>
      </c>
      <c r="E695" s="181" t="str">
        <f t="shared" si="31"/>
        <v/>
      </c>
    </row>
    <row r="696" spans="3:5">
      <c r="C696" s="181" t="s">
        <v>577</v>
      </c>
      <c r="D696" s="181" t="s">
        <v>577</v>
      </c>
      <c r="E696" s="181" t="str">
        <f t="shared" si="31"/>
        <v/>
      </c>
    </row>
    <row r="697" spans="3:5">
      <c r="C697" s="181" t="s">
        <v>577</v>
      </c>
      <c r="D697" s="181" t="s">
        <v>577</v>
      </c>
      <c r="E697" s="181" t="str">
        <f t="shared" si="31"/>
        <v/>
      </c>
    </row>
    <row r="698" spans="3:5">
      <c r="C698" s="181" t="s">
        <v>577</v>
      </c>
      <c r="D698" s="181" t="s">
        <v>577</v>
      </c>
      <c r="E698" s="181" t="str">
        <f t="shared" si="31"/>
        <v/>
      </c>
    </row>
    <row r="699" spans="3:5">
      <c r="C699" s="181" t="s">
        <v>577</v>
      </c>
      <c r="D699" s="181" t="s">
        <v>577</v>
      </c>
      <c r="E699" s="181" t="str">
        <f t="shared" si="31"/>
        <v/>
      </c>
    </row>
    <row r="700" spans="3:5">
      <c r="C700" s="181" t="s">
        <v>577</v>
      </c>
      <c r="D700" s="181" t="s">
        <v>577</v>
      </c>
      <c r="E700" s="181" t="str">
        <f t="shared" si="31"/>
        <v/>
      </c>
    </row>
    <row r="701" spans="3:5">
      <c r="C701" s="181" t="s">
        <v>577</v>
      </c>
      <c r="D701" s="181" t="s">
        <v>577</v>
      </c>
      <c r="E701" s="181" t="str">
        <f t="shared" si="31"/>
        <v/>
      </c>
    </row>
    <row r="702" spans="3:5">
      <c r="C702" s="181" t="s">
        <v>577</v>
      </c>
      <c r="D702" s="181" t="s">
        <v>577</v>
      </c>
      <c r="E702" s="181" t="str">
        <f t="shared" si="31"/>
        <v/>
      </c>
    </row>
    <row r="703" spans="3:5">
      <c r="C703" s="181" t="s">
        <v>577</v>
      </c>
      <c r="D703" s="181" t="s">
        <v>577</v>
      </c>
      <c r="E703" s="181" t="str">
        <f t="shared" si="31"/>
        <v/>
      </c>
    </row>
    <row r="704" spans="3:5">
      <c r="C704" s="181" t="s">
        <v>577</v>
      </c>
      <c r="D704" s="181" t="s">
        <v>577</v>
      </c>
      <c r="E704" s="181" t="str">
        <f t="shared" si="31"/>
        <v/>
      </c>
    </row>
    <row r="705" spans="3:5">
      <c r="C705" s="181" t="s">
        <v>577</v>
      </c>
      <c r="D705" s="181" t="s">
        <v>577</v>
      </c>
      <c r="E705" s="181" t="str">
        <f t="shared" si="31"/>
        <v/>
      </c>
    </row>
    <row r="706" spans="3:5">
      <c r="C706" s="181" t="s">
        <v>577</v>
      </c>
      <c r="D706" s="181" t="s">
        <v>577</v>
      </c>
      <c r="E706" s="181" t="str">
        <f t="shared" si="31"/>
        <v/>
      </c>
    </row>
    <row r="707" spans="3:5">
      <c r="C707" s="181" t="s">
        <v>577</v>
      </c>
      <c r="D707" s="181" t="s">
        <v>577</v>
      </c>
      <c r="E707" s="181" t="str">
        <f t="shared" si="31"/>
        <v/>
      </c>
    </row>
    <row r="708" spans="3:5">
      <c r="C708" s="181" t="s">
        <v>577</v>
      </c>
      <c r="D708" s="181" t="s">
        <v>577</v>
      </c>
      <c r="E708" s="181" t="str">
        <f t="shared" ref="E708:E771" si="32">IF(C708&lt;D708,C708,D708)</f>
        <v/>
      </c>
    </row>
    <row r="709" spans="3:5">
      <c r="C709" s="181" t="s">
        <v>577</v>
      </c>
      <c r="D709" s="181" t="s">
        <v>577</v>
      </c>
      <c r="E709" s="181" t="str">
        <f t="shared" si="32"/>
        <v/>
      </c>
    </row>
    <row r="710" spans="3:5">
      <c r="C710" s="181" t="s">
        <v>577</v>
      </c>
      <c r="D710" s="181" t="s">
        <v>577</v>
      </c>
      <c r="E710" s="181" t="str">
        <f t="shared" si="32"/>
        <v/>
      </c>
    </row>
    <row r="711" spans="3:5">
      <c r="C711" s="181" t="s">
        <v>577</v>
      </c>
      <c r="D711" s="181" t="s">
        <v>577</v>
      </c>
      <c r="E711" s="181" t="str">
        <f t="shared" si="32"/>
        <v/>
      </c>
    </row>
    <row r="712" spans="3:5">
      <c r="C712" s="181" t="s">
        <v>577</v>
      </c>
      <c r="D712" s="181" t="s">
        <v>577</v>
      </c>
      <c r="E712" s="181" t="str">
        <f t="shared" si="32"/>
        <v/>
      </c>
    </row>
    <row r="713" spans="3:5">
      <c r="C713" s="181" t="s">
        <v>577</v>
      </c>
      <c r="D713" s="181" t="s">
        <v>577</v>
      </c>
      <c r="E713" s="181" t="str">
        <f t="shared" si="32"/>
        <v/>
      </c>
    </row>
    <row r="714" spans="3:5">
      <c r="C714" s="181" t="s">
        <v>577</v>
      </c>
      <c r="D714" s="181" t="s">
        <v>577</v>
      </c>
      <c r="E714" s="181" t="str">
        <f t="shared" si="32"/>
        <v/>
      </c>
    </row>
    <row r="715" spans="3:5">
      <c r="C715" s="181" t="s">
        <v>577</v>
      </c>
      <c r="D715" s="181" t="s">
        <v>577</v>
      </c>
      <c r="E715" s="181" t="str">
        <f t="shared" si="32"/>
        <v/>
      </c>
    </row>
    <row r="716" spans="3:5">
      <c r="C716" s="181" t="s">
        <v>577</v>
      </c>
      <c r="D716" s="181" t="s">
        <v>577</v>
      </c>
      <c r="E716" s="181" t="str">
        <f t="shared" si="32"/>
        <v/>
      </c>
    </row>
    <row r="717" spans="3:5">
      <c r="C717" s="181" t="s">
        <v>577</v>
      </c>
      <c r="D717" s="181" t="s">
        <v>577</v>
      </c>
      <c r="E717" s="181" t="str">
        <f t="shared" si="32"/>
        <v/>
      </c>
    </row>
    <row r="718" spans="3:5">
      <c r="C718" s="181" t="s">
        <v>577</v>
      </c>
      <c r="D718" s="181" t="s">
        <v>577</v>
      </c>
      <c r="E718" s="181" t="str">
        <f t="shared" si="32"/>
        <v/>
      </c>
    </row>
    <row r="719" spans="3:5">
      <c r="C719" s="181" t="s">
        <v>577</v>
      </c>
      <c r="D719" s="181" t="s">
        <v>577</v>
      </c>
      <c r="E719" s="181" t="str">
        <f t="shared" si="32"/>
        <v/>
      </c>
    </row>
    <row r="720" spans="3:5">
      <c r="C720" s="181" t="s">
        <v>577</v>
      </c>
      <c r="D720" s="181" t="s">
        <v>577</v>
      </c>
      <c r="E720" s="181" t="str">
        <f t="shared" si="32"/>
        <v/>
      </c>
    </row>
    <row r="721" spans="3:5">
      <c r="C721" s="181" t="s">
        <v>577</v>
      </c>
      <c r="D721" s="181" t="s">
        <v>577</v>
      </c>
      <c r="E721" s="181" t="str">
        <f t="shared" si="32"/>
        <v/>
      </c>
    </row>
    <row r="722" spans="3:5">
      <c r="C722" s="181" t="s">
        <v>577</v>
      </c>
      <c r="D722" s="181" t="s">
        <v>577</v>
      </c>
      <c r="E722" s="181" t="str">
        <f t="shared" si="32"/>
        <v/>
      </c>
    </row>
    <row r="723" spans="3:5">
      <c r="C723" s="181" t="s">
        <v>577</v>
      </c>
      <c r="D723" s="181" t="s">
        <v>577</v>
      </c>
      <c r="E723" s="181" t="str">
        <f t="shared" si="32"/>
        <v/>
      </c>
    </row>
    <row r="724" spans="3:5">
      <c r="C724" s="181" t="s">
        <v>577</v>
      </c>
      <c r="D724" s="181" t="s">
        <v>577</v>
      </c>
      <c r="E724" s="181" t="str">
        <f t="shared" si="32"/>
        <v/>
      </c>
    </row>
    <row r="725" spans="3:5">
      <c r="C725" s="181" t="s">
        <v>577</v>
      </c>
      <c r="D725" s="181" t="s">
        <v>577</v>
      </c>
      <c r="E725" s="181" t="str">
        <f t="shared" si="32"/>
        <v/>
      </c>
    </row>
    <row r="726" spans="3:5">
      <c r="C726" s="181" t="s">
        <v>577</v>
      </c>
      <c r="D726" s="181" t="s">
        <v>577</v>
      </c>
      <c r="E726" s="181" t="str">
        <f t="shared" si="32"/>
        <v/>
      </c>
    </row>
    <row r="727" spans="3:5">
      <c r="C727" s="181" t="s">
        <v>577</v>
      </c>
      <c r="D727" s="181" t="s">
        <v>577</v>
      </c>
      <c r="E727" s="181" t="str">
        <f t="shared" si="32"/>
        <v/>
      </c>
    </row>
    <row r="728" spans="3:5">
      <c r="C728" s="181" t="s">
        <v>577</v>
      </c>
      <c r="D728" s="181" t="s">
        <v>577</v>
      </c>
      <c r="E728" s="181" t="str">
        <f t="shared" si="32"/>
        <v/>
      </c>
    </row>
    <row r="729" spans="3:5">
      <c r="C729" s="181" t="s">
        <v>577</v>
      </c>
      <c r="D729" s="181" t="s">
        <v>577</v>
      </c>
      <c r="E729" s="181" t="str">
        <f t="shared" si="32"/>
        <v/>
      </c>
    </row>
    <row r="730" spans="3:5">
      <c r="C730" s="181" t="s">
        <v>577</v>
      </c>
      <c r="D730" s="181" t="s">
        <v>577</v>
      </c>
      <c r="E730" s="181" t="str">
        <f t="shared" si="32"/>
        <v/>
      </c>
    </row>
    <row r="731" spans="3:5">
      <c r="C731" s="181" t="s">
        <v>577</v>
      </c>
      <c r="D731" s="181" t="s">
        <v>577</v>
      </c>
      <c r="E731" s="181" t="str">
        <f t="shared" si="32"/>
        <v/>
      </c>
    </row>
    <row r="732" spans="3:5">
      <c r="C732" s="181" t="s">
        <v>577</v>
      </c>
      <c r="D732" s="181" t="s">
        <v>577</v>
      </c>
      <c r="E732" s="181" t="str">
        <f t="shared" si="32"/>
        <v/>
      </c>
    </row>
    <row r="733" spans="3:5">
      <c r="C733" s="181" t="s">
        <v>577</v>
      </c>
      <c r="D733" s="181" t="s">
        <v>577</v>
      </c>
      <c r="E733" s="181" t="str">
        <f t="shared" si="32"/>
        <v/>
      </c>
    </row>
    <row r="734" spans="3:5">
      <c r="C734" s="181" t="s">
        <v>577</v>
      </c>
      <c r="D734" s="181" t="s">
        <v>577</v>
      </c>
      <c r="E734" s="181" t="str">
        <f t="shared" si="32"/>
        <v/>
      </c>
    </row>
    <row r="735" spans="3:5">
      <c r="C735" s="181" t="s">
        <v>577</v>
      </c>
      <c r="D735" s="181" t="s">
        <v>577</v>
      </c>
      <c r="E735" s="181" t="str">
        <f t="shared" si="32"/>
        <v/>
      </c>
    </row>
    <row r="736" spans="3:5">
      <c r="C736" s="181" t="s">
        <v>577</v>
      </c>
      <c r="D736" s="181" t="s">
        <v>577</v>
      </c>
      <c r="E736" s="181" t="str">
        <f t="shared" si="32"/>
        <v/>
      </c>
    </row>
    <row r="737" spans="3:5">
      <c r="C737" s="181" t="s">
        <v>577</v>
      </c>
      <c r="D737" s="181" t="s">
        <v>577</v>
      </c>
      <c r="E737" s="181" t="str">
        <f t="shared" si="32"/>
        <v/>
      </c>
    </row>
    <row r="738" spans="3:5">
      <c r="C738" s="181" t="s">
        <v>577</v>
      </c>
      <c r="D738" s="181" t="s">
        <v>577</v>
      </c>
      <c r="E738" s="181" t="str">
        <f t="shared" si="32"/>
        <v/>
      </c>
    </row>
    <row r="739" spans="3:5">
      <c r="C739" s="181" t="s">
        <v>577</v>
      </c>
      <c r="D739" s="181" t="s">
        <v>577</v>
      </c>
      <c r="E739" s="181" t="str">
        <f t="shared" si="32"/>
        <v/>
      </c>
    </row>
    <row r="740" spans="3:5">
      <c r="C740" s="181" t="s">
        <v>577</v>
      </c>
      <c r="D740" s="181" t="s">
        <v>577</v>
      </c>
      <c r="E740" s="181" t="str">
        <f t="shared" si="32"/>
        <v/>
      </c>
    </row>
    <row r="741" spans="3:5">
      <c r="C741" s="181" t="s">
        <v>577</v>
      </c>
      <c r="D741" s="181" t="s">
        <v>577</v>
      </c>
      <c r="E741" s="181" t="str">
        <f t="shared" si="32"/>
        <v/>
      </c>
    </row>
    <row r="742" spans="3:5">
      <c r="C742" s="181" t="s">
        <v>577</v>
      </c>
      <c r="D742" s="181" t="s">
        <v>577</v>
      </c>
      <c r="E742" s="181" t="str">
        <f t="shared" si="32"/>
        <v/>
      </c>
    </row>
    <row r="743" spans="3:5">
      <c r="C743" s="181" t="s">
        <v>577</v>
      </c>
      <c r="D743" s="181" t="s">
        <v>577</v>
      </c>
      <c r="E743" s="181" t="str">
        <f t="shared" si="32"/>
        <v/>
      </c>
    </row>
    <row r="744" spans="3:5">
      <c r="C744" s="181" t="s">
        <v>577</v>
      </c>
      <c r="D744" s="181" t="s">
        <v>577</v>
      </c>
      <c r="E744" s="181" t="str">
        <f t="shared" si="32"/>
        <v/>
      </c>
    </row>
    <row r="745" spans="3:5">
      <c r="C745" s="181" t="s">
        <v>577</v>
      </c>
      <c r="D745" s="181" t="s">
        <v>577</v>
      </c>
      <c r="E745" s="181" t="str">
        <f t="shared" si="32"/>
        <v/>
      </c>
    </row>
    <row r="746" spans="3:5">
      <c r="C746" s="181" t="s">
        <v>577</v>
      </c>
      <c r="D746" s="181" t="s">
        <v>577</v>
      </c>
      <c r="E746" s="181" t="str">
        <f t="shared" si="32"/>
        <v/>
      </c>
    </row>
    <row r="747" spans="3:5">
      <c r="C747" s="181" t="s">
        <v>577</v>
      </c>
      <c r="D747" s="181" t="s">
        <v>577</v>
      </c>
      <c r="E747" s="181" t="str">
        <f t="shared" si="32"/>
        <v/>
      </c>
    </row>
    <row r="748" spans="3:5">
      <c r="C748" s="181" t="s">
        <v>577</v>
      </c>
      <c r="D748" s="181" t="s">
        <v>577</v>
      </c>
      <c r="E748" s="181" t="str">
        <f t="shared" si="32"/>
        <v/>
      </c>
    </row>
    <row r="749" spans="3:5">
      <c r="C749" s="181" t="s">
        <v>577</v>
      </c>
      <c r="D749" s="181" t="s">
        <v>577</v>
      </c>
      <c r="E749" s="181" t="str">
        <f t="shared" si="32"/>
        <v/>
      </c>
    </row>
    <row r="750" spans="3:5">
      <c r="C750" s="181" t="s">
        <v>577</v>
      </c>
      <c r="D750" s="181" t="s">
        <v>577</v>
      </c>
      <c r="E750" s="181" t="str">
        <f t="shared" si="32"/>
        <v/>
      </c>
    </row>
    <row r="751" spans="3:5">
      <c r="C751" s="181" t="s">
        <v>577</v>
      </c>
      <c r="D751" s="181" t="s">
        <v>577</v>
      </c>
      <c r="E751" s="181" t="str">
        <f t="shared" si="32"/>
        <v/>
      </c>
    </row>
    <row r="752" spans="3:5">
      <c r="C752" s="181" t="s">
        <v>577</v>
      </c>
      <c r="D752" s="181" t="s">
        <v>577</v>
      </c>
      <c r="E752" s="181" t="str">
        <f t="shared" si="32"/>
        <v/>
      </c>
    </row>
    <row r="753" spans="3:5">
      <c r="C753" s="181" t="s">
        <v>577</v>
      </c>
      <c r="D753" s="181" t="s">
        <v>577</v>
      </c>
      <c r="E753" s="181" t="str">
        <f t="shared" si="32"/>
        <v/>
      </c>
    </row>
    <row r="754" spans="3:5">
      <c r="C754" s="181" t="s">
        <v>577</v>
      </c>
      <c r="D754" s="181" t="s">
        <v>577</v>
      </c>
      <c r="E754" s="181" t="str">
        <f t="shared" si="32"/>
        <v/>
      </c>
    </row>
    <row r="755" spans="3:5">
      <c r="C755" s="181" t="s">
        <v>577</v>
      </c>
      <c r="D755" s="181" t="s">
        <v>577</v>
      </c>
      <c r="E755" s="181" t="str">
        <f t="shared" si="32"/>
        <v/>
      </c>
    </row>
    <row r="756" spans="3:5">
      <c r="C756" s="181" t="s">
        <v>577</v>
      </c>
      <c r="D756" s="181" t="s">
        <v>577</v>
      </c>
      <c r="E756" s="181" t="str">
        <f t="shared" si="32"/>
        <v/>
      </c>
    </row>
    <row r="757" spans="3:5">
      <c r="C757" s="181" t="s">
        <v>577</v>
      </c>
      <c r="D757" s="181" t="s">
        <v>577</v>
      </c>
      <c r="E757" s="181" t="str">
        <f t="shared" si="32"/>
        <v/>
      </c>
    </row>
    <row r="758" spans="3:5">
      <c r="C758" s="181" t="s">
        <v>577</v>
      </c>
      <c r="D758" s="181" t="s">
        <v>577</v>
      </c>
      <c r="E758" s="181" t="str">
        <f t="shared" si="32"/>
        <v/>
      </c>
    </row>
    <row r="759" spans="3:5">
      <c r="C759" s="181" t="s">
        <v>577</v>
      </c>
      <c r="D759" s="181" t="s">
        <v>577</v>
      </c>
      <c r="E759" s="181" t="str">
        <f t="shared" si="32"/>
        <v/>
      </c>
    </row>
    <row r="760" spans="3:5">
      <c r="C760" s="181" t="s">
        <v>577</v>
      </c>
      <c r="D760" s="181" t="s">
        <v>577</v>
      </c>
      <c r="E760" s="181" t="str">
        <f t="shared" si="32"/>
        <v/>
      </c>
    </row>
    <row r="761" spans="3:5">
      <c r="C761" s="181" t="s">
        <v>577</v>
      </c>
      <c r="D761" s="181" t="s">
        <v>577</v>
      </c>
      <c r="E761" s="181" t="str">
        <f t="shared" si="32"/>
        <v/>
      </c>
    </row>
    <row r="762" spans="3:5">
      <c r="C762" s="181" t="s">
        <v>577</v>
      </c>
      <c r="D762" s="181" t="s">
        <v>577</v>
      </c>
      <c r="E762" s="181" t="str">
        <f t="shared" si="32"/>
        <v/>
      </c>
    </row>
    <row r="763" spans="3:5">
      <c r="C763" s="181" t="s">
        <v>577</v>
      </c>
      <c r="D763" s="181" t="s">
        <v>577</v>
      </c>
      <c r="E763" s="181" t="str">
        <f t="shared" si="32"/>
        <v/>
      </c>
    </row>
    <row r="764" spans="3:5">
      <c r="C764" s="181" t="s">
        <v>577</v>
      </c>
      <c r="D764" s="181" t="s">
        <v>577</v>
      </c>
      <c r="E764" s="181" t="str">
        <f t="shared" si="32"/>
        <v/>
      </c>
    </row>
    <row r="765" spans="3:5">
      <c r="C765" s="181" t="s">
        <v>577</v>
      </c>
      <c r="D765" s="181" t="s">
        <v>577</v>
      </c>
      <c r="E765" s="181" t="str">
        <f t="shared" si="32"/>
        <v/>
      </c>
    </row>
    <row r="766" spans="3:5">
      <c r="C766" s="181" t="s">
        <v>577</v>
      </c>
      <c r="D766" s="181" t="s">
        <v>577</v>
      </c>
      <c r="E766" s="181" t="str">
        <f t="shared" si="32"/>
        <v/>
      </c>
    </row>
    <row r="767" spans="3:5">
      <c r="C767" s="181" t="s">
        <v>577</v>
      </c>
      <c r="D767" s="181" t="s">
        <v>577</v>
      </c>
      <c r="E767" s="181" t="str">
        <f t="shared" si="32"/>
        <v/>
      </c>
    </row>
    <row r="768" spans="3:5">
      <c r="C768" s="181" t="s">
        <v>577</v>
      </c>
      <c r="D768" s="181" t="s">
        <v>577</v>
      </c>
      <c r="E768" s="181" t="str">
        <f t="shared" si="32"/>
        <v/>
      </c>
    </row>
    <row r="769" spans="3:5">
      <c r="C769" s="181" t="s">
        <v>577</v>
      </c>
      <c r="D769" s="181" t="s">
        <v>577</v>
      </c>
      <c r="E769" s="181" t="str">
        <f t="shared" si="32"/>
        <v/>
      </c>
    </row>
    <row r="770" spans="3:5">
      <c r="C770" s="181" t="s">
        <v>577</v>
      </c>
      <c r="D770" s="181" t="s">
        <v>577</v>
      </c>
      <c r="E770" s="181" t="str">
        <f t="shared" si="32"/>
        <v/>
      </c>
    </row>
    <row r="771" spans="3:5">
      <c r="C771" s="181" t="s">
        <v>577</v>
      </c>
      <c r="D771" s="181" t="s">
        <v>577</v>
      </c>
      <c r="E771" s="181" t="str">
        <f t="shared" si="32"/>
        <v/>
      </c>
    </row>
    <row r="772" spans="3:5">
      <c r="C772" s="181" t="s">
        <v>577</v>
      </c>
      <c r="D772" s="181" t="s">
        <v>577</v>
      </c>
      <c r="E772" s="181" t="str">
        <f t="shared" ref="E772:E835" si="33">IF(C772&lt;D772,C772,D772)</f>
        <v/>
      </c>
    </row>
    <row r="773" spans="3:5">
      <c r="C773" s="181" t="s">
        <v>577</v>
      </c>
      <c r="D773" s="181" t="s">
        <v>577</v>
      </c>
      <c r="E773" s="181" t="str">
        <f t="shared" si="33"/>
        <v/>
      </c>
    </row>
    <row r="774" spans="3:5">
      <c r="C774" s="181" t="s">
        <v>577</v>
      </c>
      <c r="D774" s="181" t="s">
        <v>577</v>
      </c>
      <c r="E774" s="181" t="str">
        <f t="shared" si="33"/>
        <v/>
      </c>
    </row>
    <row r="775" spans="3:5">
      <c r="C775" s="181" t="s">
        <v>577</v>
      </c>
      <c r="D775" s="181" t="s">
        <v>577</v>
      </c>
      <c r="E775" s="181" t="str">
        <f t="shared" si="33"/>
        <v/>
      </c>
    </row>
    <row r="776" spans="3:5">
      <c r="C776" s="181" t="s">
        <v>577</v>
      </c>
      <c r="D776" s="181" t="s">
        <v>577</v>
      </c>
      <c r="E776" s="181" t="str">
        <f t="shared" si="33"/>
        <v/>
      </c>
    </row>
    <row r="777" spans="3:5">
      <c r="C777" s="181" t="s">
        <v>577</v>
      </c>
      <c r="D777" s="181" t="s">
        <v>577</v>
      </c>
      <c r="E777" s="181" t="str">
        <f t="shared" si="33"/>
        <v/>
      </c>
    </row>
    <row r="778" spans="3:5">
      <c r="C778" s="181" t="s">
        <v>577</v>
      </c>
      <c r="D778" s="181" t="s">
        <v>577</v>
      </c>
      <c r="E778" s="181" t="str">
        <f t="shared" si="33"/>
        <v/>
      </c>
    </row>
    <row r="779" spans="3:5">
      <c r="C779" s="181" t="s">
        <v>577</v>
      </c>
      <c r="D779" s="181" t="s">
        <v>577</v>
      </c>
      <c r="E779" s="181" t="str">
        <f t="shared" si="33"/>
        <v/>
      </c>
    </row>
    <row r="780" spans="3:5">
      <c r="C780" s="181" t="s">
        <v>577</v>
      </c>
      <c r="D780" s="181" t="s">
        <v>577</v>
      </c>
      <c r="E780" s="181" t="str">
        <f t="shared" si="33"/>
        <v/>
      </c>
    </row>
    <row r="781" spans="3:5">
      <c r="C781" s="181" t="s">
        <v>577</v>
      </c>
      <c r="D781" s="181" t="s">
        <v>577</v>
      </c>
      <c r="E781" s="181" t="str">
        <f t="shared" si="33"/>
        <v/>
      </c>
    </row>
    <row r="782" spans="3:5">
      <c r="C782" s="181" t="s">
        <v>577</v>
      </c>
      <c r="D782" s="181" t="s">
        <v>577</v>
      </c>
      <c r="E782" s="181" t="str">
        <f t="shared" si="33"/>
        <v/>
      </c>
    </row>
    <row r="783" spans="3:5">
      <c r="C783" s="181" t="s">
        <v>577</v>
      </c>
      <c r="D783" s="181" t="s">
        <v>577</v>
      </c>
      <c r="E783" s="181" t="str">
        <f t="shared" si="33"/>
        <v/>
      </c>
    </row>
    <row r="784" spans="3:5">
      <c r="C784" s="181" t="s">
        <v>577</v>
      </c>
      <c r="D784" s="181" t="s">
        <v>577</v>
      </c>
      <c r="E784" s="181" t="str">
        <f t="shared" si="33"/>
        <v/>
      </c>
    </row>
    <row r="785" spans="3:5">
      <c r="C785" s="181" t="s">
        <v>577</v>
      </c>
      <c r="D785" s="181" t="s">
        <v>577</v>
      </c>
      <c r="E785" s="181" t="str">
        <f t="shared" si="33"/>
        <v/>
      </c>
    </row>
    <row r="786" spans="3:5">
      <c r="C786" s="181" t="s">
        <v>577</v>
      </c>
      <c r="D786" s="181" t="s">
        <v>577</v>
      </c>
      <c r="E786" s="181" t="str">
        <f t="shared" si="33"/>
        <v/>
      </c>
    </row>
    <row r="787" spans="3:5">
      <c r="C787" s="181" t="s">
        <v>577</v>
      </c>
      <c r="D787" s="181" t="s">
        <v>577</v>
      </c>
      <c r="E787" s="181" t="str">
        <f t="shared" si="33"/>
        <v/>
      </c>
    </row>
    <row r="788" spans="3:5">
      <c r="C788" s="181" t="s">
        <v>577</v>
      </c>
      <c r="D788" s="181" t="s">
        <v>577</v>
      </c>
      <c r="E788" s="181" t="str">
        <f t="shared" si="33"/>
        <v/>
      </c>
    </row>
    <row r="789" spans="3:5">
      <c r="C789" s="181" t="s">
        <v>577</v>
      </c>
      <c r="D789" s="181" t="s">
        <v>577</v>
      </c>
      <c r="E789" s="181" t="str">
        <f t="shared" si="33"/>
        <v/>
      </c>
    </row>
    <row r="790" spans="3:5">
      <c r="C790" s="181" t="s">
        <v>577</v>
      </c>
      <c r="D790" s="181" t="s">
        <v>577</v>
      </c>
      <c r="E790" s="181" t="str">
        <f t="shared" si="33"/>
        <v/>
      </c>
    </row>
    <row r="791" spans="3:5">
      <c r="C791" s="181" t="s">
        <v>577</v>
      </c>
      <c r="D791" s="181" t="s">
        <v>577</v>
      </c>
      <c r="E791" s="181" t="str">
        <f t="shared" si="33"/>
        <v/>
      </c>
    </row>
    <row r="792" spans="3:5">
      <c r="C792" s="181" t="s">
        <v>577</v>
      </c>
      <c r="D792" s="181" t="s">
        <v>577</v>
      </c>
      <c r="E792" s="181" t="str">
        <f t="shared" si="33"/>
        <v/>
      </c>
    </row>
    <row r="793" spans="3:5">
      <c r="C793" s="181" t="s">
        <v>577</v>
      </c>
      <c r="D793" s="181" t="s">
        <v>577</v>
      </c>
      <c r="E793" s="181" t="str">
        <f t="shared" si="33"/>
        <v/>
      </c>
    </row>
    <row r="794" spans="3:5">
      <c r="C794" s="181" t="s">
        <v>577</v>
      </c>
      <c r="D794" s="181" t="s">
        <v>577</v>
      </c>
      <c r="E794" s="181" t="str">
        <f t="shared" si="33"/>
        <v/>
      </c>
    </row>
    <row r="795" spans="3:5">
      <c r="C795" s="181" t="s">
        <v>577</v>
      </c>
      <c r="D795" s="181" t="s">
        <v>577</v>
      </c>
      <c r="E795" s="181" t="str">
        <f t="shared" si="33"/>
        <v/>
      </c>
    </row>
    <row r="796" spans="3:5">
      <c r="C796" s="181" t="s">
        <v>577</v>
      </c>
      <c r="D796" s="181" t="s">
        <v>577</v>
      </c>
      <c r="E796" s="181" t="str">
        <f t="shared" si="33"/>
        <v/>
      </c>
    </row>
    <row r="797" spans="3:5">
      <c r="C797" s="181" t="s">
        <v>577</v>
      </c>
      <c r="D797" s="181" t="s">
        <v>577</v>
      </c>
      <c r="E797" s="181" t="str">
        <f t="shared" si="33"/>
        <v/>
      </c>
    </row>
    <row r="798" spans="3:5">
      <c r="C798" s="181" t="s">
        <v>577</v>
      </c>
      <c r="D798" s="181" t="s">
        <v>577</v>
      </c>
      <c r="E798" s="181" t="str">
        <f t="shared" si="33"/>
        <v/>
      </c>
    </row>
    <row r="799" spans="3:5">
      <c r="C799" s="181" t="s">
        <v>577</v>
      </c>
      <c r="D799" s="181" t="s">
        <v>577</v>
      </c>
      <c r="E799" s="181" t="str">
        <f t="shared" si="33"/>
        <v/>
      </c>
    </row>
    <row r="800" spans="3:5">
      <c r="C800" s="181" t="s">
        <v>577</v>
      </c>
      <c r="D800" s="181" t="s">
        <v>577</v>
      </c>
      <c r="E800" s="181" t="str">
        <f t="shared" si="33"/>
        <v/>
      </c>
    </row>
    <row r="801" spans="3:5">
      <c r="C801" s="181" t="s">
        <v>577</v>
      </c>
      <c r="D801" s="181" t="s">
        <v>577</v>
      </c>
      <c r="E801" s="181" t="str">
        <f t="shared" si="33"/>
        <v/>
      </c>
    </row>
    <row r="802" spans="3:5">
      <c r="C802" s="181" t="s">
        <v>577</v>
      </c>
      <c r="D802" s="181" t="s">
        <v>577</v>
      </c>
      <c r="E802" s="181" t="str">
        <f t="shared" si="33"/>
        <v/>
      </c>
    </row>
    <row r="803" spans="3:5">
      <c r="C803" s="181" t="s">
        <v>577</v>
      </c>
      <c r="D803" s="181" t="s">
        <v>577</v>
      </c>
      <c r="E803" s="181" t="str">
        <f t="shared" si="33"/>
        <v/>
      </c>
    </row>
    <row r="804" spans="3:5">
      <c r="C804" s="181" t="s">
        <v>577</v>
      </c>
      <c r="D804" s="181" t="s">
        <v>577</v>
      </c>
      <c r="E804" s="181" t="str">
        <f t="shared" si="33"/>
        <v/>
      </c>
    </row>
    <row r="805" spans="3:5">
      <c r="C805" s="181" t="s">
        <v>577</v>
      </c>
      <c r="D805" s="181" t="s">
        <v>577</v>
      </c>
      <c r="E805" s="181" t="str">
        <f t="shared" si="33"/>
        <v/>
      </c>
    </row>
    <row r="806" spans="3:5">
      <c r="C806" s="181" t="s">
        <v>577</v>
      </c>
      <c r="D806" s="181" t="s">
        <v>577</v>
      </c>
      <c r="E806" s="181" t="str">
        <f t="shared" si="33"/>
        <v/>
      </c>
    </row>
    <row r="807" spans="3:5">
      <c r="C807" s="181" t="s">
        <v>577</v>
      </c>
      <c r="D807" s="181" t="s">
        <v>577</v>
      </c>
      <c r="E807" s="181" t="str">
        <f t="shared" si="33"/>
        <v/>
      </c>
    </row>
    <row r="808" spans="3:5">
      <c r="C808" s="181" t="s">
        <v>577</v>
      </c>
      <c r="D808" s="181" t="s">
        <v>577</v>
      </c>
      <c r="E808" s="181" t="str">
        <f t="shared" si="33"/>
        <v/>
      </c>
    </row>
    <row r="809" spans="3:5">
      <c r="C809" s="181" t="s">
        <v>577</v>
      </c>
      <c r="D809" s="181" t="s">
        <v>577</v>
      </c>
      <c r="E809" s="181" t="str">
        <f t="shared" si="33"/>
        <v/>
      </c>
    </row>
    <row r="810" spans="3:5">
      <c r="C810" s="181" t="s">
        <v>577</v>
      </c>
      <c r="D810" s="181" t="s">
        <v>577</v>
      </c>
      <c r="E810" s="181" t="str">
        <f t="shared" si="33"/>
        <v/>
      </c>
    </row>
    <row r="811" spans="3:5">
      <c r="C811" s="181" t="s">
        <v>577</v>
      </c>
      <c r="D811" s="181" t="s">
        <v>577</v>
      </c>
      <c r="E811" s="181" t="str">
        <f t="shared" si="33"/>
        <v/>
      </c>
    </row>
    <row r="812" spans="3:5">
      <c r="C812" s="181" t="s">
        <v>577</v>
      </c>
      <c r="D812" s="181" t="s">
        <v>577</v>
      </c>
      <c r="E812" s="181" t="str">
        <f t="shared" si="33"/>
        <v/>
      </c>
    </row>
    <row r="813" spans="3:5">
      <c r="C813" s="181" t="s">
        <v>577</v>
      </c>
      <c r="D813" s="181" t="s">
        <v>577</v>
      </c>
      <c r="E813" s="181" t="str">
        <f t="shared" si="33"/>
        <v/>
      </c>
    </row>
    <row r="814" spans="3:5">
      <c r="C814" s="181" t="s">
        <v>577</v>
      </c>
      <c r="D814" s="181" t="s">
        <v>577</v>
      </c>
      <c r="E814" s="181" t="str">
        <f t="shared" si="33"/>
        <v/>
      </c>
    </row>
    <row r="815" spans="3:5">
      <c r="C815" s="181" t="s">
        <v>577</v>
      </c>
      <c r="D815" s="181" t="s">
        <v>577</v>
      </c>
      <c r="E815" s="181" t="str">
        <f t="shared" si="33"/>
        <v/>
      </c>
    </row>
    <row r="816" spans="3:5">
      <c r="C816" s="181" t="s">
        <v>577</v>
      </c>
      <c r="D816" s="181" t="s">
        <v>577</v>
      </c>
      <c r="E816" s="181" t="str">
        <f t="shared" si="33"/>
        <v/>
      </c>
    </row>
    <row r="817" spans="3:5">
      <c r="C817" s="181" t="s">
        <v>577</v>
      </c>
      <c r="D817" s="181" t="s">
        <v>577</v>
      </c>
      <c r="E817" s="181" t="str">
        <f t="shared" si="33"/>
        <v/>
      </c>
    </row>
    <row r="818" spans="3:5">
      <c r="C818" s="181" t="s">
        <v>577</v>
      </c>
      <c r="D818" s="181" t="s">
        <v>577</v>
      </c>
      <c r="E818" s="181" t="str">
        <f t="shared" si="33"/>
        <v/>
      </c>
    </row>
    <row r="819" spans="3:5">
      <c r="C819" s="181" t="s">
        <v>577</v>
      </c>
      <c r="D819" s="181" t="s">
        <v>577</v>
      </c>
      <c r="E819" s="181" t="str">
        <f t="shared" si="33"/>
        <v/>
      </c>
    </row>
    <row r="820" spans="3:5">
      <c r="C820" s="181" t="s">
        <v>577</v>
      </c>
      <c r="D820" s="181" t="s">
        <v>577</v>
      </c>
      <c r="E820" s="181" t="str">
        <f t="shared" si="33"/>
        <v/>
      </c>
    </row>
    <row r="821" spans="3:5">
      <c r="C821" s="181" t="s">
        <v>577</v>
      </c>
      <c r="D821" s="181" t="s">
        <v>577</v>
      </c>
      <c r="E821" s="181" t="str">
        <f t="shared" si="33"/>
        <v/>
      </c>
    </row>
    <row r="822" spans="3:5">
      <c r="C822" s="181" t="s">
        <v>577</v>
      </c>
      <c r="D822" s="181" t="s">
        <v>577</v>
      </c>
      <c r="E822" s="181" t="str">
        <f t="shared" si="33"/>
        <v/>
      </c>
    </row>
    <row r="823" spans="3:5">
      <c r="C823" s="181" t="s">
        <v>577</v>
      </c>
      <c r="D823" s="181" t="s">
        <v>577</v>
      </c>
      <c r="E823" s="181" t="str">
        <f t="shared" si="33"/>
        <v/>
      </c>
    </row>
    <row r="824" spans="3:5">
      <c r="C824" s="181" t="s">
        <v>577</v>
      </c>
      <c r="D824" s="181" t="s">
        <v>577</v>
      </c>
      <c r="E824" s="181" t="str">
        <f t="shared" si="33"/>
        <v/>
      </c>
    </row>
    <row r="825" spans="3:5">
      <c r="C825" s="181" t="s">
        <v>577</v>
      </c>
      <c r="D825" s="181" t="s">
        <v>577</v>
      </c>
      <c r="E825" s="181" t="str">
        <f t="shared" si="33"/>
        <v/>
      </c>
    </row>
    <row r="826" spans="3:5">
      <c r="C826" s="181" t="s">
        <v>577</v>
      </c>
      <c r="D826" s="181" t="s">
        <v>577</v>
      </c>
      <c r="E826" s="181" t="str">
        <f t="shared" si="33"/>
        <v/>
      </c>
    </row>
    <row r="827" spans="3:5">
      <c r="C827" s="181" t="s">
        <v>577</v>
      </c>
      <c r="D827" s="181" t="s">
        <v>577</v>
      </c>
      <c r="E827" s="181" t="str">
        <f t="shared" si="33"/>
        <v/>
      </c>
    </row>
    <row r="828" spans="3:5">
      <c r="C828" s="181" t="s">
        <v>577</v>
      </c>
      <c r="D828" s="181" t="s">
        <v>577</v>
      </c>
      <c r="E828" s="181" t="str">
        <f t="shared" si="33"/>
        <v/>
      </c>
    </row>
    <row r="829" spans="3:5">
      <c r="C829" s="181" t="s">
        <v>577</v>
      </c>
      <c r="D829" s="181" t="s">
        <v>577</v>
      </c>
      <c r="E829" s="181" t="str">
        <f t="shared" si="33"/>
        <v/>
      </c>
    </row>
    <row r="830" spans="3:5">
      <c r="C830" s="181" t="s">
        <v>577</v>
      </c>
      <c r="D830" s="181" t="s">
        <v>577</v>
      </c>
      <c r="E830" s="181" t="str">
        <f t="shared" si="33"/>
        <v/>
      </c>
    </row>
    <row r="831" spans="3:5">
      <c r="C831" s="181" t="s">
        <v>577</v>
      </c>
      <c r="D831" s="181" t="s">
        <v>577</v>
      </c>
      <c r="E831" s="181" t="str">
        <f t="shared" si="33"/>
        <v/>
      </c>
    </row>
    <row r="832" spans="3:5">
      <c r="C832" s="181" t="s">
        <v>577</v>
      </c>
      <c r="D832" s="181" t="s">
        <v>577</v>
      </c>
      <c r="E832" s="181" t="str">
        <f t="shared" si="33"/>
        <v/>
      </c>
    </row>
    <row r="833" spans="3:5">
      <c r="C833" s="181" t="s">
        <v>577</v>
      </c>
      <c r="D833" s="181" t="s">
        <v>577</v>
      </c>
      <c r="E833" s="181" t="str">
        <f t="shared" si="33"/>
        <v/>
      </c>
    </row>
    <row r="834" spans="3:5">
      <c r="C834" s="181" t="s">
        <v>577</v>
      </c>
      <c r="D834" s="181" t="s">
        <v>577</v>
      </c>
      <c r="E834" s="181" t="str">
        <f t="shared" si="33"/>
        <v/>
      </c>
    </row>
    <row r="835" spans="3:5">
      <c r="C835" s="181" t="s">
        <v>577</v>
      </c>
      <c r="D835" s="181" t="s">
        <v>577</v>
      </c>
      <c r="E835" s="181" t="str">
        <f t="shared" si="33"/>
        <v/>
      </c>
    </row>
    <row r="836" spans="3:5">
      <c r="C836" s="181" t="s">
        <v>577</v>
      </c>
      <c r="D836" s="181" t="s">
        <v>577</v>
      </c>
      <c r="E836" s="181" t="str">
        <f t="shared" ref="E836:E899" si="34">IF(C836&lt;D836,C836,D836)</f>
        <v/>
      </c>
    </row>
    <row r="837" spans="3:5">
      <c r="C837" s="181" t="s">
        <v>577</v>
      </c>
      <c r="D837" s="181" t="s">
        <v>577</v>
      </c>
      <c r="E837" s="181" t="str">
        <f t="shared" si="34"/>
        <v/>
      </c>
    </row>
    <row r="838" spans="3:5">
      <c r="C838" s="181" t="s">
        <v>577</v>
      </c>
      <c r="D838" s="181" t="s">
        <v>577</v>
      </c>
      <c r="E838" s="181" t="str">
        <f t="shared" si="34"/>
        <v/>
      </c>
    </row>
    <row r="839" spans="3:5">
      <c r="C839" s="181" t="s">
        <v>577</v>
      </c>
      <c r="D839" s="181" t="s">
        <v>577</v>
      </c>
      <c r="E839" s="181" t="str">
        <f t="shared" si="34"/>
        <v/>
      </c>
    </row>
    <row r="840" spans="3:5">
      <c r="C840" s="181" t="s">
        <v>577</v>
      </c>
      <c r="D840" s="181" t="s">
        <v>577</v>
      </c>
      <c r="E840" s="181" t="str">
        <f t="shared" si="34"/>
        <v/>
      </c>
    </row>
    <row r="841" spans="3:5">
      <c r="C841" s="181" t="s">
        <v>577</v>
      </c>
      <c r="D841" s="181" t="s">
        <v>577</v>
      </c>
      <c r="E841" s="181" t="str">
        <f t="shared" si="34"/>
        <v/>
      </c>
    </row>
    <row r="842" spans="3:5">
      <c r="C842" s="181" t="s">
        <v>577</v>
      </c>
      <c r="D842" s="181" t="s">
        <v>577</v>
      </c>
      <c r="E842" s="181" t="str">
        <f t="shared" si="34"/>
        <v/>
      </c>
    </row>
    <row r="843" spans="3:5">
      <c r="C843" s="181" t="s">
        <v>577</v>
      </c>
      <c r="D843" s="181" t="s">
        <v>577</v>
      </c>
      <c r="E843" s="181" t="str">
        <f t="shared" si="34"/>
        <v/>
      </c>
    </row>
    <row r="844" spans="3:5">
      <c r="C844" s="181" t="s">
        <v>577</v>
      </c>
      <c r="D844" s="181" t="s">
        <v>577</v>
      </c>
      <c r="E844" s="181" t="str">
        <f t="shared" si="34"/>
        <v/>
      </c>
    </row>
    <row r="845" spans="3:5">
      <c r="C845" s="181" t="s">
        <v>577</v>
      </c>
      <c r="D845" s="181" t="s">
        <v>577</v>
      </c>
      <c r="E845" s="181" t="str">
        <f t="shared" si="34"/>
        <v/>
      </c>
    </row>
    <row r="846" spans="3:5">
      <c r="C846" s="181" t="s">
        <v>577</v>
      </c>
      <c r="D846" s="181" t="s">
        <v>577</v>
      </c>
      <c r="E846" s="181" t="str">
        <f t="shared" si="34"/>
        <v/>
      </c>
    </row>
    <row r="847" spans="3:5">
      <c r="C847" s="181" t="s">
        <v>577</v>
      </c>
      <c r="D847" s="181" t="s">
        <v>577</v>
      </c>
      <c r="E847" s="181" t="str">
        <f t="shared" si="34"/>
        <v/>
      </c>
    </row>
    <row r="848" spans="3:5">
      <c r="C848" s="181" t="s">
        <v>577</v>
      </c>
      <c r="D848" s="181" t="s">
        <v>577</v>
      </c>
      <c r="E848" s="181" t="str">
        <f t="shared" si="34"/>
        <v/>
      </c>
    </row>
    <row r="849" spans="3:5">
      <c r="C849" s="181" t="s">
        <v>577</v>
      </c>
      <c r="D849" s="181" t="s">
        <v>577</v>
      </c>
      <c r="E849" s="181" t="str">
        <f t="shared" si="34"/>
        <v/>
      </c>
    </row>
    <row r="850" spans="3:5">
      <c r="C850" s="181" t="s">
        <v>577</v>
      </c>
      <c r="D850" s="181" t="s">
        <v>577</v>
      </c>
      <c r="E850" s="181" t="str">
        <f t="shared" si="34"/>
        <v/>
      </c>
    </row>
    <row r="851" spans="3:5">
      <c r="C851" s="181" t="s">
        <v>577</v>
      </c>
      <c r="D851" s="181" t="s">
        <v>577</v>
      </c>
      <c r="E851" s="181" t="str">
        <f t="shared" si="34"/>
        <v/>
      </c>
    </row>
    <row r="852" spans="3:5">
      <c r="C852" s="181" t="s">
        <v>577</v>
      </c>
      <c r="D852" s="181" t="s">
        <v>577</v>
      </c>
      <c r="E852" s="181" t="str">
        <f t="shared" si="34"/>
        <v/>
      </c>
    </row>
    <row r="853" spans="3:5">
      <c r="C853" s="181" t="s">
        <v>577</v>
      </c>
      <c r="D853" s="181" t="s">
        <v>577</v>
      </c>
      <c r="E853" s="181" t="str">
        <f t="shared" si="34"/>
        <v/>
      </c>
    </row>
    <row r="854" spans="3:5">
      <c r="C854" s="181" t="s">
        <v>577</v>
      </c>
      <c r="D854" s="181" t="s">
        <v>577</v>
      </c>
      <c r="E854" s="181" t="str">
        <f t="shared" si="34"/>
        <v/>
      </c>
    </row>
    <row r="855" spans="3:5">
      <c r="C855" s="181" t="s">
        <v>577</v>
      </c>
      <c r="D855" s="181" t="s">
        <v>577</v>
      </c>
      <c r="E855" s="181" t="str">
        <f t="shared" si="34"/>
        <v/>
      </c>
    </row>
    <row r="856" spans="3:5">
      <c r="C856" s="181" t="s">
        <v>577</v>
      </c>
      <c r="D856" s="181" t="s">
        <v>577</v>
      </c>
      <c r="E856" s="181" t="str">
        <f t="shared" si="34"/>
        <v/>
      </c>
    </row>
    <row r="857" spans="3:5">
      <c r="C857" s="181" t="s">
        <v>577</v>
      </c>
      <c r="D857" s="181" t="s">
        <v>577</v>
      </c>
      <c r="E857" s="181" t="str">
        <f t="shared" si="34"/>
        <v/>
      </c>
    </row>
    <row r="858" spans="3:5">
      <c r="C858" s="181" t="s">
        <v>577</v>
      </c>
      <c r="D858" s="181" t="s">
        <v>577</v>
      </c>
      <c r="E858" s="181" t="str">
        <f t="shared" si="34"/>
        <v/>
      </c>
    </row>
    <row r="859" spans="3:5">
      <c r="C859" s="181" t="s">
        <v>577</v>
      </c>
      <c r="D859" s="181" t="s">
        <v>577</v>
      </c>
      <c r="E859" s="181" t="str">
        <f t="shared" si="34"/>
        <v/>
      </c>
    </row>
    <row r="860" spans="3:5">
      <c r="C860" s="181" t="s">
        <v>577</v>
      </c>
      <c r="D860" s="181" t="s">
        <v>577</v>
      </c>
      <c r="E860" s="181" t="str">
        <f t="shared" si="34"/>
        <v/>
      </c>
    </row>
    <row r="861" spans="3:5">
      <c r="C861" s="181" t="s">
        <v>577</v>
      </c>
      <c r="D861" s="181" t="s">
        <v>577</v>
      </c>
      <c r="E861" s="181" t="str">
        <f t="shared" si="34"/>
        <v/>
      </c>
    </row>
    <row r="862" spans="3:5">
      <c r="C862" s="181" t="s">
        <v>577</v>
      </c>
      <c r="D862" s="181" t="s">
        <v>577</v>
      </c>
      <c r="E862" s="181" t="str">
        <f t="shared" si="34"/>
        <v/>
      </c>
    </row>
    <row r="863" spans="3:5">
      <c r="C863" s="181" t="s">
        <v>577</v>
      </c>
      <c r="D863" s="181" t="s">
        <v>577</v>
      </c>
      <c r="E863" s="181" t="str">
        <f t="shared" si="34"/>
        <v/>
      </c>
    </row>
    <row r="864" spans="3:5">
      <c r="C864" s="181" t="s">
        <v>577</v>
      </c>
      <c r="D864" s="181" t="s">
        <v>577</v>
      </c>
      <c r="E864" s="181" t="str">
        <f t="shared" si="34"/>
        <v/>
      </c>
    </row>
    <row r="865" spans="3:5">
      <c r="C865" s="181" t="s">
        <v>577</v>
      </c>
      <c r="D865" s="181" t="s">
        <v>577</v>
      </c>
      <c r="E865" s="181" t="str">
        <f t="shared" si="34"/>
        <v/>
      </c>
    </row>
    <row r="866" spans="3:5">
      <c r="C866" s="181" t="s">
        <v>577</v>
      </c>
      <c r="D866" s="181" t="s">
        <v>577</v>
      </c>
      <c r="E866" s="181" t="str">
        <f t="shared" si="34"/>
        <v/>
      </c>
    </row>
    <row r="867" spans="3:5">
      <c r="C867" s="181" t="s">
        <v>577</v>
      </c>
      <c r="D867" s="181" t="s">
        <v>577</v>
      </c>
      <c r="E867" s="181" t="str">
        <f t="shared" si="34"/>
        <v/>
      </c>
    </row>
    <row r="868" spans="3:5">
      <c r="C868" s="181" t="s">
        <v>577</v>
      </c>
      <c r="D868" s="181" t="s">
        <v>577</v>
      </c>
      <c r="E868" s="181" t="str">
        <f t="shared" si="34"/>
        <v/>
      </c>
    </row>
    <row r="869" spans="3:5">
      <c r="C869" s="181" t="s">
        <v>577</v>
      </c>
      <c r="D869" s="181" t="s">
        <v>577</v>
      </c>
      <c r="E869" s="181" t="str">
        <f t="shared" si="34"/>
        <v/>
      </c>
    </row>
    <row r="870" spans="3:5">
      <c r="C870" s="181" t="s">
        <v>577</v>
      </c>
      <c r="D870" s="181" t="s">
        <v>577</v>
      </c>
      <c r="E870" s="181" t="str">
        <f t="shared" si="34"/>
        <v/>
      </c>
    </row>
    <row r="871" spans="3:5">
      <c r="C871" s="181" t="s">
        <v>577</v>
      </c>
      <c r="D871" s="181" t="s">
        <v>577</v>
      </c>
      <c r="E871" s="181" t="str">
        <f t="shared" si="34"/>
        <v/>
      </c>
    </row>
    <row r="872" spans="3:5">
      <c r="C872" s="181" t="s">
        <v>577</v>
      </c>
      <c r="D872" s="181" t="s">
        <v>577</v>
      </c>
      <c r="E872" s="181" t="str">
        <f t="shared" si="34"/>
        <v/>
      </c>
    </row>
    <row r="873" spans="3:5">
      <c r="C873" s="181" t="s">
        <v>577</v>
      </c>
      <c r="D873" s="181" t="s">
        <v>577</v>
      </c>
      <c r="E873" s="181" t="str">
        <f t="shared" si="34"/>
        <v/>
      </c>
    </row>
    <row r="874" spans="3:5">
      <c r="C874" s="181" t="s">
        <v>577</v>
      </c>
      <c r="D874" s="181" t="s">
        <v>577</v>
      </c>
      <c r="E874" s="181" t="str">
        <f t="shared" si="34"/>
        <v/>
      </c>
    </row>
    <row r="875" spans="3:5">
      <c r="C875" s="181" t="s">
        <v>577</v>
      </c>
      <c r="D875" s="181" t="s">
        <v>577</v>
      </c>
      <c r="E875" s="181" t="str">
        <f t="shared" si="34"/>
        <v/>
      </c>
    </row>
    <row r="876" spans="3:5">
      <c r="C876" s="181" t="s">
        <v>577</v>
      </c>
      <c r="D876" s="181" t="s">
        <v>577</v>
      </c>
      <c r="E876" s="181" t="str">
        <f t="shared" si="34"/>
        <v/>
      </c>
    </row>
    <row r="877" spans="3:5">
      <c r="C877" s="181" t="s">
        <v>577</v>
      </c>
      <c r="D877" s="181" t="s">
        <v>577</v>
      </c>
      <c r="E877" s="181" t="str">
        <f t="shared" si="34"/>
        <v/>
      </c>
    </row>
    <row r="878" spans="3:5">
      <c r="C878" s="181" t="s">
        <v>577</v>
      </c>
      <c r="D878" s="181" t="s">
        <v>577</v>
      </c>
      <c r="E878" s="181" t="str">
        <f t="shared" si="34"/>
        <v/>
      </c>
    </row>
    <row r="879" spans="3:5">
      <c r="C879" s="181" t="s">
        <v>577</v>
      </c>
      <c r="D879" s="181" t="s">
        <v>577</v>
      </c>
      <c r="E879" s="181" t="str">
        <f t="shared" si="34"/>
        <v/>
      </c>
    </row>
    <row r="880" spans="3:5">
      <c r="C880" s="181" t="s">
        <v>577</v>
      </c>
      <c r="D880" s="181" t="s">
        <v>577</v>
      </c>
      <c r="E880" s="181" t="str">
        <f t="shared" si="34"/>
        <v/>
      </c>
    </row>
    <row r="881" spans="3:5">
      <c r="C881" s="181" t="s">
        <v>577</v>
      </c>
      <c r="D881" s="181" t="s">
        <v>577</v>
      </c>
      <c r="E881" s="181" t="str">
        <f t="shared" si="34"/>
        <v/>
      </c>
    </row>
    <row r="882" spans="3:5">
      <c r="C882" s="181" t="s">
        <v>577</v>
      </c>
      <c r="D882" s="181" t="s">
        <v>577</v>
      </c>
      <c r="E882" s="181" t="str">
        <f t="shared" si="34"/>
        <v/>
      </c>
    </row>
    <row r="883" spans="3:5">
      <c r="C883" s="181" t="s">
        <v>577</v>
      </c>
      <c r="D883" s="181" t="s">
        <v>577</v>
      </c>
      <c r="E883" s="181" t="str">
        <f t="shared" si="34"/>
        <v/>
      </c>
    </row>
    <row r="884" spans="3:5">
      <c r="C884" s="181" t="s">
        <v>577</v>
      </c>
      <c r="D884" s="181" t="s">
        <v>577</v>
      </c>
      <c r="E884" s="181" t="str">
        <f t="shared" si="34"/>
        <v/>
      </c>
    </row>
    <row r="885" spans="3:5">
      <c r="C885" s="181" t="s">
        <v>577</v>
      </c>
      <c r="D885" s="181" t="s">
        <v>577</v>
      </c>
      <c r="E885" s="181" t="str">
        <f t="shared" si="34"/>
        <v/>
      </c>
    </row>
    <row r="886" spans="3:5">
      <c r="C886" s="181" t="s">
        <v>577</v>
      </c>
      <c r="D886" s="181" t="s">
        <v>577</v>
      </c>
      <c r="E886" s="181" t="str">
        <f t="shared" si="34"/>
        <v/>
      </c>
    </row>
    <row r="887" spans="3:5">
      <c r="C887" s="181" t="s">
        <v>577</v>
      </c>
      <c r="D887" s="181" t="s">
        <v>577</v>
      </c>
      <c r="E887" s="181" t="str">
        <f t="shared" si="34"/>
        <v/>
      </c>
    </row>
    <row r="888" spans="3:5">
      <c r="C888" s="181" t="s">
        <v>577</v>
      </c>
      <c r="D888" s="181" t="s">
        <v>577</v>
      </c>
      <c r="E888" s="181" t="str">
        <f t="shared" si="34"/>
        <v/>
      </c>
    </row>
    <row r="889" spans="3:5">
      <c r="C889" s="181" t="s">
        <v>577</v>
      </c>
      <c r="D889" s="181" t="s">
        <v>577</v>
      </c>
      <c r="E889" s="181" t="str">
        <f t="shared" si="34"/>
        <v/>
      </c>
    </row>
    <row r="890" spans="3:5">
      <c r="C890" s="181" t="s">
        <v>577</v>
      </c>
      <c r="D890" s="181" t="s">
        <v>577</v>
      </c>
      <c r="E890" s="181" t="str">
        <f t="shared" si="34"/>
        <v/>
      </c>
    </row>
    <row r="891" spans="3:5">
      <c r="C891" s="181" t="s">
        <v>577</v>
      </c>
      <c r="D891" s="181" t="s">
        <v>577</v>
      </c>
      <c r="E891" s="181" t="str">
        <f t="shared" si="34"/>
        <v/>
      </c>
    </row>
    <row r="892" spans="3:5">
      <c r="C892" s="181" t="s">
        <v>577</v>
      </c>
      <c r="D892" s="181" t="s">
        <v>577</v>
      </c>
      <c r="E892" s="181" t="str">
        <f t="shared" si="34"/>
        <v/>
      </c>
    </row>
    <row r="893" spans="3:5">
      <c r="C893" s="181" t="s">
        <v>577</v>
      </c>
      <c r="D893" s="181" t="s">
        <v>577</v>
      </c>
      <c r="E893" s="181" t="str">
        <f t="shared" si="34"/>
        <v/>
      </c>
    </row>
    <row r="894" spans="3:5">
      <c r="C894" s="181" t="s">
        <v>577</v>
      </c>
      <c r="D894" s="181" t="s">
        <v>577</v>
      </c>
      <c r="E894" s="181" t="str">
        <f t="shared" si="34"/>
        <v/>
      </c>
    </row>
    <row r="895" spans="3:5">
      <c r="C895" s="181" t="s">
        <v>577</v>
      </c>
      <c r="D895" s="181" t="s">
        <v>577</v>
      </c>
      <c r="E895" s="181" t="str">
        <f t="shared" si="34"/>
        <v/>
      </c>
    </row>
    <row r="896" spans="3:5">
      <c r="C896" s="181" t="s">
        <v>577</v>
      </c>
      <c r="D896" s="181" t="s">
        <v>577</v>
      </c>
      <c r="E896" s="181" t="str">
        <f t="shared" si="34"/>
        <v/>
      </c>
    </row>
    <row r="897" spans="3:5">
      <c r="C897" s="181" t="s">
        <v>577</v>
      </c>
      <c r="D897" s="181" t="s">
        <v>577</v>
      </c>
      <c r="E897" s="181" t="str">
        <f t="shared" si="34"/>
        <v/>
      </c>
    </row>
    <row r="898" spans="3:5">
      <c r="C898" s="181" t="s">
        <v>577</v>
      </c>
      <c r="D898" s="181" t="s">
        <v>577</v>
      </c>
      <c r="E898" s="181" t="str">
        <f t="shared" si="34"/>
        <v/>
      </c>
    </row>
    <row r="899" spans="3:5">
      <c r="C899" s="181" t="s">
        <v>577</v>
      </c>
      <c r="D899" s="181" t="s">
        <v>577</v>
      </c>
      <c r="E899" s="181" t="str">
        <f t="shared" si="34"/>
        <v/>
      </c>
    </row>
    <row r="900" spans="3:5">
      <c r="C900" s="181" t="s">
        <v>577</v>
      </c>
      <c r="D900" s="181" t="s">
        <v>577</v>
      </c>
      <c r="E900" s="181" t="str">
        <f t="shared" ref="E900:E963" si="35">IF(C900&lt;D900,C900,D900)</f>
        <v/>
      </c>
    </row>
    <row r="901" spans="3:5">
      <c r="C901" s="181" t="s">
        <v>577</v>
      </c>
      <c r="D901" s="181" t="s">
        <v>577</v>
      </c>
      <c r="E901" s="181" t="str">
        <f t="shared" si="35"/>
        <v/>
      </c>
    </row>
    <row r="902" spans="3:5">
      <c r="C902" s="181" t="s">
        <v>577</v>
      </c>
      <c r="D902" s="181" t="s">
        <v>577</v>
      </c>
      <c r="E902" s="181" t="str">
        <f t="shared" si="35"/>
        <v/>
      </c>
    </row>
    <row r="903" spans="3:5">
      <c r="C903" s="181" t="s">
        <v>577</v>
      </c>
      <c r="D903" s="181" t="s">
        <v>577</v>
      </c>
      <c r="E903" s="181" t="str">
        <f t="shared" si="35"/>
        <v/>
      </c>
    </row>
    <row r="904" spans="3:5">
      <c r="C904" s="181" t="s">
        <v>577</v>
      </c>
      <c r="D904" s="181" t="s">
        <v>577</v>
      </c>
      <c r="E904" s="181" t="str">
        <f t="shared" si="35"/>
        <v/>
      </c>
    </row>
    <row r="905" spans="3:5">
      <c r="C905" s="181" t="s">
        <v>577</v>
      </c>
      <c r="D905" s="181" t="s">
        <v>577</v>
      </c>
      <c r="E905" s="181" t="str">
        <f t="shared" si="35"/>
        <v/>
      </c>
    </row>
    <row r="906" spans="3:5">
      <c r="C906" s="181" t="s">
        <v>577</v>
      </c>
      <c r="D906" s="181" t="s">
        <v>577</v>
      </c>
      <c r="E906" s="181" t="str">
        <f t="shared" si="35"/>
        <v/>
      </c>
    </row>
    <row r="907" spans="3:5">
      <c r="C907" s="181" t="s">
        <v>577</v>
      </c>
      <c r="D907" s="181" t="s">
        <v>577</v>
      </c>
      <c r="E907" s="181" t="str">
        <f t="shared" si="35"/>
        <v/>
      </c>
    </row>
    <row r="908" spans="3:5">
      <c r="C908" s="181" t="s">
        <v>577</v>
      </c>
      <c r="D908" s="181" t="s">
        <v>577</v>
      </c>
      <c r="E908" s="181" t="str">
        <f t="shared" si="35"/>
        <v/>
      </c>
    </row>
    <row r="909" spans="3:5">
      <c r="C909" s="181" t="s">
        <v>577</v>
      </c>
      <c r="D909" s="181" t="s">
        <v>577</v>
      </c>
      <c r="E909" s="181" t="str">
        <f t="shared" si="35"/>
        <v/>
      </c>
    </row>
    <row r="910" spans="3:5">
      <c r="C910" s="181" t="s">
        <v>577</v>
      </c>
      <c r="D910" s="181" t="s">
        <v>577</v>
      </c>
      <c r="E910" s="181" t="str">
        <f t="shared" si="35"/>
        <v/>
      </c>
    </row>
    <row r="911" spans="3:5">
      <c r="C911" s="181" t="s">
        <v>577</v>
      </c>
      <c r="D911" s="181" t="s">
        <v>577</v>
      </c>
      <c r="E911" s="181" t="str">
        <f t="shared" si="35"/>
        <v/>
      </c>
    </row>
    <row r="912" spans="3:5">
      <c r="C912" s="181" t="s">
        <v>577</v>
      </c>
      <c r="D912" s="181" t="s">
        <v>577</v>
      </c>
      <c r="E912" s="181" t="str">
        <f t="shared" si="35"/>
        <v/>
      </c>
    </row>
    <row r="913" spans="3:5">
      <c r="C913" s="181" t="s">
        <v>577</v>
      </c>
      <c r="D913" s="181" t="s">
        <v>577</v>
      </c>
      <c r="E913" s="181" t="str">
        <f t="shared" si="35"/>
        <v/>
      </c>
    </row>
    <row r="914" spans="3:5">
      <c r="C914" s="181" t="s">
        <v>577</v>
      </c>
      <c r="D914" s="181" t="s">
        <v>577</v>
      </c>
      <c r="E914" s="181" t="str">
        <f t="shared" si="35"/>
        <v/>
      </c>
    </row>
    <row r="915" spans="3:5">
      <c r="C915" s="181" t="s">
        <v>577</v>
      </c>
      <c r="D915" s="181" t="s">
        <v>577</v>
      </c>
      <c r="E915" s="181" t="str">
        <f t="shared" si="35"/>
        <v/>
      </c>
    </row>
    <row r="916" spans="3:5">
      <c r="C916" s="181" t="s">
        <v>577</v>
      </c>
      <c r="D916" s="181" t="s">
        <v>577</v>
      </c>
      <c r="E916" s="181" t="str">
        <f t="shared" si="35"/>
        <v/>
      </c>
    </row>
    <row r="917" spans="3:5">
      <c r="C917" s="181" t="s">
        <v>577</v>
      </c>
      <c r="D917" s="181" t="s">
        <v>577</v>
      </c>
      <c r="E917" s="181" t="str">
        <f t="shared" si="35"/>
        <v/>
      </c>
    </row>
    <row r="918" spans="3:5">
      <c r="C918" s="181" t="s">
        <v>577</v>
      </c>
      <c r="D918" s="181" t="s">
        <v>577</v>
      </c>
      <c r="E918" s="181" t="str">
        <f t="shared" si="35"/>
        <v/>
      </c>
    </row>
    <row r="919" spans="3:5">
      <c r="C919" s="181" t="s">
        <v>577</v>
      </c>
      <c r="D919" s="181" t="s">
        <v>577</v>
      </c>
      <c r="E919" s="181" t="str">
        <f t="shared" si="35"/>
        <v/>
      </c>
    </row>
    <row r="920" spans="3:5">
      <c r="C920" s="181" t="s">
        <v>577</v>
      </c>
      <c r="D920" s="181" t="s">
        <v>577</v>
      </c>
      <c r="E920" s="181" t="str">
        <f t="shared" si="35"/>
        <v/>
      </c>
    </row>
    <row r="921" spans="3:5">
      <c r="C921" s="181" t="s">
        <v>577</v>
      </c>
      <c r="D921" s="181" t="s">
        <v>577</v>
      </c>
      <c r="E921" s="181" t="str">
        <f t="shared" si="35"/>
        <v/>
      </c>
    </row>
    <row r="922" spans="3:5">
      <c r="C922" s="181" t="s">
        <v>577</v>
      </c>
      <c r="D922" s="181" t="s">
        <v>577</v>
      </c>
      <c r="E922" s="181" t="str">
        <f t="shared" si="35"/>
        <v/>
      </c>
    </row>
    <row r="923" spans="3:5">
      <c r="C923" s="181" t="s">
        <v>577</v>
      </c>
      <c r="D923" s="181" t="s">
        <v>577</v>
      </c>
      <c r="E923" s="181" t="str">
        <f t="shared" si="35"/>
        <v/>
      </c>
    </row>
    <row r="924" spans="3:5">
      <c r="C924" s="181" t="s">
        <v>577</v>
      </c>
      <c r="D924" s="181" t="s">
        <v>577</v>
      </c>
      <c r="E924" s="181" t="str">
        <f t="shared" si="35"/>
        <v/>
      </c>
    </row>
    <row r="925" spans="3:5">
      <c r="C925" s="181" t="s">
        <v>577</v>
      </c>
      <c r="D925" s="181" t="s">
        <v>577</v>
      </c>
      <c r="E925" s="181" t="str">
        <f t="shared" si="35"/>
        <v/>
      </c>
    </row>
    <row r="926" spans="3:5">
      <c r="C926" s="181" t="s">
        <v>577</v>
      </c>
      <c r="D926" s="181" t="s">
        <v>577</v>
      </c>
      <c r="E926" s="181" t="str">
        <f t="shared" si="35"/>
        <v/>
      </c>
    </row>
    <row r="927" spans="3:5">
      <c r="C927" s="181" t="s">
        <v>577</v>
      </c>
      <c r="D927" s="181" t="s">
        <v>577</v>
      </c>
      <c r="E927" s="181" t="str">
        <f t="shared" si="35"/>
        <v/>
      </c>
    </row>
    <row r="928" spans="3:5">
      <c r="C928" s="181" t="s">
        <v>577</v>
      </c>
      <c r="D928" s="181" t="s">
        <v>577</v>
      </c>
      <c r="E928" s="181" t="str">
        <f t="shared" si="35"/>
        <v/>
      </c>
    </row>
    <row r="929" spans="3:5">
      <c r="C929" s="181" t="s">
        <v>577</v>
      </c>
      <c r="D929" s="181" t="s">
        <v>577</v>
      </c>
      <c r="E929" s="181" t="str">
        <f t="shared" si="35"/>
        <v/>
      </c>
    </row>
    <row r="930" spans="3:5">
      <c r="C930" s="181" t="s">
        <v>577</v>
      </c>
      <c r="D930" s="181" t="s">
        <v>577</v>
      </c>
      <c r="E930" s="181" t="str">
        <f t="shared" si="35"/>
        <v/>
      </c>
    </row>
    <row r="931" spans="3:5">
      <c r="C931" s="181" t="s">
        <v>577</v>
      </c>
      <c r="D931" s="181" t="s">
        <v>577</v>
      </c>
      <c r="E931" s="181" t="str">
        <f t="shared" si="35"/>
        <v/>
      </c>
    </row>
    <row r="932" spans="3:5">
      <c r="C932" s="181" t="s">
        <v>577</v>
      </c>
      <c r="D932" s="181" t="s">
        <v>577</v>
      </c>
      <c r="E932" s="181" t="str">
        <f t="shared" si="35"/>
        <v/>
      </c>
    </row>
    <row r="933" spans="3:5">
      <c r="C933" s="181" t="s">
        <v>577</v>
      </c>
      <c r="D933" s="181" t="s">
        <v>577</v>
      </c>
      <c r="E933" s="181" t="str">
        <f t="shared" si="35"/>
        <v/>
      </c>
    </row>
    <row r="934" spans="3:5">
      <c r="C934" s="181" t="s">
        <v>577</v>
      </c>
      <c r="D934" s="181" t="s">
        <v>577</v>
      </c>
      <c r="E934" s="181" t="str">
        <f t="shared" si="35"/>
        <v/>
      </c>
    </row>
    <row r="935" spans="3:5">
      <c r="C935" s="181" t="s">
        <v>577</v>
      </c>
      <c r="D935" s="181" t="s">
        <v>577</v>
      </c>
      <c r="E935" s="181" t="str">
        <f t="shared" si="35"/>
        <v/>
      </c>
    </row>
    <row r="936" spans="3:5">
      <c r="C936" s="181" t="s">
        <v>577</v>
      </c>
      <c r="D936" s="181" t="s">
        <v>577</v>
      </c>
      <c r="E936" s="181" t="str">
        <f t="shared" si="35"/>
        <v/>
      </c>
    </row>
    <row r="937" spans="3:5">
      <c r="C937" s="181" t="s">
        <v>577</v>
      </c>
      <c r="D937" s="181" t="s">
        <v>577</v>
      </c>
      <c r="E937" s="181" t="str">
        <f t="shared" si="35"/>
        <v/>
      </c>
    </row>
    <row r="938" spans="3:5">
      <c r="C938" s="181" t="s">
        <v>577</v>
      </c>
      <c r="D938" s="181" t="s">
        <v>577</v>
      </c>
      <c r="E938" s="181" t="str">
        <f t="shared" si="35"/>
        <v/>
      </c>
    </row>
    <row r="939" spans="3:5">
      <c r="C939" s="181" t="s">
        <v>577</v>
      </c>
      <c r="D939" s="181" t="s">
        <v>577</v>
      </c>
      <c r="E939" s="181" t="str">
        <f t="shared" si="35"/>
        <v/>
      </c>
    </row>
    <row r="940" spans="3:5">
      <c r="C940" s="181" t="s">
        <v>577</v>
      </c>
      <c r="D940" s="181" t="s">
        <v>577</v>
      </c>
      <c r="E940" s="181" t="str">
        <f t="shared" si="35"/>
        <v/>
      </c>
    </row>
    <row r="941" spans="3:5">
      <c r="C941" s="181" t="s">
        <v>577</v>
      </c>
      <c r="D941" s="181" t="s">
        <v>577</v>
      </c>
      <c r="E941" s="181" t="str">
        <f t="shared" si="35"/>
        <v/>
      </c>
    </row>
    <row r="942" spans="3:5">
      <c r="C942" s="181" t="s">
        <v>577</v>
      </c>
      <c r="D942" s="181" t="s">
        <v>577</v>
      </c>
      <c r="E942" s="181" t="str">
        <f t="shared" si="35"/>
        <v/>
      </c>
    </row>
    <row r="943" spans="3:5">
      <c r="C943" s="181" t="s">
        <v>577</v>
      </c>
      <c r="D943" s="181" t="s">
        <v>577</v>
      </c>
      <c r="E943" s="181" t="str">
        <f t="shared" si="35"/>
        <v/>
      </c>
    </row>
    <row r="944" spans="3:5">
      <c r="C944" s="181" t="s">
        <v>577</v>
      </c>
      <c r="D944" s="181" t="s">
        <v>577</v>
      </c>
      <c r="E944" s="181" t="str">
        <f t="shared" si="35"/>
        <v/>
      </c>
    </row>
    <row r="945" spans="3:5">
      <c r="C945" s="181" t="s">
        <v>577</v>
      </c>
      <c r="D945" s="181" t="s">
        <v>577</v>
      </c>
      <c r="E945" s="181" t="str">
        <f t="shared" si="35"/>
        <v/>
      </c>
    </row>
    <row r="946" spans="3:5">
      <c r="C946" s="181" t="s">
        <v>577</v>
      </c>
      <c r="D946" s="181" t="s">
        <v>577</v>
      </c>
      <c r="E946" s="181" t="str">
        <f t="shared" si="35"/>
        <v/>
      </c>
    </row>
    <row r="947" spans="3:5">
      <c r="C947" s="181" t="s">
        <v>577</v>
      </c>
      <c r="D947" s="181" t="s">
        <v>577</v>
      </c>
      <c r="E947" s="181" t="str">
        <f t="shared" si="35"/>
        <v/>
      </c>
    </row>
    <row r="948" spans="3:5">
      <c r="C948" s="181" t="s">
        <v>577</v>
      </c>
      <c r="D948" s="181" t="s">
        <v>577</v>
      </c>
      <c r="E948" s="181" t="str">
        <f t="shared" si="35"/>
        <v/>
      </c>
    </row>
    <row r="949" spans="3:5">
      <c r="C949" s="181" t="s">
        <v>577</v>
      </c>
      <c r="D949" s="181" t="s">
        <v>577</v>
      </c>
      <c r="E949" s="181" t="str">
        <f t="shared" si="35"/>
        <v/>
      </c>
    </row>
    <row r="950" spans="3:5">
      <c r="C950" s="181" t="s">
        <v>577</v>
      </c>
      <c r="D950" s="181" t="s">
        <v>577</v>
      </c>
      <c r="E950" s="181" t="str">
        <f t="shared" si="35"/>
        <v/>
      </c>
    </row>
    <row r="951" spans="3:5">
      <c r="C951" s="181" t="s">
        <v>577</v>
      </c>
      <c r="D951" s="181" t="s">
        <v>577</v>
      </c>
      <c r="E951" s="181" t="str">
        <f t="shared" si="35"/>
        <v/>
      </c>
    </row>
    <row r="952" spans="3:5">
      <c r="C952" s="181" t="s">
        <v>577</v>
      </c>
      <c r="D952" s="181" t="s">
        <v>577</v>
      </c>
      <c r="E952" s="181" t="str">
        <f t="shared" si="35"/>
        <v/>
      </c>
    </row>
    <row r="953" spans="3:5">
      <c r="C953" s="181" t="s">
        <v>577</v>
      </c>
      <c r="D953" s="181" t="s">
        <v>577</v>
      </c>
      <c r="E953" s="181" t="str">
        <f t="shared" si="35"/>
        <v/>
      </c>
    </row>
    <row r="954" spans="3:5">
      <c r="C954" s="181" t="s">
        <v>577</v>
      </c>
      <c r="D954" s="181" t="s">
        <v>577</v>
      </c>
      <c r="E954" s="181" t="str">
        <f t="shared" si="35"/>
        <v/>
      </c>
    </row>
    <row r="955" spans="3:5">
      <c r="C955" s="181" t="s">
        <v>577</v>
      </c>
      <c r="D955" s="181" t="s">
        <v>577</v>
      </c>
      <c r="E955" s="181" t="str">
        <f t="shared" si="35"/>
        <v/>
      </c>
    </row>
    <row r="956" spans="3:5">
      <c r="C956" s="181" t="s">
        <v>577</v>
      </c>
      <c r="D956" s="181" t="s">
        <v>577</v>
      </c>
      <c r="E956" s="181" t="str">
        <f t="shared" si="35"/>
        <v/>
      </c>
    </row>
    <row r="957" spans="3:5">
      <c r="C957" s="181" t="s">
        <v>577</v>
      </c>
      <c r="D957" s="181" t="s">
        <v>577</v>
      </c>
      <c r="E957" s="181" t="str">
        <f t="shared" si="35"/>
        <v/>
      </c>
    </row>
    <row r="958" spans="3:5">
      <c r="C958" s="181" t="s">
        <v>577</v>
      </c>
      <c r="D958" s="181" t="s">
        <v>577</v>
      </c>
      <c r="E958" s="181" t="str">
        <f t="shared" si="35"/>
        <v/>
      </c>
    </row>
    <row r="959" spans="3:5">
      <c r="C959" s="181" t="s">
        <v>577</v>
      </c>
      <c r="D959" s="181" t="s">
        <v>577</v>
      </c>
      <c r="E959" s="181" t="str">
        <f t="shared" si="35"/>
        <v/>
      </c>
    </row>
    <row r="960" spans="3:5">
      <c r="C960" s="181" t="s">
        <v>577</v>
      </c>
      <c r="D960" s="181" t="s">
        <v>577</v>
      </c>
      <c r="E960" s="181" t="str">
        <f t="shared" si="35"/>
        <v/>
      </c>
    </row>
    <row r="961" spans="3:5">
      <c r="C961" s="181" t="s">
        <v>577</v>
      </c>
      <c r="D961" s="181" t="s">
        <v>577</v>
      </c>
      <c r="E961" s="181" t="str">
        <f t="shared" si="35"/>
        <v/>
      </c>
    </row>
    <row r="962" spans="3:5">
      <c r="C962" s="181" t="s">
        <v>577</v>
      </c>
      <c r="D962" s="181" t="s">
        <v>577</v>
      </c>
      <c r="E962" s="181" t="str">
        <f t="shared" si="35"/>
        <v/>
      </c>
    </row>
    <row r="963" spans="3:5">
      <c r="C963" s="181" t="s">
        <v>577</v>
      </c>
      <c r="D963" s="181" t="s">
        <v>577</v>
      </c>
      <c r="E963" s="181" t="str">
        <f t="shared" si="35"/>
        <v/>
      </c>
    </row>
    <row r="964" spans="3:5">
      <c r="C964" s="181" t="s">
        <v>577</v>
      </c>
      <c r="D964" s="181" t="s">
        <v>577</v>
      </c>
      <c r="E964" s="181" t="str">
        <f t="shared" ref="E964:E1027" si="36">IF(C964&lt;D964,C964,D964)</f>
        <v/>
      </c>
    </row>
    <row r="965" spans="3:5">
      <c r="C965" s="181" t="s">
        <v>577</v>
      </c>
      <c r="D965" s="181" t="s">
        <v>577</v>
      </c>
      <c r="E965" s="181" t="str">
        <f t="shared" si="36"/>
        <v/>
      </c>
    </row>
    <row r="966" spans="3:5">
      <c r="C966" s="181" t="s">
        <v>577</v>
      </c>
      <c r="D966" s="181" t="s">
        <v>577</v>
      </c>
      <c r="E966" s="181" t="str">
        <f t="shared" si="36"/>
        <v/>
      </c>
    </row>
    <row r="967" spans="3:5">
      <c r="C967" s="181" t="s">
        <v>577</v>
      </c>
      <c r="D967" s="181" t="s">
        <v>577</v>
      </c>
      <c r="E967" s="181" t="str">
        <f t="shared" si="36"/>
        <v/>
      </c>
    </row>
    <row r="968" spans="3:5">
      <c r="C968" s="181" t="s">
        <v>577</v>
      </c>
      <c r="D968" s="181" t="s">
        <v>577</v>
      </c>
      <c r="E968" s="181" t="str">
        <f t="shared" si="36"/>
        <v/>
      </c>
    </row>
    <row r="969" spans="3:5">
      <c r="C969" s="181" t="s">
        <v>577</v>
      </c>
      <c r="D969" s="181" t="s">
        <v>577</v>
      </c>
      <c r="E969" s="181" t="str">
        <f t="shared" si="36"/>
        <v/>
      </c>
    </row>
    <row r="970" spans="3:5">
      <c r="C970" s="181" t="s">
        <v>577</v>
      </c>
      <c r="D970" s="181" t="s">
        <v>577</v>
      </c>
      <c r="E970" s="181" t="str">
        <f t="shared" si="36"/>
        <v/>
      </c>
    </row>
    <row r="971" spans="3:5">
      <c r="C971" s="181" t="s">
        <v>577</v>
      </c>
      <c r="D971" s="181" t="s">
        <v>577</v>
      </c>
      <c r="E971" s="181" t="str">
        <f t="shared" si="36"/>
        <v/>
      </c>
    </row>
    <row r="972" spans="3:5">
      <c r="C972" s="181" t="s">
        <v>577</v>
      </c>
      <c r="D972" s="181" t="s">
        <v>577</v>
      </c>
      <c r="E972" s="181" t="str">
        <f t="shared" si="36"/>
        <v/>
      </c>
    </row>
    <row r="973" spans="3:5">
      <c r="C973" s="181" t="s">
        <v>577</v>
      </c>
      <c r="D973" s="181" t="s">
        <v>577</v>
      </c>
      <c r="E973" s="181" t="str">
        <f t="shared" si="36"/>
        <v/>
      </c>
    </row>
    <row r="974" spans="3:5">
      <c r="C974" s="181" t="s">
        <v>577</v>
      </c>
      <c r="D974" s="181" t="s">
        <v>577</v>
      </c>
      <c r="E974" s="181" t="str">
        <f t="shared" si="36"/>
        <v/>
      </c>
    </row>
    <row r="975" spans="3:5">
      <c r="C975" s="181" t="s">
        <v>577</v>
      </c>
      <c r="D975" s="181" t="s">
        <v>577</v>
      </c>
      <c r="E975" s="181" t="str">
        <f t="shared" si="36"/>
        <v/>
      </c>
    </row>
    <row r="976" spans="3:5">
      <c r="C976" s="181" t="s">
        <v>577</v>
      </c>
      <c r="D976" s="181" t="s">
        <v>577</v>
      </c>
      <c r="E976" s="181" t="str">
        <f t="shared" si="36"/>
        <v/>
      </c>
    </row>
    <row r="977" spans="3:5">
      <c r="C977" s="181" t="s">
        <v>577</v>
      </c>
      <c r="D977" s="181" t="s">
        <v>577</v>
      </c>
      <c r="E977" s="181" t="str">
        <f t="shared" si="36"/>
        <v/>
      </c>
    </row>
    <row r="978" spans="3:5">
      <c r="C978" s="181" t="s">
        <v>577</v>
      </c>
      <c r="D978" s="181" t="s">
        <v>577</v>
      </c>
      <c r="E978" s="181" t="str">
        <f t="shared" si="36"/>
        <v/>
      </c>
    </row>
    <row r="979" spans="3:5">
      <c r="C979" s="181" t="s">
        <v>577</v>
      </c>
      <c r="D979" s="181" t="s">
        <v>577</v>
      </c>
      <c r="E979" s="181" t="str">
        <f t="shared" si="36"/>
        <v/>
      </c>
    </row>
    <row r="980" spans="3:5">
      <c r="C980" s="181" t="s">
        <v>577</v>
      </c>
      <c r="D980" s="181" t="s">
        <v>577</v>
      </c>
      <c r="E980" s="181" t="str">
        <f t="shared" si="36"/>
        <v/>
      </c>
    </row>
    <row r="981" spans="3:5">
      <c r="C981" s="181" t="s">
        <v>577</v>
      </c>
      <c r="D981" s="181" t="s">
        <v>577</v>
      </c>
      <c r="E981" s="181" t="str">
        <f t="shared" si="36"/>
        <v/>
      </c>
    </row>
    <row r="982" spans="3:5">
      <c r="C982" s="181" t="s">
        <v>577</v>
      </c>
      <c r="D982" s="181" t="s">
        <v>577</v>
      </c>
      <c r="E982" s="181" t="str">
        <f t="shared" si="36"/>
        <v/>
      </c>
    </row>
    <row r="983" spans="3:5">
      <c r="C983" s="181" t="s">
        <v>577</v>
      </c>
      <c r="D983" s="181" t="s">
        <v>577</v>
      </c>
      <c r="E983" s="181" t="str">
        <f t="shared" si="36"/>
        <v/>
      </c>
    </row>
    <row r="984" spans="3:5">
      <c r="C984" s="181" t="s">
        <v>577</v>
      </c>
      <c r="D984" s="181" t="s">
        <v>577</v>
      </c>
      <c r="E984" s="181" t="str">
        <f t="shared" si="36"/>
        <v/>
      </c>
    </row>
    <row r="985" spans="3:5">
      <c r="C985" s="181" t="s">
        <v>577</v>
      </c>
      <c r="D985" s="181" t="s">
        <v>577</v>
      </c>
      <c r="E985" s="181" t="str">
        <f t="shared" si="36"/>
        <v/>
      </c>
    </row>
    <row r="986" spans="3:5">
      <c r="C986" s="181" t="s">
        <v>577</v>
      </c>
      <c r="D986" s="181" t="s">
        <v>577</v>
      </c>
      <c r="E986" s="181" t="str">
        <f t="shared" si="36"/>
        <v/>
      </c>
    </row>
    <row r="987" spans="3:5">
      <c r="C987" s="181" t="s">
        <v>577</v>
      </c>
      <c r="D987" s="181" t="s">
        <v>577</v>
      </c>
      <c r="E987" s="181" t="str">
        <f t="shared" si="36"/>
        <v/>
      </c>
    </row>
    <row r="988" spans="3:5">
      <c r="C988" s="181" t="s">
        <v>577</v>
      </c>
      <c r="D988" s="181" t="s">
        <v>577</v>
      </c>
      <c r="E988" s="181" t="str">
        <f t="shared" si="36"/>
        <v/>
      </c>
    </row>
    <row r="989" spans="3:5">
      <c r="C989" s="181" t="s">
        <v>577</v>
      </c>
      <c r="D989" s="181" t="s">
        <v>577</v>
      </c>
      <c r="E989" s="181" t="str">
        <f t="shared" si="36"/>
        <v/>
      </c>
    </row>
    <row r="990" spans="3:5">
      <c r="C990" s="181" t="s">
        <v>577</v>
      </c>
      <c r="D990" s="181" t="s">
        <v>577</v>
      </c>
      <c r="E990" s="181" t="str">
        <f t="shared" si="36"/>
        <v/>
      </c>
    </row>
    <row r="991" spans="3:5">
      <c r="C991" s="181" t="s">
        <v>577</v>
      </c>
      <c r="D991" s="181" t="s">
        <v>577</v>
      </c>
      <c r="E991" s="181" t="str">
        <f t="shared" si="36"/>
        <v/>
      </c>
    </row>
    <row r="992" spans="3:5">
      <c r="C992" s="181" t="s">
        <v>577</v>
      </c>
      <c r="D992" s="181" t="s">
        <v>577</v>
      </c>
      <c r="E992" s="181" t="str">
        <f t="shared" si="36"/>
        <v/>
      </c>
    </row>
    <row r="993" spans="3:5">
      <c r="C993" s="181" t="s">
        <v>577</v>
      </c>
      <c r="D993" s="181" t="s">
        <v>577</v>
      </c>
      <c r="E993" s="181" t="str">
        <f t="shared" si="36"/>
        <v/>
      </c>
    </row>
    <row r="994" spans="3:5">
      <c r="C994" s="181" t="s">
        <v>577</v>
      </c>
      <c r="D994" s="181" t="s">
        <v>577</v>
      </c>
      <c r="E994" s="181" t="str">
        <f t="shared" si="36"/>
        <v/>
      </c>
    </row>
    <row r="995" spans="3:5">
      <c r="C995" s="181" t="s">
        <v>577</v>
      </c>
      <c r="D995" s="181" t="s">
        <v>577</v>
      </c>
      <c r="E995" s="181" t="str">
        <f t="shared" si="36"/>
        <v/>
      </c>
    </row>
    <row r="996" spans="3:5">
      <c r="C996" s="181" t="s">
        <v>577</v>
      </c>
      <c r="D996" s="181" t="s">
        <v>577</v>
      </c>
      <c r="E996" s="181" t="str">
        <f t="shared" si="36"/>
        <v/>
      </c>
    </row>
    <row r="997" spans="3:5">
      <c r="C997" s="181" t="s">
        <v>577</v>
      </c>
      <c r="D997" s="181" t="s">
        <v>577</v>
      </c>
      <c r="E997" s="181" t="str">
        <f t="shared" si="36"/>
        <v/>
      </c>
    </row>
    <row r="998" spans="3:5">
      <c r="C998" s="181" t="s">
        <v>577</v>
      </c>
      <c r="D998" s="181" t="s">
        <v>577</v>
      </c>
      <c r="E998" s="181" t="str">
        <f t="shared" si="36"/>
        <v/>
      </c>
    </row>
    <row r="999" spans="3:5">
      <c r="C999" s="181" t="s">
        <v>577</v>
      </c>
      <c r="D999" s="181" t="s">
        <v>577</v>
      </c>
      <c r="E999" s="181" t="str">
        <f t="shared" si="36"/>
        <v/>
      </c>
    </row>
    <row r="1000" spans="3:5">
      <c r="C1000" s="181" t="s">
        <v>577</v>
      </c>
      <c r="D1000" s="181" t="s">
        <v>577</v>
      </c>
      <c r="E1000" s="181" t="str">
        <f t="shared" si="36"/>
        <v/>
      </c>
    </row>
    <row r="1001" spans="3:5">
      <c r="C1001" s="181" t="s">
        <v>577</v>
      </c>
      <c r="D1001" s="181" t="s">
        <v>577</v>
      </c>
      <c r="E1001" s="181" t="str">
        <f t="shared" si="36"/>
        <v/>
      </c>
    </row>
    <row r="1002" spans="3:5">
      <c r="C1002" s="181" t="s">
        <v>577</v>
      </c>
      <c r="D1002" s="181" t="s">
        <v>577</v>
      </c>
      <c r="E1002" s="181" t="str">
        <f t="shared" si="36"/>
        <v/>
      </c>
    </row>
    <row r="1003" spans="3:5">
      <c r="C1003" s="181" t="s">
        <v>577</v>
      </c>
      <c r="D1003" s="181" t="s">
        <v>577</v>
      </c>
      <c r="E1003" s="181" t="str">
        <f t="shared" si="36"/>
        <v/>
      </c>
    </row>
    <row r="1004" spans="3:5">
      <c r="C1004" s="181" t="s">
        <v>577</v>
      </c>
      <c r="D1004" s="181" t="s">
        <v>577</v>
      </c>
      <c r="E1004" s="181" t="str">
        <f t="shared" si="36"/>
        <v/>
      </c>
    </row>
    <row r="1005" spans="3:5">
      <c r="C1005" s="181" t="s">
        <v>577</v>
      </c>
      <c r="D1005" s="181" t="s">
        <v>577</v>
      </c>
      <c r="E1005" s="181" t="str">
        <f t="shared" si="36"/>
        <v/>
      </c>
    </row>
    <row r="1006" spans="3:5">
      <c r="C1006" s="181" t="s">
        <v>577</v>
      </c>
      <c r="D1006" s="181" t="s">
        <v>577</v>
      </c>
      <c r="E1006" s="181" t="str">
        <f t="shared" si="36"/>
        <v/>
      </c>
    </row>
    <row r="1007" spans="3:5">
      <c r="C1007" s="181" t="s">
        <v>577</v>
      </c>
      <c r="D1007" s="181" t="s">
        <v>577</v>
      </c>
      <c r="E1007" s="181" t="str">
        <f t="shared" si="36"/>
        <v/>
      </c>
    </row>
    <row r="1008" spans="3:5">
      <c r="C1008" s="181" t="s">
        <v>577</v>
      </c>
      <c r="D1008" s="181" t="s">
        <v>577</v>
      </c>
      <c r="E1008" s="181" t="str">
        <f t="shared" si="36"/>
        <v/>
      </c>
    </row>
    <row r="1009" spans="3:5">
      <c r="C1009" s="181" t="s">
        <v>577</v>
      </c>
      <c r="D1009" s="181" t="s">
        <v>577</v>
      </c>
      <c r="E1009" s="181" t="str">
        <f t="shared" si="36"/>
        <v/>
      </c>
    </row>
    <row r="1010" spans="3:5">
      <c r="C1010" s="181" t="s">
        <v>577</v>
      </c>
      <c r="D1010" s="181" t="s">
        <v>577</v>
      </c>
      <c r="E1010" s="181" t="str">
        <f t="shared" si="36"/>
        <v/>
      </c>
    </row>
    <row r="1011" spans="3:5">
      <c r="C1011" s="181" t="s">
        <v>577</v>
      </c>
      <c r="D1011" s="181" t="s">
        <v>577</v>
      </c>
      <c r="E1011" s="181" t="str">
        <f t="shared" si="36"/>
        <v/>
      </c>
    </row>
    <row r="1012" spans="3:5">
      <c r="C1012" s="181" t="s">
        <v>577</v>
      </c>
      <c r="D1012" s="181" t="s">
        <v>577</v>
      </c>
      <c r="E1012" s="181" t="str">
        <f t="shared" si="36"/>
        <v/>
      </c>
    </row>
    <row r="1013" spans="3:5">
      <c r="C1013" s="181" t="s">
        <v>577</v>
      </c>
      <c r="D1013" s="181" t="s">
        <v>577</v>
      </c>
      <c r="E1013" s="181" t="str">
        <f t="shared" si="36"/>
        <v/>
      </c>
    </row>
    <row r="1014" spans="3:5">
      <c r="C1014" s="181" t="s">
        <v>577</v>
      </c>
      <c r="D1014" s="181" t="s">
        <v>577</v>
      </c>
      <c r="E1014" s="181" t="str">
        <f t="shared" si="36"/>
        <v/>
      </c>
    </row>
    <row r="1015" spans="3:5">
      <c r="C1015" s="181" t="s">
        <v>577</v>
      </c>
      <c r="D1015" s="181" t="s">
        <v>577</v>
      </c>
      <c r="E1015" s="181" t="str">
        <f t="shared" si="36"/>
        <v/>
      </c>
    </row>
    <row r="1016" spans="3:5">
      <c r="C1016" s="181" t="s">
        <v>577</v>
      </c>
      <c r="D1016" s="181" t="s">
        <v>577</v>
      </c>
      <c r="E1016" s="181" t="str">
        <f t="shared" si="36"/>
        <v/>
      </c>
    </row>
    <row r="1017" spans="3:5">
      <c r="C1017" s="181" t="s">
        <v>577</v>
      </c>
      <c r="D1017" s="181" t="s">
        <v>577</v>
      </c>
      <c r="E1017" s="181" t="str">
        <f t="shared" si="36"/>
        <v/>
      </c>
    </row>
    <row r="1018" spans="3:5">
      <c r="C1018" s="181" t="s">
        <v>577</v>
      </c>
      <c r="D1018" s="181" t="s">
        <v>577</v>
      </c>
      <c r="E1018" s="181" t="str">
        <f t="shared" si="36"/>
        <v/>
      </c>
    </row>
    <row r="1019" spans="3:5">
      <c r="C1019" s="181" t="s">
        <v>577</v>
      </c>
      <c r="D1019" s="181" t="s">
        <v>577</v>
      </c>
      <c r="E1019" s="181" t="str">
        <f t="shared" si="36"/>
        <v/>
      </c>
    </row>
    <row r="1020" spans="3:5">
      <c r="C1020" s="181" t="s">
        <v>577</v>
      </c>
      <c r="D1020" s="181" t="s">
        <v>577</v>
      </c>
      <c r="E1020" s="181" t="str">
        <f t="shared" si="36"/>
        <v/>
      </c>
    </row>
    <row r="1021" spans="3:5">
      <c r="C1021" s="181" t="s">
        <v>577</v>
      </c>
      <c r="D1021" s="181" t="s">
        <v>577</v>
      </c>
      <c r="E1021" s="181" t="str">
        <f t="shared" si="36"/>
        <v/>
      </c>
    </row>
    <row r="1022" spans="3:5">
      <c r="C1022" s="181" t="s">
        <v>577</v>
      </c>
      <c r="D1022" s="181" t="s">
        <v>577</v>
      </c>
      <c r="E1022" s="181" t="str">
        <f t="shared" si="36"/>
        <v/>
      </c>
    </row>
    <row r="1023" spans="3:5">
      <c r="C1023" s="181" t="s">
        <v>577</v>
      </c>
      <c r="D1023" s="181" t="s">
        <v>577</v>
      </c>
      <c r="E1023" s="181" t="str">
        <f t="shared" si="36"/>
        <v/>
      </c>
    </row>
    <row r="1024" spans="3:5">
      <c r="C1024" s="181" t="s">
        <v>577</v>
      </c>
      <c r="D1024" s="181" t="s">
        <v>577</v>
      </c>
      <c r="E1024" s="181" t="str">
        <f t="shared" si="36"/>
        <v/>
      </c>
    </row>
    <row r="1025" spans="3:5">
      <c r="C1025" s="181" t="s">
        <v>577</v>
      </c>
      <c r="D1025" s="181" t="s">
        <v>577</v>
      </c>
      <c r="E1025" s="181" t="str">
        <f t="shared" si="36"/>
        <v/>
      </c>
    </row>
    <row r="1026" spans="3:5">
      <c r="C1026" s="181" t="s">
        <v>577</v>
      </c>
      <c r="D1026" s="181" t="s">
        <v>577</v>
      </c>
      <c r="E1026" s="181" t="str">
        <f t="shared" si="36"/>
        <v/>
      </c>
    </row>
    <row r="1027" spans="3:5">
      <c r="C1027" s="181" t="s">
        <v>577</v>
      </c>
      <c r="D1027" s="181" t="s">
        <v>577</v>
      </c>
      <c r="E1027" s="181" t="str">
        <f t="shared" si="36"/>
        <v/>
      </c>
    </row>
    <row r="1028" spans="3:5">
      <c r="C1028" s="181" t="s">
        <v>577</v>
      </c>
      <c r="D1028" s="181" t="s">
        <v>577</v>
      </c>
      <c r="E1028" s="181" t="str">
        <f t="shared" ref="E1028:E1091" si="37">IF(C1028&lt;D1028,C1028,D1028)</f>
        <v/>
      </c>
    </row>
    <row r="1029" spans="3:5">
      <c r="C1029" s="181" t="s">
        <v>577</v>
      </c>
      <c r="D1029" s="181" t="s">
        <v>577</v>
      </c>
      <c r="E1029" s="181" t="str">
        <f t="shared" si="37"/>
        <v/>
      </c>
    </row>
    <row r="1030" spans="3:5">
      <c r="C1030" s="181" t="s">
        <v>577</v>
      </c>
      <c r="D1030" s="181" t="s">
        <v>577</v>
      </c>
      <c r="E1030" s="181" t="str">
        <f t="shared" si="37"/>
        <v/>
      </c>
    </row>
    <row r="1031" spans="3:5">
      <c r="C1031" s="181" t="s">
        <v>577</v>
      </c>
      <c r="D1031" s="181" t="s">
        <v>577</v>
      </c>
      <c r="E1031" s="181" t="str">
        <f t="shared" si="37"/>
        <v/>
      </c>
    </row>
    <row r="1032" spans="3:5">
      <c r="C1032" s="181" t="s">
        <v>577</v>
      </c>
      <c r="D1032" s="181" t="s">
        <v>577</v>
      </c>
      <c r="E1032" s="181" t="str">
        <f t="shared" si="37"/>
        <v/>
      </c>
    </row>
    <row r="1033" spans="3:5">
      <c r="C1033" s="181" t="s">
        <v>577</v>
      </c>
      <c r="D1033" s="181" t="s">
        <v>577</v>
      </c>
      <c r="E1033" s="181" t="str">
        <f t="shared" si="37"/>
        <v/>
      </c>
    </row>
    <row r="1034" spans="3:5">
      <c r="C1034" s="181" t="s">
        <v>577</v>
      </c>
      <c r="D1034" s="181" t="s">
        <v>577</v>
      </c>
      <c r="E1034" s="181" t="str">
        <f t="shared" si="37"/>
        <v/>
      </c>
    </row>
    <row r="1035" spans="3:5">
      <c r="C1035" s="181" t="s">
        <v>577</v>
      </c>
      <c r="D1035" s="181" t="s">
        <v>577</v>
      </c>
      <c r="E1035" s="181" t="str">
        <f t="shared" si="37"/>
        <v/>
      </c>
    </row>
    <row r="1036" spans="3:5">
      <c r="C1036" s="181" t="s">
        <v>577</v>
      </c>
      <c r="D1036" s="181" t="s">
        <v>577</v>
      </c>
      <c r="E1036" s="181" t="str">
        <f t="shared" si="37"/>
        <v/>
      </c>
    </row>
    <row r="1037" spans="3:5">
      <c r="C1037" s="181" t="s">
        <v>577</v>
      </c>
      <c r="D1037" s="181" t="s">
        <v>577</v>
      </c>
      <c r="E1037" s="181" t="str">
        <f t="shared" si="37"/>
        <v/>
      </c>
    </row>
    <row r="1038" spans="3:5">
      <c r="C1038" s="181" t="s">
        <v>577</v>
      </c>
      <c r="D1038" s="181" t="s">
        <v>577</v>
      </c>
      <c r="E1038" s="181" t="str">
        <f t="shared" si="37"/>
        <v/>
      </c>
    </row>
    <row r="1039" spans="3:5">
      <c r="C1039" s="181" t="s">
        <v>577</v>
      </c>
      <c r="D1039" s="181" t="s">
        <v>577</v>
      </c>
      <c r="E1039" s="181" t="str">
        <f t="shared" si="37"/>
        <v/>
      </c>
    </row>
    <row r="1040" spans="3:5">
      <c r="C1040" s="181" t="s">
        <v>577</v>
      </c>
      <c r="D1040" s="181" t="s">
        <v>577</v>
      </c>
      <c r="E1040" s="181" t="str">
        <f t="shared" si="37"/>
        <v/>
      </c>
    </row>
    <row r="1041" spans="3:5">
      <c r="C1041" s="181" t="s">
        <v>577</v>
      </c>
      <c r="D1041" s="181" t="s">
        <v>577</v>
      </c>
      <c r="E1041" s="181" t="str">
        <f t="shared" si="37"/>
        <v/>
      </c>
    </row>
    <row r="1042" spans="3:5">
      <c r="C1042" s="181" t="s">
        <v>577</v>
      </c>
      <c r="D1042" s="181" t="s">
        <v>577</v>
      </c>
      <c r="E1042" s="181" t="str">
        <f t="shared" si="37"/>
        <v/>
      </c>
    </row>
    <row r="1043" spans="3:5">
      <c r="C1043" s="181" t="s">
        <v>577</v>
      </c>
      <c r="D1043" s="181" t="s">
        <v>577</v>
      </c>
      <c r="E1043" s="181" t="str">
        <f t="shared" si="37"/>
        <v/>
      </c>
    </row>
    <row r="1044" spans="3:5">
      <c r="C1044" s="181" t="s">
        <v>577</v>
      </c>
      <c r="D1044" s="181" t="s">
        <v>577</v>
      </c>
      <c r="E1044" s="181" t="str">
        <f t="shared" si="37"/>
        <v/>
      </c>
    </row>
    <row r="1045" spans="3:5">
      <c r="C1045" s="181" t="s">
        <v>577</v>
      </c>
      <c r="D1045" s="181" t="s">
        <v>577</v>
      </c>
      <c r="E1045" s="181" t="str">
        <f t="shared" si="37"/>
        <v/>
      </c>
    </row>
    <row r="1046" spans="3:5">
      <c r="C1046" s="181" t="s">
        <v>577</v>
      </c>
      <c r="D1046" s="181" t="s">
        <v>577</v>
      </c>
      <c r="E1046" s="181" t="str">
        <f t="shared" si="37"/>
        <v/>
      </c>
    </row>
    <row r="1047" spans="3:5">
      <c r="C1047" s="181" t="s">
        <v>577</v>
      </c>
      <c r="D1047" s="181" t="s">
        <v>577</v>
      </c>
      <c r="E1047" s="181" t="str">
        <f t="shared" si="37"/>
        <v/>
      </c>
    </row>
    <row r="1048" spans="3:5">
      <c r="C1048" s="181" t="s">
        <v>577</v>
      </c>
      <c r="D1048" s="181" t="s">
        <v>577</v>
      </c>
      <c r="E1048" s="181" t="str">
        <f t="shared" si="37"/>
        <v/>
      </c>
    </row>
    <row r="1049" spans="3:5">
      <c r="C1049" s="181" t="s">
        <v>577</v>
      </c>
      <c r="D1049" s="181" t="s">
        <v>577</v>
      </c>
      <c r="E1049" s="181" t="str">
        <f t="shared" si="37"/>
        <v/>
      </c>
    </row>
    <row r="1050" spans="3:5">
      <c r="C1050" s="181" t="s">
        <v>577</v>
      </c>
      <c r="D1050" s="181" t="s">
        <v>577</v>
      </c>
      <c r="E1050" s="181" t="str">
        <f t="shared" si="37"/>
        <v/>
      </c>
    </row>
    <row r="1051" spans="3:5">
      <c r="C1051" s="181" t="s">
        <v>577</v>
      </c>
      <c r="D1051" s="181" t="s">
        <v>577</v>
      </c>
      <c r="E1051" s="181" t="str">
        <f t="shared" si="37"/>
        <v/>
      </c>
    </row>
    <row r="1052" spans="3:5">
      <c r="C1052" s="181" t="s">
        <v>577</v>
      </c>
      <c r="D1052" s="181" t="s">
        <v>577</v>
      </c>
      <c r="E1052" s="181" t="str">
        <f t="shared" si="37"/>
        <v/>
      </c>
    </row>
    <row r="1053" spans="3:5">
      <c r="C1053" s="181" t="s">
        <v>577</v>
      </c>
      <c r="D1053" s="181" t="s">
        <v>577</v>
      </c>
      <c r="E1053" s="181" t="str">
        <f t="shared" si="37"/>
        <v/>
      </c>
    </row>
    <row r="1054" spans="3:5">
      <c r="C1054" s="181" t="s">
        <v>577</v>
      </c>
      <c r="D1054" s="181" t="s">
        <v>577</v>
      </c>
      <c r="E1054" s="181" t="str">
        <f t="shared" si="37"/>
        <v/>
      </c>
    </row>
    <row r="1055" spans="3:5">
      <c r="C1055" s="181" t="s">
        <v>577</v>
      </c>
      <c r="D1055" s="181" t="s">
        <v>577</v>
      </c>
      <c r="E1055" s="181" t="str">
        <f t="shared" si="37"/>
        <v/>
      </c>
    </row>
    <row r="1056" spans="3:5">
      <c r="C1056" s="181" t="s">
        <v>577</v>
      </c>
      <c r="D1056" s="181" t="s">
        <v>577</v>
      </c>
      <c r="E1056" s="181" t="str">
        <f t="shared" si="37"/>
        <v/>
      </c>
    </row>
    <row r="1057" spans="3:5">
      <c r="C1057" s="181" t="s">
        <v>577</v>
      </c>
      <c r="D1057" s="181" t="s">
        <v>577</v>
      </c>
      <c r="E1057" s="181" t="str">
        <f t="shared" si="37"/>
        <v/>
      </c>
    </row>
    <row r="1058" spans="3:5">
      <c r="C1058" s="181" t="s">
        <v>577</v>
      </c>
      <c r="D1058" s="181" t="s">
        <v>577</v>
      </c>
      <c r="E1058" s="181" t="str">
        <f t="shared" si="37"/>
        <v/>
      </c>
    </row>
    <row r="1059" spans="3:5">
      <c r="C1059" s="181" t="s">
        <v>577</v>
      </c>
      <c r="D1059" s="181" t="s">
        <v>577</v>
      </c>
      <c r="E1059" s="181" t="str">
        <f t="shared" si="37"/>
        <v/>
      </c>
    </row>
    <row r="1060" spans="3:5">
      <c r="C1060" s="181" t="s">
        <v>577</v>
      </c>
      <c r="D1060" s="181" t="s">
        <v>577</v>
      </c>
      <c r="E1060" s="181" t="str">
        <f t="shared" si="37"/>
        <v/>
      </c>
    </row>
    <row r="1061" spans="3:5">
      <c r="C1061" s="181" t="s">
        <v>577</v>
      </c>
      <c r="D1061" s="181" t="s">
        <v>577</v>
      </c>
      <c r="E1061" s="181" t="str">
        <f t="shared" si="37"/>
        <v/>
      </c>
    </row>
    <row r="1062" spans="3:5">
      <c r="C1062" s="181" t="s">
        <v>577</v>
      </c>
      <c r="D1062" s="181" t="s">
        <v>577</v>
      </c>
      <c r="E1062" s="181" t="str">
        <f t="shared" si="37"/>
        <v/>
      </c>
    </row>
    <row r="1063" spans="3:5">
      <c r="C1063" s="181" t="s">
        <v>577</v>
      </c>
      <c r="D1063" s="181" t="s">
        <v>577</v>
      </c>
      <c r="E1063" s="181" t="str">
        <f t="shared" si="37"/>
        <v/>
      </c>
    </row>
    <row r="1064" spans="3:5">
      <c r="C1064" s="181" t="s">
        <v>577</v>
      </c>
      <c r="D1064" s="181" t="s">
        <v>577</v>
      </c>
      <c r="E1064" s="181" t="str">
        <f t="shared" si="37"/>
        <v/>
      </c>
    </row>
    <row r="1065" spans="3:5">
      <c r="C1065" s="181" t="s">
        <v>577</v>
      </c>
      <c r="D1065" s="181" t="s">
        <v>577</v>
      </c>
      <c r="E1065" s="181" t="str">
        <f t="shared" si="37"/>
        <v/>
      </c>
    </row>
    <row r="1066" spans="3:5">
      <c r="C1066" s="181" t="s">
        <v>577</v>
      </c>
      <c r="D1066" s="181" t="s">
        <v>577</v>
      </c>
      <c r="E1066" s="181" t="str">
        <f t="shared" si="37"/>
        <v/>
      </c>
    </row>
    <row r="1067" spans="3:5">
      <c r="C1067" s="181" t="s">
        <v>577</v>
      </c>
      <c r="D1067" s="181" t="s">
        <v>577</v>
      </c>
      <c r="E1067" s="181" t="str">
        <f t="shared" si="37"/>
        <v/>
      </c>
    </row>
    <row r="1068" spans="3:5">
      <c r="C1068" s="181" t="s">
        <v>577</v>
      </c>
      <c r="D1068" s="181" t="s">
        <v>577</v>
      </c>
      <c r="E1068" s="181" t="str">
        <f t="shared" si="37"/>
        <v/>
      </c>
    </row>
    <row r="1069" spans="3:5">
      <c r="C1069" s="181" t="s">
        <v>577</v>
      </c>
      <c r="D1069" s="181" t="s">
        <v>577</v>
      </c>
      <c r="E1069" s="181" t="str">
        <f t="shared" si="37"/>
        <v/>
      </c>
    </row>
    <row r="1070" spans="3:5">
      <c r="C1070" s="181" t="s">
        <v>577</v>
      </c>
      <c r="D1070" s="181" t="s">
        <v>577</v>
      </c>
      <c r="E1070" s="181" t="str">
        <f t="shared" si="37"/>
        <v/>
      </c>
    </row>
    <row r="1071" spans="3:5">
      <c r="C1071" s="181" t="s">
        <v>577</v>
      </c>
      <c r="D1071" s="181" t="s">
        <v>577</v>
      </c>
      <c r="E1071" s="181" t="str">
        <f t="shared" si="37"/>
        <v/>
      </c>
    </row>
    <row r="1072" spans="3:5">
      <c r="C1072" s="181" t="s">
        <v>577</v>
      </c>
      <c r="D1072" s="181" t="s">
        <v>577</v>
      </c>
      <c r="E1072" s="181" t="str">
        <f t="shared" si="37"/>
        <v/>
      </c>
    </row>
    <row r="1073" spans="3:5">
      <c r="C1073" s="181" t="s">
        <v>577</v>
      </c>
      <c r="D1073" s="181" t="s">
        <v>577</v>
      </c>
      <c r="E1073" s="181" t="str">
        <f t="shared" si="37"/>
        <v/>
      </c>
    </row>
    <row r="1074" spans="3:5">
      <c r="C1074" s="181" t="s">
        <v>577</v>
      </c>
      <c r="D1074" s="181" t="s">
        <v>577</v>
      </c>
      <c r="E1074" s="181" t="str">
        <f t="shared" si="37"/>
        <v/>
      </c>
    </row>
    <row r="1075" spans="3:5">
      <c r="C1075" s="181" t="s">
        <v>577</v>
      </c>
      <c r="D1075" s="181" t="s">
        <v>577</v>
      </c>
      <c r="E1075" s="181" t="str">
        <f t="shared" si="37"/>
        <v/>
      </c>
    </row>
    <row r="1076" spans="3:5">
      <c r="C1076" s="181" t="s">
        <v>577</v>
      </c>
      <c r="D1076" s="181" t="s">
        <v>577</v>
      </c>
      <c r="E1076" s="181" t="str">
        <f t="shared" si="37"/>
        <v/>
      </c>
    </row>
    <row r="1077" spans="3:5">
      <c r="C1077" s="181" t="s">
        <v>577</v>
      </c>
      <c r="D1077" s="181" t="s">
        <v>577</v>
      </c>
      <c r="E1077" s="181" t="str">
        <f t="shared" si="37"/>
        <v/>
      </c>
    </row>
    <row r="1078" spans="3:5">
      <c r="C1078" s="181" t="s">
        <v>577</v>
      </c>
      <c r="D1078" s="181" t="s">
        <v>577</v>
      </c>
      <c r="E1078" s="181" t="str">
        <f t="shared" si="37"/>
        <v/>
      </c>
    </row>
    <row r="1079" spans="3:5">
      <c r="C1079" s="181" t="s">
        <v>577</v>
      </c>
      <c r="D1079" s="181" t="s">
        <v>577</v>
      </c>
      <c r="E1079" s="181" t="str">
        <f t="shared" si="37"/>
        <v/>
      </c>
    </row>
    <row r="1080" spans="3:5">
      <c r="C1080" s="181" t="s">
        <v>577</v>
      </c>
      <c r="D1080" s="181" t="s">
        <v>577</v>
      </c>
      <c r="E1080" s="181" t="str">
        <f t="shared" si="37"/>
        <v/>
      </c>
    </row>
    <row r="1081" spans="3:5">
      <c r="C1081" s="181" t="s">
        <v>577</v>
      </c>
      <c r="D1081" s="181" t="s">
        <v>577</v>
      </c>
      <c r="E1081" s="181" t="str">
        <f t="shared" si="37"/>
        <v/>
      </c>
    </row>
    <row r="1082" spans="3:5">
      <c r="C1082" s="181" t="s">
        <v>577</v>
      </c>
      <c r="D1082" s="181" t="s">
        <v>577</v>
      </c>
      <c r="E1082" s="181" t="str">
        <f t="shared" si="37"/>
        <v/>
      </c>
    </row>
    <row r="1083" spans="3:5">
      <c r="C1083" s="181" t="s">
        <v>577</v>
      </c>
      <c r="D1083" s="181" t="s">
        <v>577</v>
      </c>
      <c r="E1083" s="181" t="str">
        <f t="shared" si="37"/>
        <v/>
      </c>
    </row>
    <row r="1084" spans="3:5">
      <c r="C1084" s="181" t="s">
        <v>577</v>
      </c>
      <c r="D1084" s="181" t="s">
        <v>577</v>
      </c>
      <c r="E1084" s="181" t="str">
        <f t="shared" si="37"/>
        <v/>
      </c>
    </row>
    <row r="1085" spans="3:5">
      <c r="C1085" s="181" t="s">
        <v>577</v>
      </c>
      <c r="D1085" s="181" t="s">
        <v>577</v>
      </c>
      <c r="E1085" s="181" t="str">
        <f t="shared" si="37"/>
        <v/>
      </c>
    </row>
    <row r="1086" spans="3:5">
      <c r="C1086" s="181" t="s">
        <v>577</v>
      </c>
      <c r="D1086" s="181" t="s">
        <v>577</v>
      </c>
      <c r="E1086" s="181" t="str">
        <f t="shared" si="37"/>
        <v/>
      </c>
    </row>
    <row r="1087" spans="3:5">
      <c r="C1087" s="181" t="s">
        <v>577</v>
      </c>
      <c r="D1087" s="181" t="s">
        <v>577</v>
      </c>
      <c r="E1087" s="181" t="str">
        <f t="shared" si="37"/>
        <v/>
      </c>
    </row>
    <row r="1088" spans="3:5">
      <c r="C1088" s="181" t="s">
        <v>577</v>
      </c>
      <c r="D1088" s="181" t="s">
        <v>577</v>
      </c>
      <c r="E1088" s="181" t="str">
        <f t="shared" si="37"/>
        <v/>
      </c>
    </row>
    <row r="1089" spans="3:5">
      <c r="C1089" s="181" t="s">
        <v>577</v>
      </c>
      <c r="D1089" s="181" t="s">
        <v>577</v>
      </c>
      <c r="E1089" s="181" t="str">
        <f t="shared" si="37"/>
        <v/>
      </c>
    </row>
    <row r="1090" spans="3:5">
      <c r="C1090" s="181" t="s">
        <v>577</v>
      </c>
      <c r="D1090" s="181" t="s">
        <v>577</v>
      </c>
      <c r="E1090" s="181" t="str">
        <f t="shared" si="37"/>
        <v/>
      </c>
    </row>
    <row r="1091" spans="3:5">
      <c r="C1091" s="181" t="s">
        <v>577</v>
      </c>
      <c r="D1091" s="181" t="s">
        <v>577</v>
      </c>
      <c r="E1091" s="181" t="str">
        <f t="shared" si="37"/>
        <v/>
      </c>
    </row>
    <row r="1092" spans="3:5">
      <c r="C1092" s="181" t="s">
        <v>577</v>
      </c>
      <c r="D1092" s="181" t="s">
        <v>577</v>
      </c>
      <c r="E1092" s="181" t="str">
        <f t="shared" ref="E1092:E1155" si="38">IF(C1092&lt;D1092,C1092,D1092)</f>
        <v/>
      </c>
    </row>
    <row r="1093" spans="3:5">
      <c r="C1093" s="181" t="s">
        <v>577</v>
      </c>
      <c r="D1093" s="181" t="s">
        <v>577</v>
      </c>
      <c r="E1093" s="181" t="str">
        <f t="shared" si="38"/>
        <v/>
      </c>
    </row>
    <row r="1094" spans="3:5">
      <c r="C1094" s="181" t="s">
        <v>577</v>
      </c>
      <c r="D1094" s="181" t="s">
        <v>577</v>
      </c>
      <c r="E1094" s="181" t="str">
        <f t="shared" si="38"/>
        <v/>
      </c>
    </row>
    <row r="1095" spans="3:5">
      <c r="C1095" s="181" t="s">
        <v>577</v>
      </c>
      <c r="D1095" s="181" t="s">
        <v>577</v>
      </c>
      <c r="E1095" s="181" t="str">
        <f t="shared" si="38"/>
        <v/>
      </c>
    </row>
    <row r="1096" spans="3:5">
      <c r="C1096" s="181" t="s">
        <v>577</v>
      </c>
      <c r="D1096" s="181" t="s">
        <v>577</v>
      </c>
      <c r="E1096" s="181" t="str">
        <f t="shared" si="38"/>
        <v/>
      </c>
    </row>
    <row r="1097" spans="3:5">
      <c r="C1097" s="181" t="s">
        <v>577</v>
      </c>
      <c r="D1097" s="181" t="s">
        <v>577</v>
      </c>
      <c r="E1097" s="181" t="str">
        <f t="shared" si="38"/>
        <v/>
      </c>
    </row>
    <row r="1098" spans="3:5">
      <c r="C1098" s="181" t="s">
        <v>577</v>
      </c>
      <c r="D1098" s="181" t="s">
        <v>577</v>
      </c>
      <c r="E1098" s="181" t="str">
        <f t="shared" si="38"/>
        <v/>
      </c>
    </row>
    <row r="1099" spans="3:5">
      <c r="C1099" s="181" t="s">
        <v>577</v>
      </c>
      <c r="D1099" s="181" t="s">
        <v>577</v>
      </c>
      <c r="E1099" s="181" t="str">
        <f t="shared" si="38"/>
        <v/>
      </c>
    </row>
    <row r="1100" spans="3:5">
      <c r="C1100" s="181" t="s">
        <v>577</v>
      </c>
      <c r="D1100" s="181" t="s">
        <v>577</v>
      </c>
      <c r="E1100" s="181" t="str">
        <f t="shared" si="38"/>
        <v/>
      </c>
    </row>
    <row r="1101" spans="3:5">
      <c r="C1101" s="181" t="s">
        <v>577</v>
      </c>
      <c r="D1101" s="181" t="s">
        <v>577</v>
      </c>
      <c r="E1101" s="181" t="str">
        <f t="shared" si="38"/>
        <v/>
      </c>
    </row>
    <row r="1102" spans="3:5">
      <c r="C1102" s="181" t="s">
        <v>577</v>
      </c>
      <c r="D1102" s="181" t="s">
        <v>577</v>
      </c>
      <c r="E1102" s="181" t="str">
        <f t="shared" si="38"/>
        <v/>
      </c>
    </row>
    <row r="1103" spans="3:5">
      <c r="C1103" s="181" t="s">
        <v>577</v>
      </c>
      <c r="D1103" s="181" t="s">
        <v>577</v>
      </c>
      <c r="E1103" s="181" t="str">
        <f t="shared" si="38"/>
        <v/>
      </c>
    </row>
    <row r="1104" spans="3:5">
      <c r="C1104" s="181" t="s">
        <v>577</v>
      </c>
      <c r="D1104" s="181" t="s">
        <v>577</v>
      </c>
      <c r="E1104" s="181" t="str">
        <f t="shared" si="38"/>
        <v/>
      </c>
    </row>
    <row r="1105" spans="3:5">
      <c r="C1105" s="181" t="s">
        <v>577</v>
      </c>
      <c r="D1105" s="181" t="s">
        <v>577</v>
      </c>
      <c r="E1105" s="181" t="str">
        <f t="shared" si="38"/>
        <v/>
      </c>
    </row>
    <row r="1106" spans="3:5">
      <c r="C1106" s="181" t="s">
        <v>577</v>
      </c>
      <c r="D1106" s="181" t="s">
        <v>577</v>
      </c>
      <c r="E1106" s="181" t="str">
        <f t="shared" si="38"/>
        <v/>
      </c>
    </row>
    <row r="1107" spans="3:5">
      <c r="C1107" s="181" t="s">
        <v>577</v>
      </c>
      <c r="D1107" s="181" t="s">
        <v>577</v>
      </c>
      <c r="E1107" s="181" t="str">
        <f t="shared" si="38"/>
        <v/>
      </c>
    </row>
    <row r="1108" spans="3:5">
      <c r="C1108" s="181" t="s">
        <v>577</v>
      </c>
      <c r="D1108" s="181" t="s">
        <v>577</v>
      </c>
      <c r="E1108" s="181" t="str">
        <f t="shared" si="38"/>
        <v/>
      </c>
    </row>
    <row r="1109" spans="3:5">
      <c r="C1109" s="181" t="s">
        <v>577</v>
      </c>
      <c r="D1109" s="181" t="s">
        <v>577</v>
      </c>
      <c r="E1109" s="181" t="str">
        <f t="shared" si="38"/>
        <v/>
      </c>
    </row>
    <row r="1110" spans="3:5">
      <c r="C1110" s="181" t="s">
        <v>577</v>
      </c>
      <c r="D1110" s="181" t="s">
        <v>577</v>
      </c>
      <c r="E1110" s="181" t="str">
        <f t="shared" si="38"/>
        <v/>
      </c>
    </row>
    <row r="1111" spans="3:5">
      <c r="C1111" s="181" t="s">
        <v>577</v>
      </c>
      <c r="D1111" s="181" t="s">
        <v>577</v>
      </c>
      <c r="E1111" s="181" t="str">
        <f t="shared" si="38"/>
        <v/>
      </c>
    </row>
    <row r="1112" spans="3:5">
      <c r="C1112" s="181" t="s">
        <v>577</v>
      </c>
      <c r="D1112" s="181" t="s">
        <v>577</v>
      </c>
      <c r="E1112" s="181" t="str">
        <f t="shared" si="38"/>
        <v/>
      </c>
    </row>
    <row r="1113" spans="3:5">
      <c r="C1113" s="181" t="s">
        <v>577</v>
      </c>
      <c r="D1113" s="181" t="s">
        <v>577</v>
      </c>
      <c r="E1113" s="181" t="str">
        <f t="shared" si="38"/>
        <v/>
      </c>
    </row>
    <row r="1114" spans="3:5">
      <c r="C1114" s="181" t="s">
        <v>577</v>
      </c>
      <c r="D1114" s="181" t="s">
        <v>577</v>
      </c>
      <c r="E1114" s="181" t="str">
        <f t="shared" si="38"/>
        <v/>
      </c>
    </row>
    <row r="1115" spans="3:5">
      <c r="C1115" s="181" t="s">
        <v>577</v>
      </c>
      <c r="D1115" s="181" t="s">
        <v>577</v>
      </c>
      <c r="E1115" s="181" t="str">
        <f t="shared" si="38"/>
        <v/>
      </c>
    </row>
    <row r="1116" spans="3:5">
      <c r="C1116" s="181" t="s">
        <v>577</v>
      </c>
      <c r="D1116" s="181" t="s">
        <v>577</v>
      </c>
      <c r="E1116" s="181" t="str">
        <f t="shared" si="38"/>
        <v/>
      </c>
    </row>
    <row r="1117" spans="3:5">
      <c r="C1117" s="181" t="s">
        <v>577</v>
      </c>
      <c r="D1117" s="181" t="s">
        <v>577</v>
      </c>
      <c r="E1117" s="181" t="str">
        <f t="shared" si="38"/>
        <v/>
      </c>
    </row>
    <row r="1118" spans="3:5">
      <c r="C1118" s="181" t="s">
        <v>577</v>
      </c>
      <c r="D1118" s="181" t="s">
        <v>577</v>
      </c>
      <c r="E1118" s="181" t="str">
        <f t="shared" si="38"/>
        <v/>
      </c>
    </row>
    <row r="1119" spans="3:5">
      <c r="C1119" s="181" t="s">
        <v>577</v>
      </c>
      <c r="D1119" s="181" t="s">
        <v>577</v>
      </c>
      <c r="E1119" s="181" t="str">
        <f t="shared" si="38"/>
        <v/>
      </c>
    </row>
    <row r="1120" spans="3:5">
      <c r="C1120" s="181" t="s">
        <v>577</v>
      </c>
      <c r="D1120" s="181" t="s">
        <v>577</v>
      </c>
      <c r="E1120" s="181" t="str">
        <f t="shared" si="38"/>
        <v/>
      </c>
    </row>
    <row r="1121" spans="3:5">
      <c r="C1121" s="181" t="s">
        <v>577</v>
      </c>
      <c r="D1121" s="181" t="s">
        <v>577</v>
      </c>
      <c r="E1121" s="181" t="str">
        <f t="shared" si="38"/>
        <v/>
      </c>
    </row>
    <row r="1122" spans="3:5">
      <c r="C1122" s="181" t="s">
        <v>577</v>
      </c>
      <c r="D1122" s="181" t="s">
        <v>577</v>
      </c>
      <c r="E1122" s="181" t="str">
        <f t="shared" si="38"/>
        <v/>
      </c>
    </row>
    <row r="1123" spans="3:5">
      <c r="C1123" s="181" t="s">
        <v>577</v>
      </c>
      <c r="D1123" s="181" t="s">
        <v>577</v>
      </c>
      <c r="E1123" s="181" t="str">
        <f t="shared" si="38"/>
        <v/>
      </c>
    </row>
    <row r="1124" spans="3:5">
      <c r="C1124" s="181" t="s">
        <v>577</v>
      </c>
      <c r="D1124" s="181" t="s">
        <v>577</v>
      </c>
      <c r="E1124" s="181" t="str">
        <f t="shared" si="38"/>
        <v/>
      </c>
    </row>
    <row r="1125" spans="3:5">
      <c r="C1125" s="181" t="s">
        <v>577</v>
      </c>
      <c r="D1125" s="181" t="s">
        <v>577</v>
      </c>
      <c r="E1125" s="181" t="str">
        <f t="shared" si="38"/>
        <v/>
      </c>
    </row>
    <row r="1126" spans="3:5">
      <c r="C1126" s="181" t="s">
        <v>577</v>
      </c>
      <c r="D1126" s="181" t="s">
        <v>577</v>
      </c>
      <c r="E1126" s="181" t="str">
        <f t="shared" si="38"/>
        <v/>
      </c>
    </row>
    <row r="1127" spans="3:5">
      <c r="C1127" s="181" t="s">
        <v>577</v>
      </c>
      <c r="D1127" s="181" t="s">
        <v>577</v>
      </c>
      <c r="E1127" s="181" t="str">
        <f t="shared" si="38"/>
        <v/>
      </c>
    </row>
    <row r="1128" spans="3:5">
      <c r="C1128" s="181" t="s">
        <v>577</v>
      </c>
      <c r="D1128" s="181" t="s">
        <v>577</v>
      </c>
      <c r="E1128" s="181" t="str">
        <f t="shared" si="38"/>
        <v/>
      </c>
    </row>
    <row r="1129" spans="3:5">
      <c r="C1129" s="181" t="s">
        <v>577</v>
      </c>
      <c r="D1129" s="181" t="s">
        <v>577</v>
      </c>
      <c r="E1129" s="181" t="str">
        <f t="shared" si="38"/>
        <v/>
      </c>
    </row>
    <row r="1130" spans="3:5">
      <c r="C1130" s="181" t="s">
        <v>577</v>
      </c>
      <c r="D1130" s="181" t="s">
        <v>577</v>
      </c>
      <c r="E1130" s="181" t="str">
        <f t="shared" si="38"/>
        <v/>
      </c>
    </row>
    <row r="1131" spans="3:5">
      <c r="C1131" s="181" t="s">
        <v>577</v>
      </c>
      <c r="D1131" s="181" t="s">
        <v>577</v>
      </c>
      <c r="E1131" s="181" t="str">
        <f t="shared" si="38"/>
        <v/>
      </c>
    </row>
    <row r="1132" spans="3:5">
      <c r="C1132" s="181" t="s">
        <v>577</v>
      </c>
      <c r="D1132" s="181" t="s">
        <v>577</v>
      </c>
      <c r="E1132" s="181" t="str">
        <f t="shared" si="38"/>
        <v/>
      </c>
    </row>
    <row r="1133" spans="3:5">
      <c r="C1133" s="181" t="s">
        <v>577</v>
      </c>
      <c r="D1133" s="181" t="s">
        <v>577</v>
      </c>
      <c r="E1133" s="181" t="str">
        <f t="shared" si="38"/>
        <v/>
      </c>
    </row>
    <row r="1134" spans="3:5">
      <c r="C1134" s="181" t="s">
        <v>577</v>
      </c>
      <c r="D1134" s="181" t="s">
        <v>577</v>
      </c>
      <c r="E1134" s="181" t="str">
        <f t="shared" si="38"/>
        <v/>
      </c>
    </row>
    <row r="1135" spans="3:5">
      <c r="C1135" s="181" t="s">
        <v>577</v>
      </c>
      <c r="D1135" s="181" t="s">
        <v>577</v>
      </c>
      <c r="E1135" s="181" t="str">
        <f t="shared" si="38"/>
        <v/>
      </c>
    </row>
    <row r="1136" spans="3:5">
      <c r="C1136" s="181" t="s">
        <v>577</v>
      </c>
      <c r="D1136" s="181" t="s">
        <v>577</v>
      </c>
      <c r="E1136" s="181" t="str">
        <f t="shared" si="38"/>
        <v/>
      </c>
    </row>
    <row r="1137" spans="3:5">
      <c r="C1137" s="181" t="s">
        <v>577</v>
      </c>
      <c r="D1137" s="181" t="s">
        <v>577</v>
      </c>
      <c r="E1137" s="181" t="str">
        <f t="shared" si="38"/>
        <v/>
      </c>
    </row>
    <row r="1138" spans="3:5">
      <c r="C1138" s="181" t="s">
        <v>577</v>
      </c>
      <c r="D1138" s="181" t="s">
        <v>577</v>
      </c>
      <c r="E1138" s="181" t="str">
        <f t="shared" si="38"/>
        <v/>
      </c>
    </row>
    <row r="1139" spans="3:5">
      <c r="C1139" s="181" t="s">
        <v>577</v>
      </c>
      <c r="D1139" s="181" t="s">
        <v>577</v>
      </c>
      <c r="E1139" s="181" t="str">
        <f t="shared" si="38"/>
        <v/>
      </c>
    </row>
    <row r="1140" spans="3:5">
      <c r="C1140" s="181" t="s">
        <v>577</v>
      </c>
      <c r="D1140" s="181" t="s">
        <v>577</v>
      </c>
      <c r="E1140" s="181" t="str">
        <f t="shared" si="38"/>
        <v/>
      </c>
    </row>
    <row r="1141" spans="3:5">
      <c r="C1141" s="181" t="s">
        <v>577</v>
      </c>
      <c r="D1141" s="181" t="s">
        <v>577</v>
      </c>
      <c r="E1141" s="181" t="str">
        <f t="shared" si="38"/>
        <v/>
      </c>
    </row>
    <row r="1142" spans="3:5">
      <c r="C1142" s="181" t="s">
        <v>577</v>
      </c>
      <c r="D1142" s="181" t="s">
        <v>577</v>
      </c>
      <c r="E1142" s="181" t="str">
        <f t="shared" si="38"/>
        <v/>
      </c>
    </row>
    <row r="1143" spans="3:5">
      <c r="C1143" s="181" t="s">
        <v>577</v>
      </c>
      <c r="D1143" s="181" t="s">
        <v>577</v>
      </c>
      <c r="E1143" s="181" t="str">
        <f t="shared" si="38"/>
        <v/>
      </c>
    </row>
    <row r="1144" spans="3:5">
      <c r="C1144" s="181" t="s">
        <v>577</v>
      </c>
      <c r="D1144" s="181" t="s">
        <v>577</v>
      </c>
      <c r="E1144" s="181" t="str">
        <f t="shared" si="38"/>
        <v/>
      </c>
    </row>
    <row r="1145" spans="3:5">
      <c r="C1145" s="181" t="s">
        <v>577</v>
      </c>
      <c r="D1145" s="181" t="s">
        <v>577</v>
      </c>
      <c r="E1145" s="181" t="str">
        <f t="shared" si="38"/>
        <v/>
      </c>
    </row>
    <row r="1146" spans="3:5">
      <c r="C1146" s="181" t="s">
        <v>577</v>
      </c>
      <c r="D1146" s="181" t="s">
        <v>577</v>
      </c>
      <c r="E1146" s="181" t="str">
        <f t="shared" si="38"/>
        <v/>
      </c>
    </row>
    <row r="1147" spans="3:5">
      <c r="C1147" s="181" t="s">
        <v>577</v>
      </c>
      <c r="D1147" s="181" t="s">
        <v>577</v>
      </c>
      <c r="E1147" s="181" t="str">
        <f t="shared" si="38"/>
        <v/>
      </c>
    </row>
    <row r="1148" spans="3:5">
      <c r="C1148" s="181" t="s">
        <v>577</v>
      </c>
      <c r="D1148" s="181" t="s">
        <v>577</v>
      </c>
      <c r="E1148" s="181" t="str">
        <f t="shared" si="38"/>
        <v/>
      </c>
    </row>
    <row r="1149" spans="3:5">
      <c r="C1149" s="181" t="s">
        <v>577</v>
      </c>
      <c r="D1149" s="181" t="s">
        <v>577</v>
      </c>
      <c r="E1149" s="181" t="str">
        <f t="shared" si="38"/>
        <v/>
      </c>
    </row>
    <row r="1150" spans="3:5">
      <c r="C1150" s="181" t="s">
        <v>577</v>
      </c>
      <c r="D1150" s="181" t="s">
        <v>577</v>
      </c>
      <c r="E1150" s="181" t="str">
        <f t="shared" si="38"/>
        <v/>
      </c>
    </row>
    <row r="1151" spans="3:5">
      <c r="C1151" s="181" t="s">
        <v>577</v>
      </c>
      <c r="D1151" s="181" t="s">
        <v>577</v>
      </c>
      <c r="E1151" s="181" t="str">
        <f t="shared" si="38"/>
        <v/>
      </c>
    </row>
    <row r="1152" spans="3:5">
      <c r="C1152" s="181" t="s">
        <v>577</v>
      </c>
      <c r="D1152" s="181" t="s">
        <v>577</v>
      </c>
      <c r="E1152" s="181" t="str">
        <f t="shared" si="38"/>
        <v/>
      </c>
    </row>
    <row r="1153" spans="3:5">
      <c r="C1153" s="181" t="s">
        <v>577</v>
      </c>
      <c r="D1153" s="181" t="s">
        <v>577</v>
      </c>
      <c r="E1153" s="181" t="str">
        <f t="shared" si="38"/>
        <v/>
      </c>
    </row>
    <row r="1154" spans="3:5">
      <c r="C1154" s="181" t="s">
        <v>577</v>
      </c>
      <c r="D1154" s="181" t="s">
        <v>577</v>
      </c>
      <c r="E1154" s="181" t="str">
        <f t="shared" si="38"/>
        <v/>
      </c>
    </row>
    <row r="1155" spans="3:5">
      <c r="C1155" s="181" t="s">
        <v>577</v>
      </c>
      <c r="D1155" s="181" t="s">
        <v>577</v>
      </c>
      <c r="E1155" s="181" t="str">
        <f t="shared" si="38"/>
        <v/>
      </c>
    </row>
    <row r="1156" spans="3:5">
      <c r="C1156" s="181" t="s">
        <v>577</v>
      </c>
      <c r="D1156" s="181" t="s">
        <v>577</v>
      </c>
      <c r="E1156" s="181" t="str">
        <f t="shared" ref="E1156:E1209" si="39">IF(C1156&lt;D1156,C1156,D1156)</f>
        <v/>
      </c>
    </row>
    <row r="1157" spans="3:5">
      <c r="C1157" s="181" t="s">
        <v>577</v>
      </c>
      <c r="D1157" s="181" t="s">
        <v>577</v>
      </c>
      <c r="E1157" s="181" t="str">
        <f t="shared" si="39"/>
        <v/>
      </c>
    </row>
    <row r="1158" spans="3:5">
      <c r="C1158" s="181" t="s">
        <v>577</v>
      </c>
      <c r="D1158" s="181" t="s">
        <v>577</v>
      </c>
      <c r="E1158" s="181" t="str">
        <f t="shared" si="39"/>
        <v/>
      </c>
    </row>
    <row r="1159" spans="3:5">
      <c r="C1159" s="181" t="s">
        <v>577</v>
      </c>
      <c r="D1159" s="181" t="s">
        <v>577</v>
      </c>
      <c r="E1159" s="181" t="str">
        <f t="shared" si="39"/>
        <v/>
      </c>
    </row>
    <row r="1160" spans="3:5">
      <c r="C1160" s="181" t="s">
        <v>577</v>
      </c>
      <c r="D1160" s="181" t="s">
        <v>577</v>
      </c>
      <c r="E1160" s="181" t="str">
        <f t="shared" si="39"/>
        <v/>
      </c>
    </row>
    <row r="1161" spans="3:5">
      <c r="C1161" s="181" t="s">
        <v>577</v>
      </c>
      <c r="D1161" s="181" t="s">
        <v>577</v>
      </c>
      <c r="E1161" s="181" t="str">
        <f t="shared" si="39"/>
        <v/>
      </c>
    </row>
    <row r="1162" spans="3:5">
      <c r="C1162" s="181" t="s">
        <v>577</v>
      </c>
      <c r="D1162" s="181" t="s">
        <v>577</v>
      </c>
      <c r="E1162" s="181" t="str">
        <f t="shared" si="39"/>
        <v/>
      </c>
    </row>
    <row r="1163" spans="3:5">
      <c r="C1163" s="181" t="s">
        <v>577</v>
      </c>
      <c r="D1163" s="181" t="s">
        <v>577</v>
      </c>
      <c r="E1163" s="181" t="str">
        <f t="shared" si="39"/>
        <v/>
      </c>
    </row>
    <row r="1164" spans="3:5">
      <c r="C1164" s="181" t="s">
        <v>577</v>
      </c>
      <c r="D1164" s="181" t="s">
        <v>577</v>
      </c>
      <c r="E1164" s="181" t="str">
        <f t="shared" si="39"/>
        <v/>
      </c>
    </row>
    <row r="1165" spans="3:5">
      <c r="C1165" s="181" t="s">
        <v>577</v>
      </c>
      <c r="D1165" s="181" t="s">
        <v>577</v>
      </c>
      <c r="E1165" s="181" t="str">
        <f t="shared" si="39"/>
        <v/>
      </c>
    </row>
    <row r="1166" spans="3:5">
      <c r="C1166" s="181" t="s">
        <v>577</v>
      </c>
      <c r="D1166" s="181" t="s">
        <v>577</v>
      </c>
      <c r="E1166" s="181" t="str">
        <f t="shared" si="39"/>
        <v/>
      </c>
    </row>
    <row r="1167" spans="3:5">
      <c r="C1167" s="181" t="s">
        <v>577</v>
      </c>
      <c r="D1167" s="181" t="s">
        <v>577</v>
      </c>
      <c r="E1167" s="181" t="str">
        <f t="shared" si="39"/>
        <v/>
      </c>
    </row>
    <row r="1168" spans="3:5">
      <c r="C1168" s="181" t="s">
        <v>577</v>
      </c>
      <c r="D1168" s="181" t="s">
        <v>577</v>
      </c>
      <c r="E1168" s="181" t="str">
        <f t="shared" si="39"/>
        <v/>
      </c>
    </row>
    <row r="1169" spans="3:5">
      <c r="C1169" s="181" t="s">
        <v>577</v>
      </c>
      <c r="D1169" s="181" t="s">
        <v>577</v>
      </c>
      <c r="E1169" s="181" t="str">
        <f t="shared" si="39"/>
        <v/>
      </c>
    </row>
    <row r="1170" spans="3:5">
      <c r="C1170" s="181" t="s">
        <v>577</v>
      </c>
      <c r="D1170" s="181" t="s">
        <v>577</v>
      </c>
      <c r="E1170" s="181" t="str">
        <f t="shared" si="39"/>
        <v/>
      </c>
    </row>
    <row r="1171" spans="3:5">
      <c r="C1171" s="181" t="s">
        <v>577</v>
      </c>
      <c r="D1171" s="181" t="s">
        <v>577</v>
      </c>
      <c r="E1171" s="181" t="str">
        <f t="shared" si="39"/>
        <v/>
      </c>
    </row>
    <row r="1172" spans="3:5">
      <c r="C1172" s="181" t="s">
        <v>577</v>
      </c>
      <c r="D1172" s="181" t="s">
        <v>577</v>
      </c>
      <c r="E1172" s="181" t="str">
        <f t="shared" si="39"/>
        <v/>
      </c>
    </row>
    <row r="1173" spans="3:5">
      <c r="C1173" s="181" t="s">
        <v>577</v>
      </c>
      <c r="D1173" s="181" t="s">
        <v>577</v>
      </c>
      <c r="E1173" s="181" t="str">
        <f t="shared" si="39"/>
        <v/>
      </c>
    </row>
    <row r="1174" spans="3:5">
      <c r="C1174" s="181" t="s">
        <v>577</v>
      </c>
      <c r="D1174" s="181" t="s">
        <v>577</v>
      </c>
      <c r="E1174" s="181" t="str">
        <f t="shared" si="39"/>
        <v/>
      </c>
    </row>
    <row r="1175" spans="3:5">
      <c r="C1175" s="181" t="s">
        <v>577</v>
      </c>
      <c r="D1175" s="181" t="s">
        <v>577</v>
      </c>
      <c r="E1175" s="181" t="str">
        <f t="shared" si="39"/>
        <v/>
      </c>
    </row>
    <row r="1176" spans="3:5">
      <c r="C1176" s="181" t="s">
        <v>577</v>
      </c>
      <c r="D1176" s="181" t="s">
        <v>577</v>
      </c>
      <c r="E1176" s="181" t="str">
        <f t="shared" si="39"/>
        <v/>
      </c>
    </row>
    <row r="1177" spans="3:5">
      <c r="C1177" s="181" t="s">
        <v>577</v>
      </c>
      <c r="D1177" s="181" t="s">
        <v>577</v>
      </c>
      <c r="E1177" s="181" t="str">
        <f t="shared" si="39"/>
        <v/>
      </c>
    </row>
    <row r="1178" spans="3:5">
      <c r="C1178" s="181" t="s">
        <v>577</v>
      </c>
      <c r="D1178" s="181" t="s">
        <v>577</v>
      </c>
      <c r="E1178" s="181" t="str">
        <f t="shared" si="39"/>
        <v/>
      </c>
    </row>
    <row r="1179" spans="3:5">
      <c r="C1179" s="181" t="s">
        <v>577</v>
      </c>
      <c r="D1179" s="181" t="s">
        <v>577</v>
      </c>
      <c r="E1179" s="181" t="str">
        <f t="shared" si="39"/>
        <v/>
      </c>
    </row>
    <row r="1180" spans="3:5">
      <c r="C1180" s="181" t="s">
        <v>577</v>
      </c>
      <c r="D1180" s="181" t="s">
        <v>577</v>
      </c>
      <c r="E1180" s="181" t="str">
        <f t="shared" si="39"/>
        <v/>
      </c>
    </row>
    <row r="1181" spans="3:5">
      <c r="C1181" s="181" t="s">
        <v>577</v>
      </c>
      <c r="D1181" s="181" t="s">
        <v>577</v>
      </c>
      <c r="E1181" s="181" t="str">
        <f t="shared" si="39"/>
        <v/>
      </c>
    </row>
    <row r="1182" spans="3:5">
      <c r="C1182" s="181" t="s">
        <v>577</v>
      </c>
      <c r="D1182" s="181" t="s">
        <v>577</v>
      </c>
      <c r="E1182" s="181" t="str">
        <f t="shared" si="39"/>
        <v/>
      </c>
    </row>
    <row r="1183" spans="3:5">
      <c r="C1183" s="181" t="s">
        <v>577</v>
      </c>
      <c r="D1183" s="181" t="s">
        <v>577</v>
      </c>
      <c r="E1183" s="181" t="str">
        <f t="shared" si="39"/>
        <v/>
      </c>
    </row>
    <row r="1184" spans="3:5">
      <c r="C1184" s="181" t="s">
        <v>577</v>
      </c>
      <c r="D1184" s="181" t="s">
        <v>577</v>
      </c>
      <c r="E1184" s="181" t="str">
        <f t="shared" si="39"/>
        <v/>
      </c>
    </row>
    <row r="1185" spans="3:5">
      <c r="C1185" s="181" t="s">
        <v>577</v>
      </c>
      <c r="D1185" s="181" t="s">
        <v>577</v>
      </c>
      <c r="E1185" s="181" t="str">
        <f t="shared" si="39"/>
        <v/>
      </c>
    </row>
    <row r="1186" spans="3:5">
      <c r="C1186" s="181" t="s">
        <v>577</v>
      </c>
      <c r="D1186" s="181" t="s">
        <v>577</v>
      </c>
      <c r="E1186" s="181" t="str">
        <f t="shared" si="39"/>
        <v/>
      </c>
    </row>
    <row r="1187" spans="3:5">
      <c r="C1187" s="181" t="s">
        <v>577</v>
      </c>
      <c r="D1187" s="181" t="s">
        <v>577</v>
      </c>
      <c r="E1187" s="181" t="str">
        <f t="shared" si="39"/>
        <v/>
      </c>
    </row>
    <row r="1188" spans="3:5">
      <c r="C1188" s="181" t="s">
        <v>577</v>
      </c>
      <c r="D1188" s="181" t="s">
        <v>577</v>
      </c>
      <c r="E1188" s="181" t="str">
        <f t="shared" si="39"/>
        <v/>
      </c>
    </row>
    <row r="1189" spans="3:5">
      <c r="C1189" s="181" t="s">
        <v>577</v>
      </c>
      <c r="D1189" s="181" t="s">
        <v>577</v>
      </c>
      <c r="E1189" s="181" t="str">
        <f t="shared" si="39"/>
        <v/>
      </c>
    </row>
    <row r="1190" spans="3:5">
      <c r="C1190" s="181" t="s">
        <v>577</v>
      </c>
      <c r="D1190" s="181" t="s">
        <v>577</v>
      </c>
      <c r="E1190" s="181" t="str">
        <f t="shared" si="39"/>
        <v/>
      </c>
    </row>
    <row r="1191" spans="3:5">
      <c r="C1191" s="181" t="s">
        <v>577</v>
      </c>
      <c r="D1191" s="181" t="s">
        <v>577</v>
      </c>
      <c r="E1191" s="181" t="str">
        <f t="shared" si="39"/>
        <v/>
      </c>
    </row>
    <row r="1192" spans="3:5">
      <c r="C1192" s="181" t="s">
        <v>577</v>
      </c>
      <c r="D1192" s="181" t="s">
        <v>577</v>
      </c>
      <c r="E1192" s="181" t="str">
        <f t="shared" si="39"/>
        <v/>
      </c>
    </row>
    <row r="1193" spans="3:5">
      <c r="C1193" s="181" t="s">
        <v>577</v>
      </c>
      <c r="D1193" s="181" t="s">
        <v>577</v>
      </c>
      <c r="E1193" s="181" t="str">
        <f t="shared" si="39"/>
        <v/>
      </c>
    </row>
    <row r="1194" spans="3:5">
      <c r="C1194" s="181" t="s">
        <v>577</v>
      </c>
      <c r="D1194" s="181" t="s">
        <v>577</v>
      </c>
      <c r="E1194" s="181" t="str">
        <f t="shared" si="39"/>
        <v/>
      </c>
    </row>
    <row r="1195" spans="3:5">
      <c r="C1195" s="181" t="s">
        <v>577</v>
      </c>
      <c r="D1195" s="181" t="s">
        <v>577</v>
      </c>
      <c r="E1195" s="181" t="str">
        <f t="shared" si="39"/>
        <v/>
      </c>
    </row>
    <row r="1196" spans="3:5">
      <c r="C1196" s="181" t="s">
        <v>577</v>
      </c>
      <c r="D1196" s="181" t="s">
        <v>577</v>
      </c>
      <c r="E1196" s="181" t="str">
        <f t="shared" si="39"/>
        <v/>
      </c>
    </row>
    <row r="1197" spans="3:5">
      <c r="C1197" s="181" t="s">
        <v>577</v>
      </c>
      <c r="D1197" s="181" t="s">
        <v>577</v>
      </c>
      <c r="E1197" s="181" t="str">
        <f t="shared" si="39"/>
        <v/>
      </c>
    </row>
    <row r="1198" spans="3:5">
      <c r="C1198" s="181" t="s">
        <v>577</v>
      </c>
      <c r="D1198" s="181" t="s">
        <v>577</v>
      </c>
      <c r="E1198" s="181" t="str">
        <f t="shared" si="39"/>
        <v/>
      </c>
    </row>
    <row r="1199" spans="3:5">
      <c r="C1199" s="181" t="s">
        <v>577</v>
      </c>
      <c r="D1199" s="181" t="s">
        <v>577</v>
      </c>
      <c r="E1199" s="181" t="str">
        <f t="shared" si="39"/>
        <v/>
      </c>
    </row>
    <row r="1200" spans="3:5">
      <c r="C1200" s="181" t="s">
        <v>577</v>
      </c>
      <c r="D1200" s="181" t="s">
        <v>577</v>
      </c>
      <c r="E1200" s="181" t="str">
        <f t="shared" si="39"/>
        <v/>
      </c>
    </row>
    <row r="1201" spans="3:5">
      <c r="C1201" s="181" t="s">
        <v>577</v>
      </c>
      <c r="D1201" s="181" t="s">
        <v>577</v>
      </c>
      <c r="E1201" s="181" t="str">
        <f t="shared" si="39"/>
        <v/>
      </c>
    </row>
    <row r="1202" spans="3:5">
      <c r="C1202" s="181" t="s">
        <v>577</v>
      </c>
      <c r="D1202" s="181" t="s">
        <v>577</v>
      </c>
      <c r="E1202" s="181" t="str">
        <f t="shared" si="39"/>
        <v/>
      </c>
    </row>
    <row r="1203" spans="3:5">
      <c r="C1203" s="181" t="s">
        <v>577</v>
      </c>
      <c r="D1203" s="181" t="s">
        <v>577</v>
      </c>
      <c r="E1203" s="181" t="str">
        <f t="shared" si="39"/>
        <v/>
      </c>
    </row>
    <row r="1204" spans="3:5">
      <c r="C1204" s="181" t="s">
        <v>577</v>
      </c>
      <c r="D1204" s="181" t="s">
        <v>577</v>
      </c>
      <c r="E1204" s="181" t="str">
        <f t="shared" si="39"/>
        <v/>
      </c>
    </row>
    <row r="1205" spans="3:5">
      <c r="C1205" s="181" t="s">
        <v>577</v>
      </c>
      <c r="D1205" s="181" t="s">
        <v>577</v>
      </c>
      <c r="E1205" s="181" t="str">
        <f t="shared" si="39"/>
        <v/>
      </c>
    </row>
    <row r="1206" spans="3:5">
      <c r="C1206" s="181" t="s">
        <v>577</v>
      </c>
      <c r="D1206" s="181" t="s">
        <v>577</v>
      </c>
      <c r="E1206" s="181" t="str">
        <f t="shared" si="39"/>
        <v/>
      </c>
    </row>
    <row r="1207" spans="3:5">
      <c r="C1207" s="181" t="s">
        <v>577</v>
      </c>
      <c r="D1207" s="181" t="s">
        <v>577</v>
      </c>
      <c r="E1207" s="181" t="str">
        <f t="shared" si="39"/>
        <v/>
      </c>
    </row>
    <row r="1208" spans="3:5">
      <c r="C1208" s="181" t="s">
        <v>577</v>
      </c>
      <c r="D1208" s="181" t="s">
        <v>577</v>
      </c>
      <c r="E1208" s="181" t="str">
        <f t="shared" si="39"/>
        <v/>
      </c>
    </row>
    <row r="1209" spans="3:5">
      <c r="C1209" s="181" t="s">
        <v>577</v>
      </c>
      <c r="D1209" s="181" t="s">
        <v>577</v>
      </c>
      <c r="E1209" s="181" t="str">
        <f t="shared" si="39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3"/>
    <col min="11" max="16384" width="11.42578125" style="168"/>
  </cols>
  <sheetData>
    <row r="2" spans="2:11">
      <c r="B2" s="151" t="s">
        <v>26</v>
      </c>
    </row>
    <row r="3" spans="2:11" ht="22.5">
      <c r="B3" s="244" t="s">
        <v>30</v>
      </c>
      <c r="C3" s="245" t="s">
        <v>31</v>
      </c>
      <c r="D3" s="267" t="s">
        <v>136</v>
      </c>
      <c r="E3" s="246" t="s">
        <v>32</v>
      </c>
      <c r="F3" s="246" t="s">
        <v>33</v>
      </c>
      <c r="G3" s="245" t="s">
        <v>34</v>
      </c>
      <c r="H3" s="247"/>
      <c r="I3" s="248"/>
      <c r="J3" s="249"/>
    </row>
    <row r="4" spans="2:11">
      <c r="B4" s="250" t="s">
        <v>160</v>
      </c>
      <c r="C4" s="251" t="s">
        <v>161</v>
      </c>
      <c r="D4" s="252"/>
      <c r="E4" s="253">
        <f>Dat_02!C3</f>
        <v>90.406102360286781</v>
      </c>
      <c r="F4" s="253">
        <f>Dat_02!D3</f>
        <v>101.95753277636452</v>
      </c>
      <c r="G4" s="253">
        <f>Dat_02!E3</f>
        <v>90.406102360286781</v>
      </c>
      <c r="I4" s="254">
        <f>Dat_02!G3</f>
        <v>0</v>
      </c>
      <c r="J4" s="266" t="str">
        <f>IF(Dat_02!H3=0,"",Dat_02!H3)</f>
        <v/>
      </c>
      <c r="K4" s="168" t="str">
        <f>IF(J4=0,"",J4)</f>
        <v/>
      </c>
    </row>
    <row r="5" spans="2:11">
      <c r="B5" s="252"/>
      <c r="C5" s="251" t="s">
        <v>162</v>
      </c>
      <c r="D5" s="252"/>
      <c r="E5" s="253">
        <f>Dat_02!C4</f>
        <v>84.877445290285849</v>
      </c>
      <c r="F5" s="253">
        <f>Dat_02!D4</f>
        <v>101.95753277636452</v>
      </c>
      <c r="G5" s="253">
        <f>Dat_02!E4</f>
        <v>84.877445290285849</v>
      </c>
      <c r="I5" s="254">
        <f>Dat_02!G4</f>
        <v>0</v>
      </c>
      <c r="J5" s="266" t="str">
        <f>IF(Dat_02!H4=0,"",Dat_02!H4)</f>
        <v/>
      </c>
    </row>
    <row r="6" spans="2:11">
      <c r="B6" s="250"/>
      <c r="C6" s="251" t="s">
        <v>163</v>
      </c>
      <c r="D6" s="250"/>
      <c r="E6" s="253">
        <f>Dat_02!C5</f>
        <v>108.38442733628585</v>
      </c>
      <c r="F6" s="253">
        <f>Dat_02!D5</f>
        <v>101.95753277636452</v>
      </c>
      <c r="G6" s="253">
        <f>Dat_02!E5</f>
        <v>101.95753277636452</v>
      </c>
      <c r="I6" s="254">
        <f>Dat_02!G5</f>
        <v>0</v>
      </c>
      <c r="J6" s="266" t="str">
        <f>IF(Dat_02!H5=0,"",Dat_02!H5)</f>
        <v/>
      </c>
    </row>
    <row r="7" spans="2:11">
      <c r="B7" s="250"/>
      <c r="C7" s="251" t="s">
        <v>164</v>
      </c>
      <c r="D7" s="250"/>
      <c r="E7" s="253">
        <f>Dat_02!C6</f>
        <v>126.39369236228585</v>
      </c>
      <c r="F7" s="253">
        <f>Dat_02!D6</f>
        <v>101.95753277636452</v>
      </c>
      <c r="G7" s="253">
        <f>Dat_02!E6</f>
        <v>101.95753277636452</v>
      </c>
      <c r="I7" s="254">
        <f>Dat_02!G6</f>
        <v>0</v>
      </c>
      <c r="J7" s="266" t="str">
        <f>IF(Dat_02!H6=0,"",Dat_02!H6)</f>
        <v/>
      </c>
    </row>
    <row r="8" spans="2:11">
      <c r="B8" s="250"/>
      <c r="C8" s="251" t="s">
        <v>165</v>
      </c>
      <c r="D8" s="250"/>
      <c r="E8" s="253">
        <f>Dat_02!C7</f>
        <v>87.530024344428583</v>
      </c>
      <c r="F8" s="253">
        <f>Dat_02!D7</f>
        <v>101.95753277636452</v>
      </c>
      <c r="G8" s="253">
        <f>Dat_02!E7</f>
        <v>87.530024344428583</v>
      </c>
      <c r="I8" s="254">
        <f>Dat_02!G7</f>
        <v>0</v>
      </c>
      <c r="J8" s="266" t="str">
        <f>IF(Dat_02!H7=0,"",Dat_02!H7)</f>
        <v/>
      </c>
    </row>
    <row r="9" spans="2:11">
      <c r="B9" s="250"/>
      <c r="C9" s="251" t="s">
        <v>166</v>
      </c>
      <c r="D9" s="250"/>
      <c r="E9" s="253">
        <f>Dat_02!C8</f>
        <v>77.79707729442859</v>
      </c>
      <c r="F9" s="253">
        <f>Dat_02!D8</f>
        <v>101.95753277636452</v>
      </c>
      <c r="G9" s="253">
        <f>Dat_02!E8</f>
        <v>77.79707729442859</v>
      </c>
      <c r="I9" s="254">
        <f>Dat_02!G8</f>
        <v>0</v>
      </c>
      <c r="J9" s="266" t="str">
        <f>IF(Dat_02!H8=0,"",Dat_02!H8)</f>
        <v/>
      </c>
    </row>
    <row r="10" spans="2:11">
      <c r="B10" s="250"/>
      <c r="C10" s="251" t="s">
        <v>167</v>
      </c>
      <c r="D10" s="250"/>
      <c r="E10" s="253">
        <f>Dat_02!C9</f>
        <v>62.221405000428589</v>
      </c>
      <c r="F10" s="253">
        <f>Dat_02!D9</f>
        <v>101.95753277636452</v>
      </c>
      <c r="G10" s="253">
        <f>Dat_02!E9</f>
        <v>62.221405000428589</v>
      </c>
      <c r="I10" s="254">
        <f>Dat_02!G9</f>
        <v>0</v>
      </c>
      <c r="J10" s="266" t="str">
        <f>IF(Dat_02!H9=0,"",Dat_02!H9)</f>
        <v/>
      </c>
    </row>
    <row r="11" spans="2:11">
      <c r="B11" s="250"/>
      <c r="C11" s="251" t="s">
        <v>168</v>
      </c>
      <c r="D11" s="250"/>
      <c r="E11" s="253">
        <f>Dat_02!C10</f>
        <v>55.722765724428598</v>
      </c>
      <c r="F11" s="253">
        <f>Dat_02!D10</f>
        <v>101.95753277636452</v>
      </c>
      <c r="G11" s="253">
        <f>Dat_02!E10</f>
        <v>55.722765724428598</v>
      </c>
      <c r="I11" s="254">
        <f>Dat_02!G10</f>
        <v>0</v>
      </c>
      <c r="J11" s="266" t="str">
        <f>IF(Dat_02!H10=0,"",Dat_02!H10)</f>
        <v/>
      </c>
    </row>
    <row r="12" spans="2:11">
      <c r="B12" s="250"/>
      <c r="C12" s="251" t="s">
        <v>169</v>
      </c>
      <c r="D12" s="250"/>
      <c r="E12" s="253">
        <f>Dat_02!C11</f>
        <v>55.570950698428589</v>
      </c>
      <c r="F12" s="253">
        <f>Dat_02!D11</f>
        <v>101.95753277636452</v>
      </c>
      <c r="G12" s="253">
        <f>Dat_02!E11</f>
        <v>55.570950698428589</v>
      </c>
      <c r="I12" s="254">
        <f>Dat_02!G11</f>
        <v>0</v>
      </c>
      <c r="J12" s="266" t="str">
        <f>IF(Dat_02!H11=0,"",Dat_02!H11)</f>
        <v/>
      </c>
    </row>
    <row r="13" spans="2:11">
      <c r="B13" s="250"/>
      <c r="C13" s="251" t="s">
        <v>170</v>
      </c>
      <c r="D13" s="250"/>
      <c r="E13" s="253">
        <f>Dat_02!C12</f>
        <v>67.086032550428584</v>
      </c>
      <c r="F13" s="253">
        <f>Dat_02!D12</f>
        <v>101.95753277636452</v>
      </c>
      <c r="G13" s="253">
        <f>Dat_02!E12</f>
        <v>67.086032550428584</v>
      </c>
      <c r="I13" s="254">
        <f>Dat_02!G12</f>
        <v>0</v>
      </c>
      <c r="J13" s="266" t="str">
        <f>IF(Dat_02!H12=0,"",Dat_02!H12)</f>
        <v/>
      </c>
    </row>
    <row r="14" spans="2:11">
      <c r="B14" s="250"/>
      <c r="C14" s="251" t="s">
        <v>171</v>
      </c>
      <c r="D14" s="250"/>
      <c r="E14" s="253">
        <f>Dat_02!C13</f>
        <v>96.116496704428585</v>
      </c>
      <c r="F14" s="253">
        <f>Dat_02!D13</f>
        <v>101.95753277636452</v>
      </c>
      <c r="G14" s="253">
        <f>Dat_02!E13</f>
        <v>96.116496704428585</v>
      </c>
      <c r="I14" s="254">
        <f>Dat_02!G13</f>
        <v>0</v>
      </c>
      <c r="J14" s="266" t="str">
        <f>IF(Dat_02!H13=0,"",Dat_02!H13)</f>
        <v/>
      </c>
    </row>
    <row r="15" spans="2:11">
      <c r="B15" s="250"/>
      <c r="C15" s="251" t="s">
        <v>172</v>
      </c>
      <c r="D15" s="250"/>
      <c r="E15" s="253">
        <f>Dat_02!C14</f>
        <v>108.89356766227644</v>
      </c>
      <c r="F15" s="253">
        <f>Dat_02!D14</f>
        <v>101.95753277636452</v>
      </c>
      <c r="G15" s="253">
        <f>Dat_02!E14</f>
        <v>101.95753277636452</v>
      </c>
      <c r="I15" s="254">
        <f>Dat_02!G14</f>
        <v>0</v>
      </c>
      <c r="J15" s="266" t="str">
        <f>IF(Dat_02!H14=0,"",Dat_02!H14)</f>
        <v/>
      </c>
    </row>
    <row r="16" spans="2:11">
      <c r="B16" s="250"/>
      <c r="C16" s="251" t="s">
        <v>173</v>
      </c>
      <c r="D16" s="250"/>
      <c r="E16" s="253">
        <f>Dat_02!C15</f>
        <v>84.367956072275518</v>
      </c>
      <c r="F16" s="253">
        <f>Dat_02!D15</f>
        <v>101.95753277636452</v>
      </c>
      <c r="G16" s="253">
        <f>Dat_02!E15</f>
        <v>84.367956072275518</v>
      </c>
      <c r="I16" s="254">
        <f>Dat_02!G15</f>
        <v>0</v>
      </c>
      <c r="J16" s="266" t="str">
        <f>IF(Dat_02!H15=0,"",Dat_02!H15)</f>
        <v/>
      </c>
    </row>
    <row r="17" spans="2:10">
      <c r="B17" s="250"/>
      <c r="C17" s="251" t="s">
        <v>174</v>
      </c>
      <c r="D17" s="250"/>
      <c r="E17" s="253">
        <f>Dat_02!C16</f>
        <v>86.439192054275509</v>
      </c>
      <c r="F17" s="253">
        <f>Dat_02!D16</f>
        <v>101.95753277636452</v>
      </c>
      <c r="G17" s="253">
        <f>Dat_02!E16</f>
        <v>86.439192054275509</v>
      </c>
      <c r="I17" s="254">
        <f>Dat_02!G16</f>
        <v>0</v>
      </c>
      <c r="J17" s="266" t="str">
        <f>IF(Dat_02!H16=0,"",Dat_02!H16)</f>
        <v/>
      </c>
    </row>
    <row r="18" spans="2:10">
      <c r="B18" s="250"/>
      <c r="C18" s="251" t="s">
        <v>175</v>
      </c>
      <c r="D18" s="250"/>
      <c r="E18" s="253">
        <f>Dat_02!C17</f>
        <v>74.558017642275516</v>
      </c>
      <c r="F18" s="253">
        <f>Dat_02!D17</f>
        <v>101.95753277636452</v>
      </c>
      <c r="G18" s="253">
        <f>Dat_02!E17</f>
        <v>74.558017642275516</v>
      </c>
      <c r="I18" s="254">
        <f>Dat_02!G17</f>
        <v>101.95753277636452</v>
      </c>
      <c r="J18" s="266" t="str">
        <f>IF(Dat_02!H17=0,"",Dat_02!H17)</f>
        <v/>
      </c>
    </row>
    <row r="19" spans="2:10">
      <c r="B19" s="250"/>
      <c r="C19" s="251" t="s">
        <v>176</v>
      </c>
      <c r="D19" s="250"/>
      <c r="E19" s="253">
        <f>Dat_02!C18</f>
        <v>69.979588598275512</v>
      </c>
      <c r="F19" s="253">
        <f>Dat_02!D18</f>
        <v>101.95753277636452</v>
      </c>
      <c r="G19" s="253">
        <f>Dat_02!E18</f>
        <v>69.979588598275512</v>
      </c>
      <c r="I19" s="254">
        <f>Dat_02!G18</f>
        <v>0</v>
      </c>
      <c r="J19" s="266" t="str">
        <f>IF(Dat_02!H18=0,"",Dat_02!H18)</f>
        <v/>
      </c>
    </row>
    <row r="20" spans="2:10">
      <c r="B20" s="250"/>
      <c r="C20" s="251" t="s">
        <v>177</v>
      </c>
      <c r="D20" s="250"/>
      <c r="E20" s="253">
        <f>Dat_02!C19</f>
        <v>111.35579548227645</v>
      </c>
      <c r="F20" s="253">
        <f>Dat_02!D19</f>
        <v>101.95753277636452</v>
      </c>
      <c r="G20" s="253">
        <f>Dat_02!E19</f>
        <v>101.95753277636452</v>
      </c>
      <c r="I20" s="254">
        <f>Dat_02!G19</f>
        <v>0</v>
      </c>
      <c r="J20" s="266" t="str">
        <f>IF(Dat_02!H19=0,"",Dat_02!H19)</f>
        <v/>
      </c>
    </row>
    <row r="21" spans="2:10">
      <c r="B21" s="250"/>
      <c r="C21" s="251" t="s">
        <v>178</v>
      </c>
      <c r="D21" s="250"/>
      <c r="E21" s="253">
        <f>Dat_02!C20</f>
        <v>93.976316482275507</v>
      </c>
      <c r="F21" s="253">
        <f>Dat_02!D20</f>
        <v>101.95753277636452</v>
      </c>
      <c r="G21" s="253">
        <f>Dat_02!E20</f>
        <v>93.976316482275507</v>
      </c>
      <c r="I21" s="254">
        <f>Dat_02!G20</f>
        <v>0</v>
      </c>
      <c r="J21" s="266" t="str">
        <f>IF(Dat_02!H20=0,"",Dat_02!H20)</f>
        <v/>
      </c>
    </row>
    <row r="22" spans="2:10">
      <c r="B22" s="250"/>
      <c r="C22" s="251" t="s">
        <v>179</v>
      </c>
      <c r="D22" s="250"/>
      <c r="E22" s="253">
        <f>Dat_02!C21</f>
        <v>100.39496794998715</v>
      </c>
      <c r="F22" s="253">
        <f>Dat_02!D21</f>
        <v>101.95753277636452</v>
      </c>
      <c r="G22" s="253">
        <f>Dat_02!E21</f>
        <v>100.39496794998715</v>
      </c>
      <c r="I22" s="254">
        <f>Dat_02!G21</f>
        <v>0</v>
      </c>
      <c r="J22" s="266" t="str">
        <f>IF(Dat_02!H21=0,"",Dat_02!H21)</f>
        <v/>
      </c>
    </row>
    <row r="23" spans="2:10">
      <c r="B23" s="250"/>
      <c r="C23" s="251" t="s">
        <v>180</v>
      </c>
      <c r="D23" s="250"/>
      <c r="E23" s="253">
        <f>Dat_02!C22</f>
        <v>105.42220162998713</v>
      </c>
      <c r="F23" s="253">
        <f>Dat_02!D22</f>
        <v>101.95753277636452</v>
      </c>
      <c r="G23" s="253">
        <f>Dat_02!E22</f>
        <v>101.95753277636452</v>
      </c>
      <c r="I23" s="254">
        <f>Dat_02!G22</f>
        <v>0</v>
      </c>
      <c r="J23" s="266" t="str">
        <f>IF(Dat_02!H22=0,"",Dat_02!H22)</f>
        <v/>
      </c>
    </row>
    <row r="24" spans="2:10">
      <c r="B24" s="250"/>
      <c r="C24" s="251" t="s">
        <v>181</v>
      </c>
      <c r="D24" s="250"/>
      <c r="E24" s="253">
        <f>Dat_02!C23</f>
        <v>94.193360369987133</v>
      </c>
      <c r="F24" s="253">
        <f>Dat_02!D23</f>
        <v>101.95753277636452</v>
      </c>
      <c r="G24" s="253">
        <f>Dat_02!E23</f>
        <v>94.193360369987133</v>
      </c>
      <c r="I24" s="254">
        <f>Dat_02!G23</f>
        <v>0</v>
      </c>
      <c r="J24" s="266" t="str">
        <f>IF(Dat_02!H23=0,"",Dat_02!H23)</f>
        <v/>
      </c>
    </row>
    <row r="25" spans="2:10">
      <c r="B25" s="250"/>
      <c r="C25" s="251" t="s">
        <v>182</v>
      </c>
      <c r="D25" s="250"/>
      <c r="E25" s="253">
        <f>Dat_02!C24</f>
        <v>95.961340389987129</v>
      </c>
      <c r="F25" s="253">
        <f>Dat_02!D24</f>
        <v>101.95753277636452</v>
      </c>
      <c r="G25" s="253">
        <f>Dat_02!E24</f>
        <v>95.961340389987129</v>
      </c>
      <c r="I25" s="254">
        <f>Dat_02!G24</f>
        <v>0</v>
      </c>
      <c r="J25" s="266" t="str">
        <f>IF(Dat_02!H24=0,"",Dat_02!H24)</f>
        <v/>
      </c>
    </row>
    <row r="26" spans="2:10">
      <c r="B26" s="250"/>
      <c r="C26" s="251" t="s">
        <v>183</v>
      </c>
      <c r="D26" s="250"/>
      <c r="E26" s="253">
        <f>Dat_02!C25</f>
        <v>90.140903709987128</v>
      </c>
      <c r="F26" s="253">
        <f>Dat_02!D25</f>
        <v>101.95753277636452</v>
      </c>
      <c r="G26" s="253">
        <f>Dat_02!E25</f>
        <v>90.140903709987128</v>
      </c>
      <c r="I26" s="254">
        <f>Dat_02!G25</f>
        <v>0</v>
      </c>
      <c r="J26" s="266" t="str">
        <f>IF(Dat_02!H25=0,"",Dat_02!H25)</f>
        <v/>
      </c>
    </row>
    <row r="27" spans="2:10">
      <c r="B27" s="250"/>
      <c r="C27" s="251" t="s">
        <v>184</v>
      </c>
      <c r="D27" s="250"/>
      <c r="E27" s="253">
        <f>Dat_02!C26</f>
        <v>92.598722409987133</v>
      </c>
      <c r="F27" s="253">
        <f>Dat_02!D26</f>
        <v>101.95753277636452</v>
      </c>
      <c r="G27" s="253">
        <f>Dat_02!E26</f>
        <v>92.598722409987133</v>
      </c>
      <c r="I27" s="254">
        <f>Dat_02!G26</f>
        <v>0</v>
      </c>
      <c r="J27" s="266" t="str">
        <f>IF(Dat_02!H26=0,"",Dat_02!H26)</f>
        <v/>
      </c>
    </row>
    <row r="28" spans="2:10">
      <c r="B28" s="250"/>
      <c r="C28" s="251" t="s">
        <v>185</v>
      </c>
      <c r="D28" s="250"/>
      <c r="E28" s="253">
        <f>Dat_02!C27</f>
        <v>78.200598777987139</v>
      </c>
      <c r="F28" s="253">
        <f>Dat_02!D27</f>
        <v>101.95753277636452</v>
      </c>
      <c r="G28" s="253">
        <f>Dat_02!E27</f>
        <v>78.200598777987139</v>
      </c>
      <c r="I28" s="254">
        <f>Dat_02!G27</f>
        <v>0</v>
      </c>
      <c r="J28" s="266" t="str">
        <f>IF(Dat_02!H27=0,"",Dat_02!H27)</f>
        <v/>
      </c>
    </row>
    <row r="29" spans="2:10">
      <c r="B29" s="250"/>
      <c r="C29" s="251" t="s">
        <v>186</v>
      </c>
      <c r="D29" s="250"/>
      <c r="E29" s="253">
        <f>Dat_02!C28</f>
        <v>80.392952800517691</v>
      </c>
      <c r="F29" s="253">
        <f>Dat_02!D28</f>
        <v>101.95753277636452</v>
      </c>
      <c r="G29" s="253">
        <f>Dat_02!E28</f>
        <v>80.392952800517691</v>
      </c>
      <c r="I29" s="254">
        <f>Dat_02!G28</f>
        <v>0</v>
      </c>
      <c r="J29" s="266" t="str">
        <f>IF(Dat_02!H28=0,"",Dat_02!H28)</f>
        <v/>
      </c>
    </row>
    <row r="30" spans="2:10">
      <c r="B30" s="250"/>
      <c r="C30" s="251" t="s">
        <v>187</v>
      </c>
      <c r="D30" s="250"/>
      <c r="E30" s="253">
        <f>Dat_02!C29</f>
        <v>100.61535695651676</v>
      </c>
      <c r="F30" s="253">
        <f>Dat_02!D29</f>
        <v>101.95753277636452</v>
      </c>
      <c r="G30" s="253">
        <f>Dat_02!E29</f>
        <v>100.61535695651676</v>
      </c>
      <c r="I30" s="254">
        <f>Dat_02!G29</f>
        <v>0</v>
      </c>
      <c r="J30" s="266" t="str">
        <f>IF(Dat_02!H29=0,"",Dat_02!H29)</f>
        <v/>
      </c>
    </row>
    <row r="31" spans="2:10">
      <c r="B31" s="250"/>
      <c r="C31" s="251" t="s">
        <v>188</v>
      </c>
      <c r="D31" s="250"/>
      <c r="E31" s="253">
        <f>Dat_02!C30</f>
        <v>78.507003536517686</v>
      </c>
      <c r="F31" s="253">
        <f>Dat_02!D30</f>
        <v>101.95753277636452</v>
      </c>
      <c r="G31" s="253">
        <f>Dat_02!E30</f>
        <v>78.507003536517686</v>
      </c>
      <c r="I31" s="254">
        <f>Dat_02!G30</f>
        <v>0</v>
      </c>
      <c r="J31" s="266" t="str">
        <f>IF(Dat_02!H30=0,"",Dat_02!H30)</f>
        <v/>
      </c>
    </row>
    <row r="32" spans="2:10">
      <c r="B32" s="250"/>
      <c r="C32" s="251" t="s">
        <v>189</v>
      </c>
      <c r="D32" s="250"/>
      <c r="E32" s="253">
        <f>Dat_02!C31</f>
        <v>61.730001186517676</v>
      </c>
      <c r="F32" s="253">
        <f>Dat_02!D31</f>
        <v>101.95753277636452</v>
      </c>
      <c r="G32" s="253">
        <f>Dat_02!E31</f>
        <v>61.730001186517676</v>
      </c>
      <c r="I32" s="254">
        <f>Dat_02!G31</f>
        <v>0</v>
      </c>
      <c r="J32" s="266" t="str">
        <f>IF(Dat_02!H31=0,"",Dat_02!H31)</f>
        <v/>
      </c>
    </row>
    <row r="33" spans="2:10">
      <c r="B33" s="250"/>
      <c r="C33" s="251" t="s">
        <v>190</v>
      </c>
      <c r="D33" s="250"/>
      <c r="E33" s="253">
        <f>Dat_02!C32</f>
        <v>62.125770364517678</v>
      </c>
      <c r="F33" s="253">
        <f>Dat_02!D32</f>
        <v>101.95753277636452</v>
      </c>
      <c r="G33" s="253">
        <f>Dat_02!E32</f>
        <v>62.125770364517678</v>
      </c>
      <c r="I33" s="254">
        <f>Dat_02!G32</f>
        <v>0</v>
      </c>
      <c r="J33" s="266" t="str">
        <f>IF(Dat_02!H32=0,"",Dat_02!H32)</f>
        <v/>
      </c>
    </row>
    <row r="34" spans="2:10">
      <c r="B34" s="250"/>
      <c r="C34" s="251" t="s">
        <v>191</v>
      </c>
      <c r="D34" s="252"/>
      <c r="E34" s="253">
        <f>Dat_02!C33</f>
        <v>67.709005472517688</v>
      </c>
      <c r="F34" s="253">
        <f>Dat_02!D33</f>
        <v>101.95753277636452</v>
      </c>
      <c r="G34" s="253">
        <f>Dat_02!E33</f>
        <v>67.709005472517688</v>
      </c>
      <c r="I34" s="254">
        <f>Dat_02!G33</f>
        <v>0</v>
      </c>
      <c r="J34" s="266" t="str">
        <f>IF(Dat_02!H33=0,"",Dat_02!H33)</f>
        <v/>
      </c>
    </row>
    <row r="35" spans="2:10">
      <c r="B35" s="252" t="s">
        <v>192</v>
      </c>
      <c r="C35" s="251" t="s">
        <v>193</v>
      </c>
      <c r="D35" s="252"/>
      <c r="E35" s="253">
        <f>Dat_02!C34</f>
        <v>48.123127146517682</v>
      </c>
      <c r="F35" s="253">
        <f>Dat_02!D34</f>
        <v>120.59631724353227</v>
      </c>
      <c r="G35" s="253">
        <f>Dat_02!E34</f>
        <v>48.123127146517682</v>
      </c>
      <c r="I35" s="254">
        <f>Dat_02!G34</f>
        <v>0</v>
      </c>
      <c r="J35" s="266" t="str">
        <f>IF(Dat_02!H34=0,"",Dat_02!H34)</f>
        <v/>
      </c>
    </row>
    <row r="36" spans="2:10">
      <c r="B36" s="250"/>
      <c r="C36" s="251" t="s">
        <v>194</v>
      </c>
      <c r="D36" s="252"/>
      <c r="E36" s="253">
        <f>Dat_02!C35</f>
        <v>42.636473521669153</v>
      </c>
      <c r="F36" s="253">
        <f>Dat_02!D35</f>
        <v>120.59631724353227</v>
      </c>
      <c r="G36" s="253">
        <f>Dat_02!E35</f>
        <v>42.636473521669153</v>
      </c>
      <c r="I36" s="254">
        <f>Dat_02!G35</f>
        <v>0</v>
      </c>
      <c r="J36" s="266" t="str">
        <f>IF(Dat_02!H35=0,"",Dat_02!H35)</f>
        <v/>
      </c>
    </row>
    <row r="37" spans="2:10">
      <c r="B37" s="250"/>
      <c r="C37" s="251" t="s">
        <v>195</v>
      </c>
      <c r="D37" s="250"/>
      <c r="E37" s="253">
        <f>Dat_02!C36</f>
        <v>64.323681971667284</v>
      </c>
      <c r="F37" s="253">
        <f>Dat_02!D36</f>
        <v>120.59631724353227</v>
      </c>
      <c r="G37" s="253">
        <f>Dat_02!E36</f>
        <v>64.323681971667284</v>
      </c>
      <c r="I37" s="254">
        <f>Dat_02!G36</f>
        <v>0</v>
      </c>
      <c r="J37" s="266" t="str">
        <f>IF(Dat_02!H36=0,"",Dat_02!H36)</f>
        <v/>
      </c>
    </row>
    <row r="38" spans="2:10">
      <c r="B38" s="250"/>
      <c r="C38" s="251" t="s">
        <v>196</v>
      </c>
      <c r="D38" s="250"/>
      <c r="E38" s="253">
        <f>Dat_02!C37</f>
        <v>75.643640243669154</v>
      </c>
      <c r="F38" s="253">
        <f>Dat_02!D37</f>
        <v>120.59631724353227</v>
      </c>
      <c r="G38" s="253">
        <f>Dat_02!E37</f>
        <v>75.643640243669154</v>
      </c>
      <c r="I38" s="254">
        <f>Dat_02!G37</f>
        <v>0</v>
      </c>
      <c r="J38" s="266" t="str">
        <f>IF(Dat_02!H37=0,"",Dat_02!H37)</f>
        <v/>
      </c>
    </row>
    <row r="39" spans="2:10">
      <c r="B39" s="250"/>
      <c r="C39" s="251" t="s">
        <v>197</v>
      </c>
      <c r="D39" s="250"/>
      <c r="E39" s="253">
        <f>Dat_02!C38</f>
        <v>40.164393683671022</v>
      </c>
      <c r="F39" s="253">
        <f>Dat_02!D38</f>
        <v>120.59631724353227</v>
      </c>
      <c r="G39" s="253">
        <f>Dat_02!E38</f>
        <v>40.164393683671022</v>
      </c>
      <c r="I39" s="254">
        <f>Dat_02!G38</f>
        <v>0</v>
      </c>
      <c r="J39" s="266" t="str">
        <f>IF(Dat_02!H38=0,"",Dat_02!H38)</f>
        <v/>
      </c>
    </row>
    <row r="40" spans="2:10">
      <c r="B40" s="250"/>
      <c r="C40" s="251" t="s">
        <v>198</v>
      </c>
      <c r="D40" s="250"/>
      <c r="E40" s="253">
        <f>Dat_02!C39</f>
        <v>23.406447041667292</v>
      </c>
      <c r="F40" s="253">
        <f>Dat_02!D39</f>
        <v>120.59631724353227</v>
      </c>
      <c r="G40" s="253">
        <f>Dat_02!E39</f>
        <v>23.406447041667292</v>
      </c>
      <c r="I40" s="254">
        <f>Dat_02!G39</f>
        <v>0</v>
      </c>
      <c r="J40" s="266" t="str">
        <f>IF(Dat_02!H39=0,"",Dat_02!H39)</f>
        <v/>
      </c>
    </row>
    <row r="41" spans="2:10">
      <c r="B41" s="250"/>
      <c r="C41" s="251" t="s">
        <v>199</v>
      </c>
      <c r="D41" s="250"/>
      <c r="E41" s="253">
        <f>Dat_02!C40</f>
        <v>48.050071631669155</v>
      </c>
      <c r="F41" s="253">
        <f>Dat_02!D40</f>
        <v>120.59631724353227</v>
      </c>
      <c r="G41" s="253">
        <f>Dat_02!E40</f>
        <v>48.050071631669155</v>
      </c>
      <c r="I41" s="254">
        <f>Dat_02!G40</f>
        <v>0</v>
      </c>
      <c r="J41" s="266" t="str">
        <f>IF(Dat_02!H40=0,"",Dat_02!H40)</f>
        <v/>
      </c>
    </row>
    <row r="42" spans="2:10">
      <c r="B42" s="250"/>
      <c r="C42" s="251" t="s">
        <v>200</v>
      </c>
      <c r="D42" s="250"/>
      <c r="E42" s="253">
        <f>Dat_02!C41</f>
        <v>49.386536037670083</v>
      </c>
      <c r="F42" s="253">
        <f>Dat_02!D41</f>
        <v>120.59631724353227</v>
      </c>
      <c r="G42" s="253">
        <f>Dat_02!E41</f>
        <v>49.386536037670083</v>
      </c>
      <c r="I42" s="254">
        <f>Dat_02!G41</f>
        <v>0</v>
      </c>
      <c r="J42" s="266" t="str">
        <f>IF(Dat_02!H41=0,"",Dat_02!H41)</f>
        <v/>
      </c>
    </row>
    <row r="43" spans="2:10">
      <c r="B43" s="250"/>
      <c r="C43" s="251" t="s">
        <v>201</v>
      </c>
      <c r="D43" s="250"/>
      <c r="E43" s="253">
        <f>Dat_02!C42</f>
        <v>33.719116509774096</v>
      </c>
      <c r="F43" s="253">
        <f>Dat_02!D42</f>
        <v>120.59631724353227</v>
      </c>
      <c r="G43" s="253">
        <f>Dat_02!E42</f>
        <v>33.719116509774096</v>
      </c>
      <c r="I43" s="254">
        <f>Dat_02!G42</f>
        <v>0</v>
      </c>
      <c r="J43" s="266" t="str">
        <f>IF(Dat_02!H42=0,"",Dat_02!H42)</f>
        <v/>
      </c>
    </row>
    <row r="44" spans="2:10">
      <c r="B44" s="250"/>
      <c r="C44" s="251" t="s">
        <v>202</v>
      </c>
      <c r="D44" s="250"/>
      <c r="E44" s="253">
        <f>Dat_02!C43</f>
        <v>47.290569803776897</v>
      </c>
      <c r="F44" s="253">
        <f>Dat_02!D43</f>
        <v>120.59631724353227</v>
      </c>
      <c r="G44" s="253">
        <f>Dat_02!E43</f>
        <v>47.290569803776897</v>
      </c>
      <c r="I44" s="254">
        <f>Dat_02!G43</f>
        <v>0</v>
      </c>
      <c r="J44" s="266" t="str">
        <f>IF(Dat_02!H43=0,"",Dat_02!H43)</f>
        <v/>
      </c>
    </row>
    <row r="45" spans="2:10">
      <c r="B45" s="250"/>
      <c r="C45" s="251" t="s">
        <v>203</v>
      </c>
      <c r="D45" s="250"/>
      <c r="E45" s="253">
        <f>Dat_02!C44</f>
        <v>49.306202171775034</v>
      </c>
      <c r="F45" s="253">
        <f>Dat_02!D44</f>
        <v>120.59631724353227</v>
      </c>
      <c r="G45" s="253">
        <f>Dat_02!E44</f>
        <v>49.306202171775034</v>
      </c>
      <c r="I45" s="254">
        <f>Dat_02!G44</f>
        <v>0</v>
      </c>
      <c r="J45" s="266" t="str">
        <f>IF(Dat_02!H44=0,"",Dat_02!H44)</f>
        <v/>
      </c>
    </row>
    <row r="46" spans="2:10">
      <c r="B46" s="250"/>
      <c r="C46" s="251" t="s">
        <v>204</v>
      </c>
      <c r="D46" s="250"/>
      <c r="E46" s="253">
        <f>Dat_02!C45</f>
        <v>21.417700821775025</v>
      </c>
      <c r="F46" s="253">
        <f>Dat_02!D45</f>
        <v>120.59631724353227</v>
      </c>
      <c r="G46" s="253">
        <f>Dat_02!E45</f>
        <v>21.417700821775025</v>
      </c>
      <c r="I46" s="254">
        <f>Dat_02!G45</f>
        <v>0</v>
      </c>
      <c r="J46" s="266" t="str">
        <f>IF(Dat_02!H45=0,"",Dat_02!H45)</f>
        <v/>
      </c>
    </row>
    <row r="47" spans="2:10">
      <c r="B47" s="250"/>
      <c r="C47" s="251" t="s">
        <v>205</v>
      </c>
      <c r="D47" s="250"/>
      <c r="E47" s="253">
        <f>Dat_02!C46</f>
        <v>27.372357911775957</v>
      </c>
      <c r="F47" s="253">
        <f>Dat_02!D46</f>
        <v>120.59631724353227</v>
      </c>
      <c r="G47" s="253">
        <f>Dat_02!E46</f>
        <v>27.372357911775957</v>
      </c>
      <c r="I47" s="254">
        <f>Dat_02!G46</f>
        <v>0</v>
      </c>
      <c r="J47" s="266" t="str">
        <f>IF(Dat_02!H46=0,"",Dat_02!H46)</f>
        <v/>
      </c>
    </row>
    <row r="48" spans="2:10">
      <c r="B48" s="250"/>
      <c r="C48" s="251" t="s">
        <v>206</v>
      </c>
      <c r="D48" s="250"/>
      <c r="E48" s="253">
        <f>Dat_02!C47</f>
        <v>38.601003241775963</v>
      </c>
      <c r="F48" s="253">
        <f>Dat_02!D47</f>
        <v>120.59631724353227</v>
      </c>
      <c r="G48" s="253">
        <f>Dat_02!E47</f>
        <v>38.601003241775963</v>
      </c>
      <c r="I48" s="254">
        <f>Dat_02!G47</f>
        <v>0</v>
      </c>
      <c r="J48" s="266" t="str">
        <f>IF(Dat_02!H47=0,"",Dat_02!H47)</f>
        <v/>
      </c>
    </row>
    <row r="49" spans="2:10">
      <c r="B49" s="250"/>
      <c r="C49" s="251" t="s">
        <v>207</v>
      </c>
      <c r="D49" s="250"/>
      <c r="E49" s="253">
        <f>Dat_02!C48</f>
        <v>66.269905331775973</v>
      </c>
      <c r="F49" s="253">
        <f>Dat_02!D48</f>
        <v>120.59631724353227</v>
      </c>
      <c r="G49" s="253">
        <f>Dat_02!E48</f>
        <v>66.269905331775973</v>
      </c>
      <c r="I49" s="254">
        <f>Dat_02!G48</f>
        <v>120.59631724353227</v>
      </c>
      <c r="J49" s="266" t="str">
        <f>IF(Dat_02!H48=0,"",Dat_02!H48)</f>
        <v/>
      </c>
    </row>
    <row r="50" spans="2:10">
      <c r="B50" s="250"/>
      <c r="C50" s="251" t="s">
        <v>208</v>
      </c>
      <c r="D50" s="250"/>
      <c r="E50" s="253">
        <f>Dat_02!C49</f>
        <v>57.049382584859849</v>
      </c>
      <c r="F50" s="253">
        <f>Dat_02!D49</f>
        <v>120.59631724353227</v>
      </c>
      <c r="G50" s="253">
        <f>Dat_02!E49</f>
        <v>57.049382584859849</v>
      </c>
      <c r="I50" s="254">
        <f>Dat_02!G49</f>
        <v>0</v>
      </c>
      <c r="J50" s="266" t="str">
        <f>IF(Dat_02!H49=0,"",Dat_02!H49)</f>
        <v/>
      </c>
    </row>
    <row r="51" spans="2:10">
      <c r="B51" s="250"/>
      <c r="C51" s="251" t="s">
        <v>209</v>
      </c>
      <c r="D51" s="250"/>
      <c r="E51" s="253">
        <f>Dat_02!C50</f>
        <v>47.086793530857058</v>
      </c>
      <c r="F51" s="253">
        <f>Dat_02!D50</f>
        <v>120.59631724353227</v>
      </c>
      <c r="G51" s="253">
        <f>Dat_02!E50</f>
        <v>47.086793530857058</v>
      </c>
      <c r="I51" s="254">
        <f>Dat_02!G50</f>
        <v>0</v>
      </c>
      <c r="J51" s="266" t="str">
        <f>IF(Dat_02!H50=0,"",Dat_02!H50)</f>
        <v/>
      </c>
    </row>
    <row r="52" spans="2:10">
      <c r="B52" s="250"/>
      <c r="C52" s="251" t="s">
        <v>210</v>
      </c>
      <c r="D52" s="250"/>
      <c r="E52" s="253">
        <f>Dat_02!C51</f>
        <v>75.72736085885893</v>
      </c>
      <c r="F52" s="253">
        <f>Dat_02!D51</f>
        <v>120.59631724353227</v>
      </c>
      <c r="G52" s="253">
        <f>Dat_02!E51</f>
        <v>75.72736085885893</v>
      </c>
      <c r="I52" s="254">
        <f>Dat_02!G51</f>
        <v>0</v>
      </c>
      <c r="J52" s="266" t="str">
        <f>IF(Dat_02!H51=0,"",Dat_02!H51)</f>
        <v/>
      </c>
    </row>
    <row r="53" spans="2:10">
      <c r="B53" s="250"/>
      <c r="C53" s="251" t="s">
        <v>211</v>
      </c>
      <c r="D53" s="250"/>
      <c r="E53" s="253">
        <f>Dat_02!C52</f>
        <v>43.378133048858913</v>
      </c>
      <c r="F53" s="253">
        <f>Dat_02!D52</f>
        <v>120.59631724353227</v>
      </c>
      <c r="G53" s="253">
        <f>Dat_02!E52</f>
        <v>43.378133048858913</v>
      </c>
      <c r="I53" s="254">
        <f>Dat_02!G52</f>
        <v>0</v>
      </c>
      <c r="J53" s="266" t="str">
        <f>IF(Dat_02!H52=0,"",Dat_02!H52)</f>
        <v/>
      </c>
    </row>
    <row r="54" spans="2:10">
      <c r="B54" s="250"/>
      <c r="C54" s="251" t="s">
        <v>212</v>
      </c>
      <c r="D54" s="250"/>
      <c r="E54" s="253">
        <f>Dat_02!C53</f>
        <v>21.839733468858917</v>
      </c>
      <c r="F54" s="253">
        <f>Dat_02!D53</f>
        <v>120.59631724353227</v>
      </c>
      <c r="G54" s="253">
        <f>Dat_02!E53</f>
        <v>21.839733468858917</v>
      </c>
      <c r="I54" s="254">
        <f>Dat_02!G53</f>
        <v>0</v>
      </c>
      <c r="J54" s="266" t="str">
        <f>IF(Dat_02!H53=0,"",Dat_02!H53)</f>
        <v/>
      </c>
    </row>
    <row r="55" spans="2:10">
      <c r="B55" s="250"/>
      <c r="C55" s="251" t="s">
        <v>213</v>
      </c>
      <c r="D55" s="250"/>
      <c r="E55" s="253">
        <f>Dat_02!C54</f>
        <v>65.404301698859854</v>
      </c>
      <c r="F55" s="253">
        <f>Dat_02!D54</f>
        <v>120.59631724353227</v>
      </c>
      <c r="G55" s="253">
        <f>Dat_02!E54</f>
        <v>65.404301698859854</v>
      </c>
      <c r="I55" s="254">
        <f>Dat_02!G54</f>
        <v>0</v>
      </c>
      <c r="J55" s="266" t="str">
        <f>IF(Dat_02!H54=0,"",Dat_02!H54)</f>
        <v/>
      </c>
    </row>
    <row r="56" spans="2:10">
      <c r="B56" s="250"/>
      <c r="C56" s="251" t="s">
        <v>214</v>
      </c>
      <c r="D56" s="250"/>
      <c r="E56" s="253">
        <f>Dat_02!C55</f>
        <v>50.40606404885893</v>
      </c>
      <c r="F56" s="253">
        <f>Dat_02!D55</f>
        <v>120.59631724353227</v>
      </c>
      <c r="G56" s="253">
        <f>Dat_02!E55</f>
        <v>50.40606404885893</v>
      </c>
      <c r="I56" s="254">
        <f>Dat_02!G55</f>
        <v>0</v>
      </c>
      <c r="J56" s="266" t="str">
        <f>IF(Dat_02!H55=0,"",Dat_02!H55)</f>
        <v/>
      </c>
    </row>
    <row r="57" spans="2:10">
      <c r="B57" s="250"/>
      <c r="C57" s="251" t="s">
        <v>215</v>
      </c>
      <c r="D57" s="250"/>
      <c r="E57" s="253">
        <f>Dat_02!C56</f>
        <v>86.933992344619128</v>
      </c>
      <c r="F57" s="253">
        <f>Dat_02!D56</f>
        <v>120.59631724353227</v>
      </c>
      <c r="G57" s="253">
        <f>Dat_02!E56</f>
        <v>86.933992344619128</v>
      </c>
      <c r="I57" s="254">
        <f>Dat_02!G56</f>
        <v>0</v>
      </c>
      <c r="J57" s="266" t="str">
        <f>IF(Dat_02!H56=0,"",Dat_02!H56)</f>
        <v/>
      </c>
    </row>
    <row r="58" spans="2:10">
      <c r="B58" s="250"/>
      <c r="C58" s="251" t="s">
        <v>216</v>
      </c>
      <c r="D58" s="250"/>
      <c r="E58" s="253">
        <f>Dat_02!C57</f>
        <v>93.897589926620057</v>
      </c>
      <c r="F58" s="253">
        <f>Dat_02!D57</f>
        <v>120.59631724353227</v>
      </c>
      <c r="G58" s="253">
        <f>Dat_02!E57</f>
        <v>93.897589926620057</v>
      </c>
      <c r="I58" s="254">
        <f>Dat_02!G57</f>
        <v>0</v>
      </c>
      <c r="J58" s="266" t="str">
        <f>IF(Dat_02!H57=0,"",Dat_02!H57)</f>
        <v/>
      </c>
    </row>
    <row r="59" spans="2:10">
      <c r="B59" s="250"/>
      <c r="C59" s="251" t="s">
        <v>217</v>
      </c>
      <c r="D59" s="250"/>
      <c r="E59" s="253">
        <f>Dat_02!C58</f>
        <v>99.325622760620988</v>
      </c>
      <c r="F59" s="253">
        <f>Dat_02!D58</f>
        <v>120.59631724353227</v>
      </c>
      <c r="G59" s="253">
        <f>Dat_02!E58</f>
        <v>99.325622760620988</v>
      </c>
      <c r="I59" s="254">
        <f>Dat_02!G58</f>
        <v>0</v>
      </c>
      <c r="J59" s="266" t="str">
        <f>IF(Dat_02!H58=0,"",Dat_02!H58)</f>
        <v/>
      </c>
    </row>
    <row r="60" spans="2:10">
      <c r="B60" s="250"/>
      <c r="C60" s="251" t="s">
        <v>218</v>
      </c>
      <c r="D60" s="250"/>
      <c r="E60" s="253">
        <f>Dat_02!C59</f>
        <v>91.521473510619117</v>
      </c>
      <c r="F60" s="253">
        <f>Dat_02!D59</f>
        <v>120.59631724353227</v>
      </c>
      <c r="G60" s="253">
        <f>Dat_02!E59</f>
        <v>91.521473510619117</v>
      </c>
      <c r="I60" s="254">
        <f>Dat_02!G59</f>
        <v>0</v>
      </c>
      <c r="J60" s="266" t="str">
        <f>IF(Dat_02!H59=0,"",Dat_02!H59)</f>
        <v/>
      </c>
    </row>
    <row r="61" spans="2:10">
      <c r="B61" s="250"/>
      <c r="C61" s="251" t="s">
        <v>219</v>
      </c>
      <c r="D61" s="250"/>
      <c r="E61" s="253">
        <f>Dat_02!C60</f>
        <v>77.209113650621902</v>
      </c>
      <c r="F61" s="253">
        <f>Dat_02!D60</f>
        <v>120.59631724353227</v>
      </c>
      <c r="G61" s="253">
        <f>Dat_02!E60</f>
        <v>77.209113650621902</v>
      </c>
      <c r="I61" s="254">
        <f>Dat_02!G60</f>
        <v>0</v>
      </c>
      <c r="J61" s="266" t="str">
        <f>IF(Dat_02!H60=0,"",Dat_02!H60)</f>
        <v/>
      </c>
    </row>
    <row r="62" spans="2:10">
      <c r="B62" s="250"/>
      <c r="C62" s="251" t="s">
        <v>220</v>
      </c>
      <c r="D62" s="250"/>
      <c r="E62" s="253">
        <f>Dat_02!C61</f>
        <v>99.019040460619109</v>
      </c>
      <c r="F62" s="253">
        <f>Dat_02!D61</f>
        <v>120.59631724353227</v>
      </c>
      <c r="G62" s="253">
        <f>Dat_02!E61</f>
        <v>99.019040460619109</v>
      </c>
      <c r="I62" s="254">
        <f>Dat_02!G61</f>
        <v>0</v>
      </c>
      <c r="J62" s="266" t="str">
        <f>IF(Dat_02!H61=0,"",Dat_02!H61)</f>
        <v/>
      </c>
    </row>
    <row r="63" spans="2:10">
      <c r="B63" s="250"/>
      <c r="C63" s="251" t="s">
        <v>221</v>
      </c>
      <c r="D63" s="250"/>
      <c r="E63" s="253">
        <f>Dat_02!C62</f>
        <v>101.45238873061912</v>
      </c>
      <c r="F63" s="253">
        <f>Dat_02!D62</f>
        <v>120.59631724353227</v>
      </c>
      <c r="G63" s="253">
        <f>Dat_02!E62</f>
        <v>101.45238873061912</v>
      </c>
      <c r="I63" s="254">
        <f>Dat_02!G62</f>
        <v>0</v>
      </c>
      <c r="J63" s="266" t="str">
        <f>IF(Dat_02!H62=0,"",Dat_02!H62)</f>
        <v/>
      </c>
    </row>
    <row r="64" spans="2:10">
      <c r="B64" s="252"/>
      <c r="C64" s="257" t="s">
        <v>222</v>
      </c>
      <c r="D64" s="250"/>
      <c r="E64" s="253">
        <f>Dat_02!C63</f>
        <v>167.32990158214932</v>
      </c>
      <c r="F64" s="253">
        <f>Dat_02!D63</f>
        <v>120.59631724353227</v>
      </c>
      <c r="G64" s="253">
        <f>Dat_02!E63</f>
        <v>120.59631724353227</v>
      </c>
      <c r="I64" s="254">
        <f>Dat_02!G63</f>
        <v>0</v>
      </c>
      <c r="J64" s="266" t="str">
        <f>IF(Dat_02!H63=0,"",Dat_02!H63)</f>
        <v/>
      </c>
    </row>
    <row r="65" spans="2:10">
      <c r="B65" s="250" t="s">
        <v>223</v>
      </c>
      <c r="C65" s="251" t="s">
        <v>224</v>
      </c>
      <c r="D65" s="252"/>
      <c r="E65" s="253">
        <f>Dat_02!C64</f>
        <v>172.57129317015026</v>
      </c>
      <c r="F65" s="253">
        <f>Dat_02!D64</f>
        <v>120.59631724353227</v>
      </c>
      <c r="G65" s="253">
        <f>Dat_02!E64</f>
        <v>120.59631724353227</v>
      </c>
      <c r="I65" s="254">
        <f>Dat_02!G64</f>
        <v>0</v>
      </c>
      <c r="J65" s="266" t="str">
        <f>IF(Dat_02!H64=0,"",Dat_02!H64)</f>
        <v/>
      </c>
    </row>
    <row r="66" spans="2:10">
      <c r="B66" s="252"/>
      <c r="C66" s="251" t="s">
        <v>225</v>
      </c>
      <c r="D66" s="252"/>
      <c r="E66" s="253">
        <f>Dat_02!C65</f>
        <v>185.58193324014655</v>
      </c>
      <c r="F66" s="253">
        <f>Dat_02!D65</f>
        <v>120.04142913099631</v>
      </c>
      <c r="G66" s="253">
        <f>Dat_02!E65</f>
        <v>120.04142913099631</v>
      </c>
      <c r="I66" s="254">
        <f>Dat_02!G65</f>
        <v>0</v>
      </c>
      <c r="J66" s="266" t="str">
        <f>IF(Dat_02!H65=0,"",Dat_02!H65)</f>
        <v/>
      </c>
    </row>
    <row r="67" spans="2:10">
      <c r="B67" s="250"/>
      <c r="C67" s="251" t="s">
        <v>226</v>
      </c>
      <c r="D67" s="250"/>
      <c r="E67" s="253">
        <f>Dat_02!C66</f>
        <v>185.57443929814841</v>
      </c>
      <c r="F67" s="253">
        <f>Dat_02!D66</f>
        <v>120.04142913099631</v>
      </c>
      <c r="G67" s="253">
        <f>Dat_02!E66</f>
        <v>120.04142913099631</v>
      </c>
      <c r="I67" s="254">
        <f>Dat_02!G66</f>
        <v>0</v>
      </c>
      <c r="J67" s="266" t="str">
        <f>IF(Dat_02!H66=0,"",Dat_02!H66)</f>
        <v/>
      </c>
    </row>
    <row r="68" spans="2:10">
      <c r="B68" s="250"/>
      <c r="C68" s="251" t="s">
        <v>227</v>
      </c>
      <c r="D68" s="250"/>
      <c r="E68" s="253">
        <f>Dat_02!C67</f>
        <v>184.96758135014844</v>
      </c>
      <c r="F68" s="253">
        <f>Dat_02!D67</f>
        <v>120.04142913099631</v>
      </c>
      <c r="G68" s="253">
        <f>Dat_02!E67</f>
        <v>120.04142913099631</v>
      </c>
      <c r="I68" s="254">
        <f>Dat_02!G67</f>
        <v>0</v>
      </c>
      <c r="J68" s="266" t="str">
        <f>IF(Dat_02!H67=0,"",Dat_02!H67)</f>
        <v/>
      </c>
    </row>
    <row r="69" spans="2:10">
      <c r="B69" s="250"/>
      <c r="C69" s="251" t="s">
        <v>228</v>
      </c>
      <c r="D69" s="250"/>
      <c r="E69" s="253">
        <f>Dat_02!C68</f>
        <v>193.9985455941484</v>
      </c>
      <c r="F69" s="253">
        <f>Dat_02!D68</f>
        <v>120.04142913099631</v>
      </c>
      <c r="G69" s="253">
        <f>Dat_02!E68</f>
        <v>120.04142913099631</v>
      </c>
      <c r="I69" s="254">
        <f>Dat_02!G68</f>
        <v>0</v>
      </c>
      <c r="J69" s="266" t="str">
        <f>IF(Dat_02!H68=0,"",Dat_02!H68)</f>
        <v/>
      </c>
    </row>
    <row r="70" spans="2:10">
      <c r="B70" s="250"/>
      <c r="C70" s="251" t="s">
        <v>229</v>
      </c>
      <c r="D70" s="250"/>
      <c r="E70" s="253">
        <f>Dat_02!C69</f>
        <v>194.73273308214843</v>
      </c>
      <c r="F70" s="253">
        <f>Dat_02!D69</f>
        <v>120.04142913099631</v>
      </c>
      <c r="G70" s="253">
        <f>Dat_02!E69</f>
        <v>120.04142913099631</v>
      </c>
      <c r="I70" s="254">
        <f>Dat_02!G69</f>
        <v>0</v>
      </c>
      <c r="J70" s="266" t="str">
        <f>IF(Dat_02!H69=0,"",Dat_02!H69)</f>
        <v/>
      </c>
    </row>
    <row r="71" spans="2:10">
      <c r="B71" s="250"/>
      <c r="C71" s="251" t="s">
        <v>230</v>
      </c>
      <c r="D71" s="250"/>
      <c r="E71" s="253">
        <f>Dat_02!C70</f>
        <v>141.24960643784806</v>
      </c>
      <c r="F71" s="253">
        <f>Dat_02!D70</f>
        <v>120.04142913099631</v>
      </c>
      <c r="G71" s="253">
        <f>Dat_02!E70</f>
        <v>120.04142913099631</v>
      </c>
      <c r="I71" s="254">
        <f>Dat_02!G70</f>
        <v>0</v>
      </c>
      <c r="J71" s="266" t="str">
        <f>IF(Dat_02!H70=0,"",Dat_02!H70)</f>
        <v/>
      </c>
    </row>
    <row r="72" spans="2:10">
      <c r="B72" s="250"/>
      <c r="C72" s="251" t="s">
        <v>231</v>
      </c>
      <c r="D72" s="250"/>
      <c r="E72" s="253">
        <f>Dat_02!C71</f>
        <v>141.99456505784809</v>
      </c>
      <c r="F72" s="253">
        <f>Dat_02!D71</f>
        <v>120.04142913099631</v>
      </c>
      <c r="G72" s="253">
        <f>Dat_02!E71</f>
        <v>120.04142913099631</v>
      </c>
      <c r="I72" s="254">
        <f>Dat_02!G71</f>
        <v>0</v>
      </c>
      <c r="J72" s="266" t="str">
        <f>IF(Dat_02!H71=0,"",Dat_02!H71)</f>
        <v/>
      </c>
    </row>
    <row r="73" spans="2:10">
      <c r="B73" s="250"/>
      <c r="C73" s="251" t="s">
        <v>232</v>
      </c>
      <c r="D73" s="250"/>
      <c r="E73" s="253">
        <f>Dat_02!C72</f>
        <v>133.18816221984807</v>
      </c>
      <c r="F73" s="253">
        <f>Dat_02!D72</f>
        <v>120.04142913099631</v>
      </c>
      <c r="G73" s="253">
        <f>Dat_02!E72</f>
        <v>120.04142913099631</v>
      </c>
      <c r="I73" s="254">
        <f>Dat_02!G72</f>
        <v>0</v>
      </c>
      <c r="J73" s="266" t="str">
        <f>IF(Dat_02!H72=0,"",Dat_02!H72)</f>
        <v/>
      </c>
    </row>
    <row r="74" spans="2:10">
      <c r="B74" s="250"/>
      <c r="C74" s="251" t="s">
        <v>233</v>
      </c>
      <c r="D74" s="250"/>
      <c r="E74" s="253">
        <f>Dat_02!C73</f>
        <v>126.08179446984809</v>
      </c>
      <c r="F74" s="253">
        <f>Dat_02!D73</f>
        <v>120.04142913099631</v>
      </c>
      <c r="G74" s="253">
        <f>Dat_02!E73</f>
        <v>120.04142913099631</v>
      </c>
      <c r="I74" s="254">
        <f>Dat_02!G73</f>
        <v>0</v>
      </c>
      <c r="J74" s="266" t="str">
        <f>IF(Dat_02!H73=0,"",Dat_02!H73)</f>
        <v/>
      </c>
    </row>
    <row r="75" spans="2:10">
      <c r="B75" s="250"/>
      <c r="C75" s="251" t="s">
        <v>234</v>
      </c>
      <c r="D75" s="250"/>
      <c r="E75" s="253">
        <f>Dat_02!C74</f>
        <v>114.24660454384994</v>
      </c>
      <c r="F75" s="253">
        <f>Dat_02!D74</f>
        <v>120.04142913099631</v>
      </c>
      <c r="G75" s="253">
        <f>Dat_02!E74</f>
        <v>114.24660454384994</v>
      </c>
      <c r="I75" s="254">
        <f>Dat_02!G74</f>
        <v>0</v>
      </c>
      <c r="J75" s="266" t="str">
        <f>IF(Dat_02!H74=0,"",Dat_02!H74)</f>
        <v/>
      </c>
    </row>
    <row r="76" spans="2:10">
      <c r="B76" s="250"/>
      <c r="C76" s="251" t="s">
        <v>235</v>
      </c>
      <c r="D76" s="250"/>
      <c r="E76" s="253">
        <f>Dat_02!C75</f>
        <v>123.23982218384808</v>
      </c>
      <c r="F76" s="253">
        <f>Dat_02!D75</f>
        <v>120.04142913099631</v>
      </c>
      <c r="G76" s="253">
        <f>Dat_02!E75</f>
        <v>120.04142913099631</v>
      </c>
      <c r="I76" s="254">
        <f>Dat_02!G75</f>
        <v>0</v>
      </c>
      <c r="J76" s="266" t="str">
        <f>IF(Dat_02!H75=0,"",Dat_02!H75)</f>
        <v/>
      </c>
    </row>
    <row r="77" spans="2:10">
      <c r="B77" s="250"/>
      <c r="C77" s="251" t="s">
        <v>236</v>
      </c>
      <c r="D77" s="250"/>
      <c r="E77" s="253">
        <f>Dat_02!C76</f>
        <v>139.96621025384809</v>
      </c>
      <c r="F77" s="253">
        <f>Dat_02!D76</f>
        <v>120.04142913099631</v>
      </c>
      <c r="G77" s="253">
        <f>Dat_02!E76</f>
        <v>120.04142913099631</v>
      </c>
      <c r="I77" s="254">
        <f>Dat_02!G76</f>
        <v>0</v>
      </c>
      <c r="J77" s="266" t="str">
        <f>IF(Dat_02!H76=0,"",Dat_02!H76)</f>
        <v/>
      </c>
    </row>
    <row r="78" spans="2:10">
      <c r="B78" s="250"/>
      <c r="C78" s="251" t="s">
        <v>237</v>
      </c>
      <c r="D78" s="250"/>
      <c r="E78" s="253">
        <f>Dat_02!C77</f>
        <v>120.51201069644542</v>
      </c>
      <c r="F78" s="253">
        <f>Dat_02!D77</f>
        <v>120.04142913099631</v>
      </c>
      <c r="G78" s="253">
        <f>Dat_02!E77</f>
        <v>120.04142913099631</v>
      </c>
      <c r="I78" s="254">
        <f>Dat_02!G77</f>
        <v>0</v>
      </c>
      <c r="J78" s="266" t="str">
        <f>IF(Dat_02!H77=0,"",Dat_02!H77)</f>
        <v/>
      </c>
    </row>
    <row r="79" spans="2:10">
      <c r="B79" s="250"/>
      <c r="C79" s="251" t="s">
        <v>238</v>
      </c>
      <c r="D79" s="250"/>
      <c r="E79" s="253">
        <f>Dat_02!C78</f>
        <v>103.62366132644726</v>
      </c>
      <c r="F79" s="253">
        <f>Dat_02!D78</f>
        <v>120.04142913099631</v>
      </c>
      <c r="G79" s="253">
        <f>Dat_02!E78</f>
        <v>103.62366132644726</v>
      </c>
      <c r="I79" s="254" t="str">
        <f>Dat_02!G78</f>
        <v/>
      </c>
      <c r="J79" s="266" t="str">
        <f>IF(Dat_02!H78=0,"",Dat_02!H78)</f>
        <v/>
      </c>
    </row>
    <row r="80" spans="2:10">
      <c r="B80" s="250"/>
      <c r="C80" s="251" t="s">
        <v>239</v>
      </c>
      <c r="D80" s="250"/>
      <c r="E80" s="253">
        <f>Dat_02!C79</f>
        <v>107.92361247844542</v>
      </c>
      <c r="F80" s="253">
        <f>Dat_02!D79</f>
        <v>120.04142913099631</v>
      </c>
      <c r="G80" s="253">
        <f>Dat_02!E79</f>
        <v>107.92361247844542</v>
      </c>
      <c r="I80" s="254">
        <f>Dat_02!G79</f>
        <v>120.04142913099631</v>
      </c>
      <c r="J80" s="266" t="str">
        <f>IF(Dat_02!H79=0,"",Dat_02!H79)</f>
        <v/>
      </c>
    </row>
    <row r="81" spans="2:10">
      <c r="B81" s="250"/>
      <c r="C81" s="251" t="s">
        <v>240</v>
      </c>
      <c r="D81" s="250"/>
      <c r="E81" s="253">
        <f>Dat_02!C80</f>
        <v>94.661395232447276</v>
      </c>
      <c r="F81" s="253">
        <f>Dat_02!D80</f>
        <v>120.04142913099631</v>
      </c>
      <c r="G81" s="253">
        <f>Dat_02!E80</f>
        <v>94.661395232447276</v>
      </c>
      <c r="I81" s="254">
        <f>Dat_02!G80</f>
        <v>0</v>
      </c>
      <c r="J81" s="266" t="str">
        <f>IF(Dat_02!H80=0,"",Dat_02!H80)</f>
        <v/>
      </c>
    </row>
    <row r="82" spans="2:10">
      <c r="B82" s="250"/>
      <c r="C82" s="251" t="s">
        <v>241</v>
      </c>
      <c r="D82" s="250"/>
      <c r="E82" s="253">
        <f>Dat_02!C81</f>
        <v>84.417533128447275</v>
      </c>
      <c r="F82" s="253">
        <f>Dat_02!D81</f>
        <v>120.04142913099631</v>
      </c>
      <c r="G82" s="253">
        <f>Dat_02!E81</f>
        <v>84.417533128447275</v>
      </c>
      <c r="I82" s="254">
        <f>Dat_02!G81</f>
        <v>0</v>
      </c>
      <c r="J82" s="266" t="str">
        <f>IF(Dat_02!H81=0,"",Dat_02!H81)</f>
        <v/>
      </c>
    </row>
    <row r="83" spans="2:10">
      <c r="B83" s="250"/>
      <c r="C83" s="251" t="s">
        <v>242</v>
      </c>
      <c r="D83" s="250"/>
      <c r="E83" s="253">
        <f>Dat_02!C82</f>
        <v>109.91697916244728</v>
      </c>
      <c r="F83" s="253">
        <f>Dat_02!D82</f>
        <v>120.04142913099631</v>
      </c>
      <c r="G83" s="253">
        <f>Dat_02!E82</f>
        <v>109.91697916244728</v>
      </c>
      <c r="I83" s="254">
        <f>Dat_02!G82</f>
        <v>0</v>
      </c>
      <c r="J83" s="266" t="str">
        <f>IF(Dat_02!H82=0,"",Dat_02!H82)</f>
        <v/>
      </c>
    </row>
    <row r="84" spans="2:10">
      <c r="B84" s="250"/>
      <c r="C84" s="251" t="s">
        <v>243</v>
      </c>
      <c r="D84" s="250"/>
      <c r="E84" s="253">
        <f>Dat_02!C83</f>
        <v>119.44313481844542</v>
      </c>
      <c r="F84" s="253">
        <f>Dat_02!D83</f>
        <v>120.04142913099631</v>
      </c>
      <c r="G84" s="253">
        <f>Dat_02!E83</f>
        <v>119.44313481844542</v>
      </c>
      <c r="I84" s="254">
        <f>Dat_02!G83</f>
        <v>0</v>
      </c>
      <c r="J84" s="266" t="str">
        <f>IF(Dat_02!H83=0,"",Dat_02!H83)</f>
        <v/>
      </c>
    </row>
    <row r="85" spans="2:10">
      <c r="B85" s="250"/>
      <c r="C85" s="251" t="s">
        <v>244</v>
      </c>
      <c r="D85" s="250"/>
      <c r="E85" s="253">
        <f>Dat_02!C84</f>
        <v>87.669133587945765</v>
      </c>
      <c r="F85" s="253">
        <f>Dat_02!D84</f>
        <v>120.04142913099631</v>
      </c>
      <c r="G85" s="253">
        <f>Dat_02!E84</f>
        <v>87.669133587945765</v>
      </c>
      <c r="I85" s="254">
        <f>Dat_02!G84</f>
        <v>0</v>
      </c>
      <c r="J85" s="266" t="str">
        <f>IF(Dat_02!H84=0,"",Dat_02!H84)</f>
        <v/>
      </c>
    </row>
    <row r="86" spans="2:10">
      <c r="B86" s="250"/>
      <c r="C86" s="251" t="s">
        <v>245</v>
      </c>
      <c r="D86" s="250"/>
      <c r="E86" s="253">
        <f>Dat_02!C85</f>
        <v>79.117863777947633</v>
      </c>
      <c r="F86" s="253">
        <f>Dat_02!D85</f>
        <v>120.04142913099631</v>
      </c>
      <c r="G86" s="253">
        <f>Dat_02!E85</f>
        <v>79.117863777947633</v>
      </c>
      <c r="I86" s="254">
        <f>Dat_02!G85</f>
        <v>0</v>
      </c>
      <c r="J86" s="266" t="str">
        <f>IF(Dat_02!H85=0,"",Dat_02!H85)</f>
        <v/>
      </c>
    </row>
    <row r="87" spans="2:10">
      <c r="B87" s="250"/>
      <c r="C87" s="251" t="s">
        <v>246</v>
      </c>
      <c r="D87" s="250"/>
      <c r="E87" s="253">
        <f>Dat_02!C86</f>
        <v>75.298925477949496</v>
      </c>
      <c r="F87" s="253">
        <f>Dat_02!D86</f>
        <v>120.04142913099631</v>
      </c>
      <c r="G87" s="253">
        <f>Dat_02!E86</f>
        <v>75.298925477949496</v>
      </c>
      <c r="I87" s="254">
        <f>Dat_02!G86</f>
        <v>0</v>
      </c>
      <c r="J87" s="266" t="str">
        <f>IF(Dat_02!H86=0,"",Dat_02!H86)</f>
        <v/>
      </c>
    </row>
    <row r="88" spans="2:10">
      <c r="B88" s="250"/>
      <c r="C88" s="251" t="s">
        <v>247</v>
      </c>
      <c r="D88" s="250"/>
      <c r="E88" s="253">
        <f>Dat_02!C87</f>
        <v>64.675635013947627</v>
      </c>
      <c r="F88" s="253">
        <f>Dat_02!D87</f>
        <v>120.04142913099631</v>
      </c>
      <c r="G88" s="253">
        <f>Dat_02!E87</f>
        <v>64.675635013947627</v>
      </c>
      <c r="I88" s="254">
        <f>Dat_02!G87</f>
        <v>0</v>
      </c>
      <c r="J88" s="266" t="str">
        <f>IF(Dat_02!H87=0,"",Dat_02!H87)</f>
        <v/>
      </c>
    </row>
    <row r="89" spans="2:10">
      <c r="B89" s="250"/>
      <c r="C89" s="251" t="s">
        <v>248</v>
      </c>
      <c r="D89" s="250"/>
      <c r="E89" s="253">
        <f>Dat_02!C88</f>
        <v>66.564979371945768</v>
      </c>
      <c r="F89" s="253">
        <f>Dat_02!D88</f>
        <v>120.04142913099631</v>
      </c>
      <c r="G89" s="253">
        <f>Dat_02!E88</f>
        <v>66.564979371945768</v>
      </c>
      <c r="I89" s="254">
        <f>Dat_02!G88</f>
        <v>0</v>
      </c>
      <c r="J89" s="266" t="str">
        <f>IF(Dat_02!H88=0,"",Dat_02!H88)</f>
        <v/>
      </c>
    </row>
    <row r="90" spans="2:10">
      <c r="B90" s="250"/>
      <c r="C90" s="251" t="s">
        <v>249</v>
      </c>
      <c r="D90" s="250"/>
      <c r="E90" s="253">
        <f>Dat_02!C89</f>
        <v>91.917289957949492</v>
      </c>
      <c r="F90" s="253">
        <f>Dat_02!D89</f>
        <v>120.04142913099631</v>
      </c>
      <c r="G90" s="253">
        <f>Dat_02!E89</f>
        <v>91.917289957949492</v>
      </c>
      <c r="I90" s="254">
        <f>Dat_02!G89</f>
        <v>0</v>
      </c>
      <c r="J90" s="266" t="str">
        <f>IF(Dat_02!H89=0,"",Dat_02!H89)</f>
        <v/>
      </c>
    </row>
    <row r="91" spans="2:10">
      <c r="B91" s="250"/>
      <c r="C91" s="251" t="s">
        <v>250</v>
      </c>
      <c r="D91" s="250"/>
      <c r="E91" s="253">
        <f>Dat_02!C90</f>
        <v>75.530994327947624</v>
      </c>
      <c r="F91" s="253">
        <f>Dat_02!D90</f>
        <v>120.04142913099631</v>
      </c>
      <c r="G91" s="253">
        <f>Dat_02!E90</f>
        <v>75.530994327947624</v>
      </c>
      <c r="I91" s="254">
        <f>Dat_02!G90</f>
        <v>0</v>
      </c>
      <c r="J91" s="266" t="str">
        <f>IF(Dat_02!H90=0,"",Dat_02!H90)</f>
        <v/>
      </c>
    </row>
    <row r="92" spans="2:10">
      <c r="B92" s="250"/>
      <c r="C92" s="251" t="s">
        <v>251</v>
      </c>
      <c r="D92" s="250"/>
      <c r="E92" s="253">
        <f>Dat_02!C91</f>
        <v>69.289270910230613</v>
      </c>
      <c r="F92" s="253">
        <f>Dat_02!D91</f>
        <v>120.04142913099631</v>
      </c>
      <c r="G92" s="253">
        <f>Dat_02!E91</f>
        <v>69.289270910230613</v>
      </c>
      <c r="I92" s="254">
        <f>Dat_02!G91</f>
        <v>0</v>
      </c>
      <c r="J92" s="266" t="str">
        <f>IF(Dat_02!H91=0,"",Dat_02!H91)</f>
        <v/>
      </c>
    </row>
    <row r="93" spans="2:10">
      <c r="B93" s="250"/>
      <c r="C93" s="251" t="s">
        <v>252</v>
      </c>
      <c r="D93" s="250"/>
      <c r="E93" s="253">
        <f>Dat_02!C92</f>
        <v>63.050235326230613</v>
      </c>
      <c r="F93" s="253">
        <f>Dat_02!D92</f>
        <v>120.04142913099631</v>
      </c>
      <c r="G93" s="253">
        <f>Dat_02!E92</f>
        <v>63.050235326230613</v>
      </c>
      <c r="I93" s="254">
        <f>Dat_02!G92</f>
        <v>0</v>
      </c>
      <c r="J93" s="266" t="str">
        <f>IF(Dat_02!H92=0,"",Dat_02!H92)</f>
        <v/>
      </c>
    </row>
    <row r="94" spans="2:10">
      <c r="B94" s="250"/>
      <c r="C94" s="251" t="s">
        <v>253</v>
      </c>
      <c r="D94" s="250"/>
      <c r="E94" s="253">
        <f>Dat_02!C93</f>
        <v>70.279727594230607</v>
      </c>
      <c r="F94" s="253">
        <f>Dat_02!D93</f>
        <v>132.90693384979679</v>
      </c>
      <c r="G94" s="253">
        <f>Dat_02!E93</f>
        <v>70.279727594230607</v>
      </c>
      <c r="I94" s="254">
        <f>Dat_02!G93</f>
        <v>0</v>
      </c>
      <c r="J94" s="266" t="str">
        <f>IF(Dat_02!H93=0,"",Dat_02!H93)</f>
        <v/>
      </c>
    </row>
    <row r="95" spans="2:10">
      <c r="B95" s="252"/>
      <c r="C95" s="257" t="s">
        <v>254</v>
      </c>
      <c r="D95" s="252"/>
      <c r="E95" s="253">
        <f>Dat_02!C94</f>
        <v>55.067245526230607</v>
      </c>
      <c r="F95" s="253">
        <f>Dat_02!D94</f>
        <v>132.90693384979679</v>
      </c>
      <c r="G95" s="253">
        <f>Dat_02!E94</f>
        <v>55.067245526230607</v>
      </c>
      <c r="I95" s="254">
        <f>Dat_02!G94</f>
        <v>0</v>
      </c>
      <c r="J95" s="266" t="str">
        <f>IF(Dat_02!H94=0,"",Dat_02!H94)</f>
        <v/>
      </c>
    </row>
    <row r="96" spans="2:10">
      <c r="B96" s="250" t="s">
        <v>255</v>
      </c>
      <c r="C96" s="251" t="s">
        <v>256</v>
      </c>
      <c r="D96" s="252"/>
      <c r="E96" s="253">
        <f>Dat_02!C95</f>
        <v>40.961962326230605</v>
      </c>
      <c r="F96" s="253">
        <f>Dat_02!D95</f>
        <v>132.90693384979679</v>
      </c>
      <c r="G96" s="253">
        <f>Dat_02!E95</f>
        <v>40.961962326230605</v>
      </c>
      <c r="I96" s="254">
        <f>Dat_02!G95</f>
        <v>0</v>
      </c>
      <c r="J96" s="266" t="str">
        <f>IF(Dat_02!H95=0,"",Dat_02!H95)</f>
        <v/>
      </c>
    </row>
    <row r="97" spans="2:10">
      <c r="B97" s="252"/>
      <c r="C97" s="251" t="s">
        <v>257</v>
      </c>
      <c r="D97" s="252"/>
      <c r="E97" s="253">
        <f>Dat_02!C96</f>
        <v>48.808900076230607</v>
      </c>
      <c r="F97" s="253">
        <f>Dat_02!D96</f>
        <v>132.90693384979679</v>
      </c>
      <c r="G97" s="253">
        <f>Dat_02!E96</f>
        <v>48.808900076230607</v>
      </c>
      <c r="I97" s="254">
        <f>Dat_02!G96</f>
        <v>0</v>
      </c>
      <c r="J97" s="266" t="str">
        <f>IF(Dat_02!H96=0,"",Dat_02!H96)</f>
        <v/>
      </c>
    </row>
    <row r="98" spans="2:10">
      <c r="B98" s="250"/>
      <c r="C98" s="251" t="s">
        <v>258</v>
      </c>
      <c r="D98" s="250"/>
      <c r="E98" s="253">
        <f>Dat_02!C97</f>
        <v>50.550977536232473</v>
      </c>
      <c r="F98" s="253">
        <f>Dat_02!D97</f>
        <v>132.90693384979679</v>
      </c>
      <c r="G98" s="253">
        <f>Dat_02!E97</f>
        <v>50.550977536232473</v>
      </c>
      <c r="I98" s="254">
        <f>Dat_02!G97</f>
        <v>0</v>
      </c>
      <c r="J98" s="266" t="str">
        <f>IF(Dat_02!H97=0,"",Dat_02!H97)</f>
        <v/>
      </c>
    </row>
    <row r="99" spans="2:10">
      <c r="B99" s="250"/>
      <c r="C99" s="251" t="s">
        <v>259</v>
      </c>
      <c r="D99" s="250"/>
      <c r="E99" s="253">
        <f>Dat_02!C98</f>
        <v>97.01795352355073</v>
      </c>
      <c r="F99" s="253">
        <f>Dat_02!D98</f>
        <v>132.90693384979679</v>
      </c>
      <c r="G99" s="253">
        <f>Dat_02!E98</f>
        <v>97.01795352355073</v>
      </c>
      <c r="I99" s="254">
        <f>Dat_02!G98</f>
        <v>0</v>
      </c>
      <c r="J99" s="266" t="str">
        <f>IF(Dat_02!H98=0,"",Dat_02!H98)</f>
        <v/>
      </c>
    </row>
    <row r="100" spans="2:10">
      <c r="B100" s="250"/>
      <c r="C100" s="251" t="s">
        <v>260</v>
      </c>
      <c r="D100" s="250"/>
      <c r="E100" s="253">
        <f>Dat_02!C99</f>
        <v>113.77763996755631</v>
      </c>
      <c r="F100" s="253">
        <f>Dat_02!D99</f>
        <v>132.90693384979679</v>
      </c>
      <c r="G100" s="253">
        <f>Dat_02!E99</f>
        <v>113.77763996755631</v>
      </c>
      <c r="I100" s="254">
        <f>Dat_02!G99</f>
        <v>0</v>
      </c>
      <c r="J100" s="266" t="str">
        <f>IF(Dat_02!H99=0,"",Dat_02!H99)</f>
        <v/>
      </c>
    </row>
    <row r="101" spans="2:10">
      <c r="B101" s="250"/>
      <c r="C101" s="251" t="s">
        <v>261</v>
      </c>
      <c r="D101" s="250"/>
      <c r="E101" s="253">
        <f>Dat_02!C100</f>
        <v>134.52090230355446</v>
      </c>
      <c r="F101" s="253">
        <f>Dat_02!D100</f>
        <v>132.90693384979679</v>
      </c>
      <c r="G101" s="253">
        <f>Dat_02!E100</f>
        <v>132.90693384979679</v>
      </c>
      <c r="I101" s="254">
        <f>Dat_02!G100</f>
        <v>0</v>
      </c>
      <c r="J101" s="266" t="str">
        <f>IF(Dat_02!H100=0,"",Dat_02!H100)</f>
        <v/>
      </c>
    </row>
    <row r="102" spans="2:10">
      <c r="B102" s="250"/>
      <c r="C102" s="251" t="s">
        <v>262</v>
      </c>
      <c r="D102" s="250"/>
      <c r="E102" s="253">
        <f>Dat_02!C101</f>
        <v>133.51544254355261</v>
      </c>
      <c r="F102" s="253">
        <f>Dat_02!D101</f>
        <v>132.90693384979679</v>
      </c>
      <c r="G102" s="253">
        <f>Dat_02!E101</f>
        <v>132.90693384979679</v>
      </c>
      <c r="I102" s="254">
        <f>Dat_02!G101</f>
        <v>0</v>
      </c>
      <c r="J102" s="266" t="str">
        <f>IF(Dat_02!H101=0,"",Dat_02!H101)</f>
        <v/>
      </c>
    </row>
    <row r="103" spans="2:10">
      <c r="B103" s="250"/>
      <c r="C103" s="251" t="s">
        <v>263</v>
      </c>
      <c r="D103" s="250"/>
      <c r="E103" s="253">
        <f>Dat_02!C102</f>
        <v>106.08530919355445</v>
      </c>
      <c r="F103" s="253">
        <f>Dat_02!D102</f>
        <v>132.90693384979679</v>
      </c>
      <c r="G103" s="253">
        <f>Dat_02!E102</f>
        <v>106.08530919355445</v>
      </c>
      <c r="I103" s="254">
        <f>Dat_02!G102</f>
        <v>0</v>
      </c>
      <c r="J103" s="266" t="str">
        <f>IF(Dat_02!H102=0,"",Dat_02!H102)</f>
        <v/>
      </c>
    </row>
    <row r="104" spans="2:10">
      <c r="B104" s="250"/>
      <c r="C104" s="251" t="s">
        <v>264</v>
      </c>
      <c r="D104" s="250"/>
      <c r="E104" s="253">
        <f>Dat_02!C103</f>
        <v>131.25554703755444</v>
      </c>
      <c r="F104" s="253">
        <f>Dat_02!D103</f>
        <v>132.90693384979679</v>
      </c>
      <c r="G104" s="253">
        <f>Dat_02!E103</f>
        <v>131.25554703755444</v>
      </c>
      <c r="I104" s="254">
        <f>Dat_02!G103</f>
        <v>0</v>
      </c>
      <c r="J104" s="266" t="str">
        <f>IF(Dat_02!H103=0,"",Dat_02!H103)</f>
        <v/>
      </c>
    </row>
    <row r="105" spans="2:10">
      <c r="B105" s="250"/>
      <c r="C105" s="251" t="s">
        <v>265</v>
      </c>
      <c r="D105" s="250"/>
      <c r="E105" s="253">
        <f>Dat_02!C104</f>
        <v>122.2313333735526</v>
      </c>
      <c r="F105" s="253">
        <f>Dat_02!D104</f>
        <v>132.90693384979679</v>
      </c>
      <c r="G105" s="253">
        <f>Dat_02!E104</f>
        <v>122.2313333735526</v>
      </c>
      <c r="I105" s="254">
        <f>Dat_02!G104</f>
        <v>0</v>
      </c>
      <c r="J105" s="266" t="str">
        <f>IF(Dat_02!H104=0,"",Dat_02!H104)</f>
        <v/>
      </c>
    </row>
    <row r="106" spans="2:10">
      <c r="B106" s="250"/>
      <c r="C106" s="251" t="s">
        <v>266</v>
      </c>
      <c r="D106" s="250"/>
      <c r="E106" s="253">
        <f>Dat_02!C105</f>
        <v>66.422230921277958</v>
      </c>
      <c r="F106" s="253">
        <f>Dat_02!D105</f>
        <v>132.90693384979679</v>
      </c>
      <c r="G106" s="253">
        <f>Dat_02!E105</f>
        <v>66.422230921277958</v>
      </c>
      <c r="I106" s="254">
        <f>Dat_02!G105</f>
        <v>0</v>
      </c>
      <c r="J106" s="266" t="str">
        <f>IF(Dat_02!H105=0,"",Dat_02!H105)</f>
        <v/>
      </c>
    </row>
    <row r="107" spans="2:10">
      <c r="B107" s="250"/>
      <c r="C107" s="251" t="s">
        <v>267</v>
      </c>
      <c r="D107" s="250"/>
      <c r="E107" s="253">
        <f>Dat_02!C106</f>
        <v>83.603457791279808</v>
      </c>
      <c r="F107" s="253">
        <f>Dat_02!D106</f>
        <v>132.90693384979679</v>
      </c>
      <c r="G107" s="253">
        <f>Dat_02!E106</f>
        <v>83.603457791279808</v>
      </c>
      <c r="I107" s="254">
        <f>Dat_02!G106</f>
        <v>0</v>
      </c>
      <c r="J107" s="266" t="str">
        <f>IF(Dat_02!H106=0,"",Dat_02!H106)</f>
        <v/>
      </c>
    </row>
    <row r="108" spans="2:10">
      <c r="B108" s="250"/>
      <c r="C108" s="251" t="s">
        <v>268</v>
      </c>
      <c r="D108" s="250"/>
      <c r="E108" s="253">
        <f>Dat_02!C107</f>
        <v>97.312987301277957</v>
      </c>
      <c r="F108" s="253">
        <f>Dat_02!D107</f>
        <v>132.90693384979679</v>
      </c>
      <c r="G108" s="253">
        <f>Dat_02!E107</f>
        <v>97.312987301277957</v>
      </c>
      <c r="I108" s="254">
        <f>Dat_02!G107</f>
        <v>132.90693384979679</v>
      </c>
      <c r="J108" s="266" t="str">
        <f>IF(Dat_02!H107=0,"",Dat_02!H107)</f>
        <v/>
      </c>
    </row>
    <row r="109" spans="2:10">
      <c r="B109" s="250"/>
      <c r="C109" s="251" t="s">
        <v>269</v>
      </c>
      <c r="D109" s="250"/>
      <c r="E109" s="253">
        <f>Dat_02!C108</f>
        <v>74.714766641279809</v>
      </c>
      <c r="F109" s="253">
        <f>Dat_02!D108</f>
        <v>132.90693384979679</v>
      </c>
      <c r="G109" s="253">
        <f>Dat_02!E108</f>
        <v>74.714766641279809</v>
      </c>
      <c r="I109" s="254" t="str">
        <f>Dat_02!G108</f>
        <v/>
      </c>
      <c r="J109" s="266" t="str">
        <f>IF(Dat_02!H108=0,"",Dat_02!H108)</f>
        <v/>
      </c>
    </row>
    <row r="110" spans="2:10">
      <c r="B110" s="250"/>
      <c r="C110" s="251" t="s">
        <v>270</v>
      </c>
      <c r="D110" s="250"/>
      <c r="E110" s="253">
        <f>Dat_02!C109</f>
        <v>41.087115621277952</v>
      </c>
      <c r="F110" s="253">
        <f>Dat_02!D109</f>
        <v>132.90693384979679</v>
      </c>
      <c r="G110" s="253">
        <f>Dat_02!E109</f>
        <v>41.087115621277952</v>
      </c>
      <c r="I110" s="254" t="str">
        <f>Dat_02!G109</f>
        <v/>
      </c>
      <c r="J110" s="266" t="str">
        <f>IF(Dat_02!H109=0,"",Dat_02!H109)</f>
        <v/>
      </c>
    </row>
    <row r="111" spans="2:10">
      <c r="B111" s="250"/>
      <c r="C111" s="251" t="s">
        <v>271</v>
      </c>
      <c r="D111" s="250"/>
      <c r="E111" s="253">
        <f>Dat_02!C110</f>
        <v>61.18239848127795</v>
      </c>
      <c r="F111" s="253">
        <f>Dat_02!D110</f>
        <v>132.90693384979679</v>
      </c>
      <c r="G111" s="253">
        <f>Dat_02!E110</f>
        <v>61.18239848127795</v>
      </c>
      <c r="I111" s="254">
        <f>Dat_02!G110</f>
        <v>0</v>
      </c>
      <c r="J111" s="266" t="str">
        <f>IF(Dat_02!H110=0,"",Dat_02!H110)</f>
        <v/>
      </c>
    </row>
    <row r="112" spans="2:10">
      <c r="B112" s="250"/>
      <c r="C112" s="251" t="s">
        <v>272</v>
      </c>
      <c r="D112" s="250"/>
      <c r="E112" s="253">
        <f>Dat_02!C111</f>
        <v>62.000907013279814</v>
      </c>
      <c r="F112" s="253">
        <f>Dat_02!D111</f>
        <v>132.90693384979679</v>
      </c>
      <c r="G112" s="253">
        <f>Dat_02!E111</f>
        <v>62.000907013279814</v>
      </c>
      <c r="I112" s="254">
        <f>Dat_02!G111</f>
        <v>0</v>
      </c>
      <c r="J112" s="266" t="str">
        <f>IF(Dat_02!H111=0,"",Dat_02!H111)</f>
        <v/>
      </c>
    </row>
    <row r="113" spans="2:10">
      <c r="B113" s="250"/>
      <c r="C113" s="251" t="s">
        <v>273</v>
      </c>
      <c r="D113" s="250"/>
      <c r="E113" s="253">
        <f>Dat_02!C112</f>
        <v>59.069677764690461</v>
      </c>
      <c r="F113" s="253">
        <f>Dat_02!D112</f>
        <v>132.90693384979679</v>
      </c>
      <c r="G113" s="253">
        <f>Dat_02!E112</f>
        <v>59.069677764690461</v>
      </c>
      <c r="I113" s="254">
        <f>Dat_02!G112</f>
        <v>0</v>
      </c>
      <c r="J113" s="266" t="str">
        <f>IF(Dat_02!H112=0,"",Dat_02!H112)</f>
        <v/>
      </c>
    </row>
    <row r="114" spans="2:10">
      <c r="B114" s="250"/>
      <c r="C114" s="251" t="s">
        <v>274</v>
      </c>
      <c r="D114" s="250"/>
      <c r="E114" s="253">
        <f>Dat_02!C113</f>
        <v>74.912399428690463</v>
      </c>
      <c r="F114" s="253">
        <f>Dat_02!D113</f>
        <v>132.90693384979679</v>
      </c>
      <c r="G114" s="253">
        <f>Dat_02!E113</f>
        <v>74.912399428690463</v>
      </c>
      <c r="I114" s="254">
        <f>Dat_02!G113</f>
        <v>0</v>
      </c>
      <c r="J114" s="266" t="str">
        <f>IF(Dat_02!H113=0,"",Dat_02!H113)</f>
        <v/>
      </c>
    </row>
    <row r="115" spans="2:10">
      <c r="B115" s="250"/>
      <c r="C115" s="251" t="s">
        <v>275</v>
      </c>
      <c r="D115" s="250"/>
      <c r="E115" s="253">
        <f>Dat_02!C114</f>
        <v>98.957296132692321</v>
      </c>
      <c r="F115" s="253">
        <f>Dat_02!D114</f>
        <v>132.90693384979679</v>
      </c>
      <c r="G115" s="253">
        <f>Dat_02!E114</f>
        <v>98.957296132692321</v>
      </c>
      <c r="I115" s="254">
        <f>Dat_02!G114</f>
        <v>0</v>
      </c>
      <c r="J115" s="266" t="str">
        <f>IF(Dat_02!H114=0,"",Dat_02!H114)</f>
        <v/>
      </c>
    </row>
    <row r="116" spans="2:10">
      <c r="B116" s="250"/>
      <c r="C116" s="251" t="s">
        <v>276</v>
      </c>
      <c r="D116" s="250"/>
      <c r="E116" s="253">
        <f>Dat_02!C115</f>
        <v>68.347545472690456</v>
      </c>
      <c r="F116" s="253">
        <f>Dat_02!D115</f>
        <v>132.90693384979679</v>
      </c>
      <c r="G116" s="253">
        <f>Dat_02!E115</f>
        <v>68.347545472690456</v>
      </c>
      <c r="I116" s="254">
        <f>Dat_02!G115</f>
        <v>0</v>
      </c>
      <c r="J116" s="266" t="str">
        <f>IF(Dat_02!H115=0,"",Dat_02!H115)</f>
        <v/>
      </c>
    </row>
    <row r="117" spans="2:10">
      <c r="B117" s="250"/>
      <c r="C117" s="251" t="s">
        <v>277</v>
      </c>
      <c r="D117" s="250"/>
      <c r="E117" s="253">
        <f>Dat_02!C116</f>
        <v>41.337805642692324</v>
      </c>
      <c r="F117" s="253">
        <f>Dat_02!D116</f>
        <v>132.90693384979679</v>
      </c>
      <c r="G117" s="253">
        <f>Dat_02!E116</f>
        <v>41.337805642692324</v>
      </c>
      <c r="I117" s="254">
        <f>Dat_02!G116</f>
        <v>0</v>
      </c>
      <c r="J117" s="266" t="str">
        <f>IF(Dat_02!H116=0,"",Dat_02!H116)</f>
        <v/>
      </c>
    </row>
    <row r="118" spans="2:10">
      <c r="B118" s="250"/>
      <c r="C118" s="251" t="s">
        <v>278</v>
      </c>
      <c r="D118" s="250"/>
      <c r="E118" s="253">
        <f>Dat_02!C117</f>
        <v>42.095181022690454</v>
      </c>
      <c r="F118" s="253">
        <f>Dat_02!D117</f>
        <v>132.90693384979679</v>
      </c>
      <c r="G118" s="253">
        <f>Dat_02!E117</f>
        <v>42.095181022690454</v>
      </c>
      <c r="I118" s="254">
        <f>Dat_02!G117</f>
        <v>0</v>
      </c>
      <c r="J118" s="266" t="str">
        <f>IF(Dat_02!H117=0,"",Dat_02!H117)</f>
        <v/>
      </c>
    </row>
    <row r="119" spans="2:10">
      <c r="B119" s="250"/>
      <c r="C119" s="251" t="s">
        <v>279</v>
      </c>
      <c r="D119" s="250"/>
      <c r="E119" s="253">
        <f>Dat_02!C118</f>
        <v>37.959048062692325</v>
      </c>
      <c r="F119" s="253">
        <f>Dat_02!D118</f>
        <v>132.90693384979679</v>
      </c>
      <c r="G119" s="253">
        <f>Dat_02!E118</f>
        <v>37.959048062692325</v>
      </c>
      <c r="I119" s="254">
        <f>Dat_02!G118</f>
        <v>0</v>
      </c>
      <c r="J119" s="266" t="str">
        <f>IF(Dat_02!H118=0,"",Dat_02!H118)</f>
        <v/>
      </c>
    </row>
    <row r="120" spans="2:10">
      <c r="B120" s="250"/>
      <c r="C120" s="251" t="s">
        <v>280</v>
      </c>
      <c r="D120" s="250"/>
      <c r="E120" s="253">
        <f>Dat_02!C119</f>
        <v>39.210651627381345</v>
      </c>
      <c r="F120" s="253">
        <f>Dat_02!D119</f>
        <v>132.90693384979679</v>
      </c>
      <c r="G120" s="253">
        <f>Dat_02!E119</f>
        <v>39.210651627381345</v>
      </c>
      <c r="I120" s="254">
        <f>Dat_02!G119</f>
        <v>0</v>
      </c>
      <c r="J120" s="266" t="str">
        <f>IF(Dat_02!H119=0,"",Dat_02!H119)</f>
        <v/>
      </c>
    </row>
    <row r="121" spans="2:10">
      <c r="B121" s="250"/>
      <c r="C121" s="251" t="s">
        <v>281</v>
      </c>
      <c r="D121" s="250"/>
      <c r="E121" s="253">
        <f>Dat_02!C120</f>
        <v>50.566903553377628</v>
      </c>
      <c r="F121" s="253">
        <f>Dat_02!D120</f>
        <v>132.90693384979679</v>
      </c>
      <c r="G121" s="253">
        <f>Dat_02!E120</f>
        <v>50.566903553377628</v>
      </c>
      <c r="I121" s="254">
        <f>Dat_02!G120</f>
        <v>0</v>
      </c>
      <c r="J121" s="266" t="str">
        <f>IF(Dat_02!H120=0,"",Dat_02!H120)</f>
        <v/>
      </c>
    </row>
    <row r="122" spans="2:10">
      <c r="B122" s="250"/>
      <c r="C122" s="251" t="s">
        <v>282</v>
      </c>
      <c r="D122" s="250"/>
      <c r="E122" s="253">
        <f>Dat_02!C121</f>
        <v>62.55005746738135</v>
      </c>
      <c r="F122" s="253">
        <f>Dat_02!D121</f>
        <v>132.90693384979679</v>
      </c>
      <c r="G122" s="253">
        <f>Dat_02!E121</f>
        <v>62.55005746738135</v>
      </c>
      <c r="I122" s="254">
        <f>Dat_02!G121</f>
        <v>0</v>
      </c>
      <c r="J122" s="266" t="str">
        <f>IF(Dat_02!H121=0,"",Dat_02!H121)</f>
        <v/>
      </c>
    </row>
    <row r="123" spans="2:10">
      <c r="B123" s="250"/>
      <c r="C123" s="251" t="s">
        <v>283</v>
      </c>
      <c r="D123" s="250"/>
      <c r="E123" s="253">
        <f>Dat_02!C122</f>
        <v>40.608588867379488</v>
      </c>
      <c r="F123" s="253">
        <f>Dat_02!D122</f>
        <v>132.90693384979679</v>
      </c>
      <c r="G123" s="253">
        <f>Dat_02!E122</f>
        <v>40.608588867379488</v>
      </c>
      <c r="I123" s="254">
        <f>Dat_02!G122</f>
        <v>0</v>
      </c>
      <c r="J123" s="266" t="str">
        <f>IF(Dat_02!H122=0,"",Dat_02!H122)</f>
        <v/>
      </c>
    </row>
    <row r="124" spans="2:10">
      <c r="B124" s="250"/>
      <c r="C124" s="251" t="s">
        <v>284</v>
      </c>
      <c r="D124" s="250"/>
      <c r="E124" s="253">
        <f>Dat_02!C123</f>
        <v>51.831602707379488</v>
      </c>
      <c r="F124" s="253">
        <f>Dat_02!D123</f>
        <v>132.90693384979679</v>
      </c>
      <c r="G124" s="253">
        <f>Dat_02!E123</f>
        <v>51.831602707379488</v>
      </c>
      <c r="I124" s="254">
        <f>Dat_02!G123</f>
        <v>0</v>
      </c>
      <c r="J124" s="266" t="str">
        <f>IF(Dat_02!H123=0,"",Dat_02!H123)</f>
        <v/>
      </c>
    </row>
    <row r="125" spans="2:10">
      <c r="B125" s="252"/>
      <c r="C125" s="257" t="s">
        <v>285</v>
      </c>
      <c r="D125" s="250"/>
      <c r="E125" s="253">
        <f>Dat_02!C124</f>
        <v>76.662643839381346</v>
      </c>
      <c r="F125" s="253">
        <f>Dat_02!D124</f>
        <v>128.77123560535</v>
      </c>
      <c r="G125" s="253">
        <f>Dat_02!E124</f>
        <v>76.662643839381346</v>
      </c>
      <c r="I125" s="254">
        <f>Dat_02!G124</f>
        <v>0</v>
      </c>
      <c r="J125" s="266" t="str">
        <f>IF(Dat_02!H124=0,"",Dat_02!H124)</f>
        <v/>
      </c>
    </row>
    <row r="126" spans="2:10">
      <c r="B126" s="250" t="s">
        <v>286</v>
      </c>
      <c r="C126" s="251" t="s">
        <v>287</v>
      </c>
      <c r="D126" s="252"/>
      <c r="E126" s="253">
        <f>Dat_02!C125</f>
        <v>73.117034955377619</v>
      </c>
      <c r="F126" s="253">
        <f>Dat_02!D125</f>
        <v>128.77123560535</v>
      </c>
      <c r="G126" s="253">
        <f>Dat_02!E125</f>
        <v>73.117034955377619</v>
      </c>
      <c r="I126" s="254">
        <f>Dat_02!G125</f>
        <v>0</v>
      </c>
      <c r="J126" s="266" t="str">
        <f>IF(Dat_02!H125=0,"",Dat_02!H125)</f>
        <v/>
      </c>
    </row>
    <row r="127" spans="2:10">
      <c r="B127" s="252"/>
      <c r="C127" s="251" t="s">
        <v>288</v>
      </c>
      <c r="D127" s="252"/>
      <c r="E127" s="253">
        <f>Dat_02!C126</f>
        <v>45.024506179779593</v>
      </c>
      <c r="F127" s="253">
        <f>Dat_02!D126</f>
        <v>128.77123560535</v>
      </c>
      <c r="G127" s="253">
        <f>Dat_02!E126</f>
        <v>45.024506179779593</v>
      </c>
      <c r="I127" s="254">
        <f>Dat_02!G126</f>
        <v>0</v>
      </c>
      <c r="J127" s="266" t="str">
        <f>IF(Dat_02!H126=0,"",Dat_02!H126)</f>
        <v/>
      </c>
    </row>
    <row r="128" spans="2:10">
      <c r="B128" s="250"/>
      <c r="C128" s="251" t="s">
        <v>289</v>
      </c>
      <c r="D128" s="252"/>
      <c r="E128" s="253">
        <f>Dat_02!C127</f>
        <v>42.33311552377959</v>
      </c>
      <c r="F128" s="253">
        <f>Dat_02!D127</f>
        <v>128.77123560535</v>
      </c>
      <c r="G128" s="253">
        <f>Dat_02!E127</f>
        <v>42.33311552377959</v>
      </c>
      <c r="I128" s="254">
        <f>Dat_02!G127</f>
        <v>0</v>
      </c>
      <c r="J128" s="266" t="str">
        <f>IF(Dat_02!H127=0,"",Dat_02!H127)</f>
        <v/>
      </c>
    </row>
    <row r="129" spans="2:10">
      <c r="B129" s="250"/>
      <c r="C129" s="251" t="s">
        <v>290</v>
      </c>
      <c r="D129" s="250"/>
      <c r="E129" s="253">
        <f>Dat_02!C128</f>
        <v>53.148606071777728</v>
      </c>
      <c r="F129" s="253">
        <f>Dat_02!D128</f>
        <v>128.77123560535</v>
      </c>
      <c r="G129" s="253">
        <f>Dat_02!E128</f>
        <v>53.148606071777728</v>
      </c>
      <c r="I129" s="254">
        <f>Dat_02!G128</f>
        <v>0</v>
      </c>
      <c r="J129" s="266" t="str">
        <f>IF(Dat_02!H128=0,"",Dat_02!H128)</f>
        <v/>
      </c>
    </row>
    <row r="130" spans="2:10">
      <c r="B130" s="250"/>
      <c r="C130" s="251" t="s">
        <v>291</v>
      </c>
      <c r="D130" s="250"/>
      <c r="E130" s="253">
        <f>Dat_02!C129</f>
        <v>35.40131546777959</v>
      </c>
      <c r="F130" s="253">
        <f>Dat_02!D129</f>
        <v>128.77123560535</v>
      </c>
      <c r="G130" s="253">
        <f>Dat_02!E129</f>
        <v>35.40131546777959</v>
      </c>
      <c r="I130" s="254">
        <f>Dat_02!G129</f>
        <v>0</v>
      </c>
      <c r="J130" s="266" t="str">
        <f>IF(Dat_02!H129=0,"",Dat_02!H129)</f>
        <v/>
      </c>
    </row>
    <row r="131" spans="2:10">
      <c r="B131" s="250"/>
      <c r="C131" s="251" t="s">
        <v>292</v>
      </c>
      <c r="D131" s="250"/>
      <c r="E131" s="253">
        <f>Dat_02!C130</f>
        <v>30.369701119777734</v>
      </c>
      <c r="F131" s="253">
        <f>Dat_02!D130</f>
        <v>128.77123560535</v>
      </c>
      <c r="G131" s="253">
        <f>Dat_02!E130</f>
        <v>30.369701119777734</v>
      </c>
      <c r="I131" s="254">
        <f>Dat_02!G130</f>
        <v>0</v>
      </c>
      <c r="J131" s="266" t="str">
        <f>IF(Dat_02!H130=0,"",Dat_02!H130)</f>
        <v/>
      </c>
    </row>
    <row r="132" spans="2:10">
      <c r="B132" s="250"/>
      <c r="C132" s="251" t="s">
        <v>293</v>
      </c>
      <c r="D132" s="250"/>
      <c r="E132" s="253">
        <f>Dat_02!C131</f>
        <v>38.897896747777729</v>
      </c>
      <c r="F132" s="253">
        <f>Dat_02!D131</f>
        <v>128.77123560535</v>
      </c>
      <c r="G132" s="253">
        <f>Dat_02!E131</f>
        <v>38.897896747777729</v>
      </c>
      <c r="I132" s="254">
        <f>Dat_02!G131</f>
        <v>0</v>
      </c>
      <c r="J132" s="266" t="str">
        <f>IF(Dat_02!H131=0,"",Dat_02!H131)</f>
        <v/>
      </c>
    </row>
    <row r="133" spans="2:10">
      <c r="B133" s="250"/>
      <c r="C133" s="251" t="s">
        <v>294</v>
      </c>
      <c r="D133" s="250"/>
      <c r="E133" s="253">
        <f>Dat_02!C132</f>
        <v>35.460223803779591</v>
      </c>
      <c r="F133" s="253">
        <f>Dat_02!D132</f>
        <v>128.77123560535</v>
      </c>
      <c r="G133" s="253">
        <f>Dat_02!E132</f>
        <v>35.460223803779591</v>
      </c>
      <c r="I133" s="254">
        <f>Dat_02!G132</f>
        <v>0</v>
      </c>
      <c r="J133" s="266" t="str">
        <f>IF(Dat_02!H132=0,"",Dat_02!H132)</f>
        <v/>
      </c>
    </row>
    <row r="134" spans="2:10">
      <c r="B134" s="250"/>
      <c r="C134" s="251" t="s">
        <v>295</v>
      </c>
      <c r="D134" s="250"/>
      <c r="E134" s="253">
        <f>Dat_02!C133</f>
        <v>73.590745241523095</v>
      </c>
      <c r="F134" s="253">
        <f>Dat_02!D133</f>
        <v>128.77123560535</v>
      </c>
      <c r="G134" s="253">
        <f>Dat_02!E133</f>
        <v>73.590745241523095</v>
      </c>
      <c r="I134" s="254">
        <f>Dat_02!G133</f>
        <v>0</v>
      </c>
      <c r="J134" s="266" t="str">
        <f>IF(Dat_02!H133=0,"",Dat_02!H133)</f>
        <v/>
      </c>
    </row>
    <row r="135" spans="2:10">
      <c r="B135" s="250"/>
      <c r="C135" s="251" t="s">
        <v>296</v>
      </c>
      <c r="D135" s="250"/>
      <c r="E135" s="253">
        <f>Dat_02!C134</f>
        <v>81.935471213523101</v>
      </c>
      <c r="F135" s="253">
        <f>Dat_02!D134</f>
        <v>128.77123560535</v>
      </c>
      <c r="G135" s="253">
        <f>Dat_02!E134</f>
        <v>81.935471213523101</v>
      </c>
      <c r="I135" s="254">
        <f>Dat_02!G134</f>
        <v>0</v>
      </c>
      <c r="J135" s="266" t="str">
        <f>IF(Dat_02!H134=0,"",Dat_02!H134)</f>
        <v/>
      </c>
    </row>
    <row r="136" spans="2:10">
      <c r="B136" s="250"/>
      <c r="C136" s="251" t="s">
        <v>297</v>
      </c>
      <c r="D136" s="250"/>
      <c r="E136" s="253">
        <f>Dat_02!C135</f>
        <v>81.298658489523092</v>
      </c>
      <c r="F136" s="253">
        <f>Dat_02!D135</f>
        <v>128.77123560535</v>
      </c>
      <c r="G136" s="253">
        <f>Dat_02!E135</f>
        <v>81.298658489523092</v>
      </c>
      <c r="I136" s="254">
        <f>Dat_02!G135</f>
        <v>0</v>
      </c>
      <c r="J136" s="266" t="str">
        <f>IF(Dat_02!H135=0,"",Dat_02!H135)</f>
        <v/>
      </c>
    </row>
    <row r="137" spans="2:10">
      <c r="B137" s="250"/>
      <c r="C137" s="251" t="s">
        <v>298</v>
      </c>
      <c r="D137" s="250"/>
      <c r="E137" s="253">
        <f>Dat_02!C136</f>
        <v>71.775422277523091</v>
      </c>
      <c r="F137" s="253">
        <f>Dat_02!D136</f>
        <v>128.77123560535</v>
      </c>
      <c r="G137" s="253">
        <f>Dat_02!E136</f>
        <v>71.775422277523091</v>
      </c>
      <c r="I137" s="254">
        <f>Dat_02!G136</f>
        <v>0</v>
      </c>
      <c r="J137" s="266" t="str">
        <f>IF(Dat_02!H136=0,"",Dat_02!H136)</f>
        <v/>
      </c>
    </row>
    <row r="138" spans="2:10">
      <c r="B138" s="250"/>
      <c r="C138" s="251" t="s">
        <v>299</v>
      </c>
      <c r="D138" s="250"/>
      <c r="E138" s="253">
        <f>Dat_02!C137</f>
        <v>65.230425237523093</v>
      </c>
      <c r="F138" s="253">
        <f>Dat_02!D137</f>
        <v>128.77123560535</v>
      </c>
      <c r="G138" s="253">
        <f>Dat_02!E137</f>
        <v>65.230425237523093</v>
      </c>
      <c r="I138" s="254" t="str">
        <f>Dat_02!G137</f>
        <v/>
      </c>
      <c r="J138" s="266" t="str">
        <f>IF(Dat_02!H137=0,"",Dat_02!H137)</f>
        <v/>
      </c>
    </row>
    <row r="139" spans="2:10">
      <c r="B139" s="250"/>
      <c r="C139" s="251" t="s">
        <v>300</v>
      </c>
      <c r="D139" s="250"/>
      <c r="E139" s="253">
        <f>Dat_02!C138</f>
        <v>75.106005453521234</v>
      </c>
      <c r="F139" s="253">
        <f>Dat_02!D138</f>
        <v>128.77123560535</v>
      </c>
      <c r="G139" s="253">
        <f>Dat_02!E138</f>
        <v>75.106005453521234</v>
      </c>
      <c r="I139" s="254">
        <f>Dat_02!G138</f>
        <v>128.77123560535</v>
      </c>
      <c r="J139" s="266" t="str">
        <f>IF(Dat_02!H138=0,"",Dat_02!H138)</f>
        <v/>
      </c>
    </row>
    <row r="140" spans="2:10">
      <c r="B140" s="250"/>
      <c r="C140" s="251" t="s">
        <v>301</v>
      </c>
      <c r="D140" s="250"/>
      <c r="E140" s="253">
        <f>Dat_02!C139</f>
        <v>82.865641981523098</v>
      </c>
      <c r="F140" s="253">
        <f>Dat_02!D139</f>
        <v>128.77123560535</v>
      </c>
      <c r="G140" s="253">
        <f>Dat_02!E139</f>
        <v>82.865641981523098</v>
      </c>
      <c r="I140" s="254" t="str">
        <f>Dat_02!G139</f>
        <v/>
      </c>
      <c r="J140" s="266" t="str">
        <f>IF(Dat_02!H139=0,"",Dat_02!H139)</f>
        <v/>
      </c>
    </row>
    <row r="141" spans="2:10">
      <c r="B141" s="250"/>
      <c r="C141" s="251" t="s">
        <v>302</v>
      </c>
      <c r="D141" s="250"/>
      <c r="E141" s="253">
        <f>Dat_02!C140</f>
        <v>100.01872431620907</v>
      </c>
      <c r="F141" s="253">
        <f>Dat_02!D140</f>
        <v>128.77123560535</v>
      </c>
      <c r="G141" s="253">
        <f>Dat_02!E140</f>
        <v>100.01872431620907</v>
      </c>
      <c r="I141" s="254" t="str">
        <f>Dat_02!G140</f>
        <v/>
      </c>
      <c r="J141" s="266" t="str">
        <f>IF(Dat_02!H140=0,"",Dat_02!H140)</f>
        <v/>
      </c>
    </row>
    <row r="142" spans="2:10">
      <c r="B142" s="250"/>
      <c r="C142" s="251" t="s">
        <v>303</v>
      </c>
      <c r="D142" s="250"/>
      <c r="E142" s="253">
        <f>Dat_02!C141</f>
        <v>97.640177000207203</v>
      </c>
      <c r="F142" s="253">
        <f>Dat_02!D141</f>
        <v>128.77123560535</v>
      </c>
      <c r="G142" s="253">
        <f>Dat_02!E141</f>
        <v>97.640177000207203</v>
      </c>
      <c r="I142" s="254">
        <f>Dat_02!G141</f>
        <v>0</v>
      </c>
      <c r="J142" s="266" t="str">
        <f>IF(Dat_02!H141=0,"",Dat_02!H141)</f>
        <v/>
      </c>
    </row>
    <row r="143" spans="2:10">
      <c r="B143" s="250"/>
      <c r="C143" s="251" t="s">
        <v>304</v>
      </c>
      <c r="D143" s="250"/>
      <c r="E143" s="253">
        <f>Dat_02!C142</f>
        <v>76.378072956209067</v>
      </c>
      <c r="F143" s="253">
        <f>Dat_02!D142</f>
        <v>128.77123560535</v>
      </c>
      <c r="G143" s="253">
        <f>Dat_02!E142</f>
        <v>76.378072956209067</v>
      </c>
      <c r="I143" s="254">
        <f>Dat_02!G142</f>
        <v>0</v>
      </c>
      <c r="J143" s="266" t="str">
        <f>IF(Dat_02!H142=0,"",Dat_02!H142)</f>
        <v/>
      </c>
    </row>
    <row r="144" spans="2:10">
      <c r="B144" s="250"/>
      <c r="C144" s="251" t="s">
        <v>305</v>
      </c>
      <c r="D144" s="250"/>
      <c r="E144" s="253">
        <f>Dat_02!C143</f>
        <v>73.470189276207208</v>
      </c>
      <c r="F144" s="253">
        <f>Dat_02!D143</f>
        <v>128.77123560535</v>
      </c>
      <c r="G144" s="253">
        <f>Dat_02!E143</f>
        <v>73.470189276207208</v>
      </c>
      <c r="I144" s="254">
        <f>Dat_02!G143</f>
        <v>0</v>
      </c>
      <c r="J144" s="266" t="str">
        <f>IF(Dat_02!H143=0,"",Dat_02!H143)</f>
        <v/>
      </c>
    </row>
    <row r="145" spans="2:10">
      <c r="B145" s="250"/>
      <c r="C145" s="251" t="s">
        <v>306</v>
      </c>
      <c r="D145" s="250"/>
      <c r="E145" s="253">
        <f>Dat_02!C144</f>
        <v>82.184180796209063</v>
      </c>
      <c r="F145" s="253">
        <f>Dat_02!D144</f>
        <v>128.77123560535</v>
      </c>
      <c r="G145" s="253">
        <f>Dat_02!E144</f>
        <v>82.184180796209063</v>
      </c>
      <c r="I145" s="254">
        <f>Dat_02!G144</f>
        <v>0</v>
      </c>
      <c r="J145" s="266" t="str">
        <f>IF(Dat_02!H144=0,"",Dat_02!H144)</f>
        <v/>
      </c>
    </row>
    <row r="146" spans="2:10">
      <c r="B146" s="250"/>
      <c r="C146" s="251" t="s">
        <v>307</v>
      </c>
      <c r="D146" s="250"/>
      <c r="E146" s="253">
        <f>Dat_02!C145</f>
        <v>83.15904527220907</v>
      </c>
      <c r="F146" s="253">
        <f>Dat_02!D145</f>
        <v>128.77123560535</v>
      </c>
      <c r="G146" s="253">
        <f>Dat_02!E145</f>
        <v>83.15904527220907</v>
      </c>
      <c r="I146" s="254">
        <f>Dat_02!G145</f>
        <v>0</v>
      </c>
      <c r="J146" s="266" t="str">
        <f>IF(Dat_02!H145=0,"",Dat_02!H145)</f>
        <v/>
      </c>
    </row>
    <row r="147" spans="2:10">
      <c r="B147" s="250"/>
      <c r="C147" s="251" t="s">
        <v>308</v>
      </c>
      <c r="D147" s="250"/>
      <c r="E147" s="253">
        <f>Dat_02!C146</f>
        <v>84.983474912207214</v>
      </c>
      <c r="F147" s="253">
        <f>Dat_02!D146</f>
        <v>128.77123560535</v>
      </c>
      <c r="G147" s="253">
        <f>Dat_02!E146</f>
        <v>84.983474912207214</v>
      </c>
      <c r="I147" s="254">
        <f>Dat_02!G146</f>
        <v>0</v>
      </c>
      <c r="J147" s="266" t="str">
        <f>IF(Dat_02!H146=0,"",Dat_02!H146)</f>
        <v/>
      </c>
    </row>
    <row r="148" spans="2:10">
      <c r="B148" s="250"/>
      <c r="C148" s="251" t="s">
        <v>309</v>
      </c>
      <c r="D148" s="250"/>
      <c r="E148" s="253">
        <f>Dat_02!C147</f>
        <v>120.16015579154841</v>
      </c>
      <c r="F148" s="253">
        <f>Dat_02!D147</f>
        <v>128.77123560535</v>
      </c>
      <c r="G148" s="253">
        <f>Dat_02!E147</f>
        <v>120.16015579154841</v>
      </c>
      <c r="I148" s="254">
        <f>Dat_02!G147</f>
        <v>0</v>
      </c>
      <c r="J148" s="266" t="str">
        <f>IF(Dat_02!H147=0,"",Dat_02!H147)</f>
        <v/>
      </c>
    </row>
    <row r="149" spans="2:10">
      <c r="B149" s="250"/>
      <c r="C149" s="251" t="s">
        <v>310</v>
      </c>
      <c r="D149" s="250"/>
      <c r="E149" s="253">
        <f>Dat_02!C148</f>
        <v>122.17053837154654</v>
      </c>
      <c r="F149" s="253">
        <f>Dat_02!D148</f>
        <v>128.77123560535</v>
      </c>
      <c r="G149" s="253">
        <f>Dat_02!E148</f>
        <v>122.17053837154654</v>
      </c>
      <c r="I149" s="254">
        <f>Dat_02!G148</f>
        <v>0</v>
      </c>
      <c r="J149" s="266" t="str">
        <f>IF(Dat_02!H148=0,"",Dat_02!H148)</f>
        <v/>
      </c>
    </row>
    <row r="150" spans="2:10">
      <c r="B150" s="250"/>
      <c r="C150" s="251" t="s">
        <v>311</v>
      </c>
      <c r="D150" s="250"/>
      <c r="E150" s="253">
        <f>Dat_02!C149</f>
        <v>133.72763285954653</v>
      </c>
      <c r="F150" s="253">
        <f>Dat_02!D149</f>
        <v>128.77123560535</v>
      </c>
      <c r="G150" s="253">
        <f>Dat_02!E149</f>
        <v>128.77123560535</v>
      </c>
      <c r="I150" s="254">
        <f>Dat_02!G149</f>
        <v>0</v>
      </c>
      <c r="J150" s="266" t="str">
        <f>IF(Dat_02!H149=0,"",Dat_02!H149)</f>
        <v/>
      </c>
    </row>
    <row r="151" spans="2:10">
      <c r="B151" s="250"/>
      <c r="C151" s="251" t="s">
        <v>312</v>
      </c>
      <c r="D151" s="250"/>
      <c r="E151" s="253">
        <f>Dat_02!C150</f>
        <v>132.62970923154842</v>
      </c>
      <c r="F151" s="253">
        <f>Dat_02!D150</f>
        <v>128.77123560535</v>
      </c>
      <c r="G151" s="253">
        <f>Dat_02!E150</f>
        <v>128.77123560535</v>
      </c>
      <c r="I151" s="254">
        <f>Dat_02!G150</f>
        <v>0</v>
      </c>
      <c r="J151" s="266" t="str">
        <f>IF(Dat_02!H150=0,"",Dat_02!H150)</f>
        <v/>
      </c>
    </row>
    <row r="152" spans="2:10">
      <c r="B152" s="250"/>
      <c r="C152" s="251" t="s">
        <v>313</v>
      </c>
      <c r="D152" s="250"/>
      <c r="E152" s="253">
        <f>Dat_02!C151</f>
        <v>124.85596989154841</v>
      </c>
      <c r="F152" s="253">
        <f>Dat_02!D151</f>
        <v>128.77123560535</v>
      </c>
      <c r="G152" s="253">
        <f>Dat_02!E151</f>
        <v>124.85596989154841</v>
      </c>
      <c r="I152" s="254">
        <f>Dat_02!G151</f>
        <v>0</v>
      </c>
      <c r="J152" s="266" t="str">
        <f>IF(Dat_02!H151=0,"",Dat_02!H151)</f>
        <v/>
      </c>
    </row>
    <row r="153" spans="2:10">
      <c r="B153" s="250"/>
      <c r="C153" s="251" t="s">
        <v>314</v>
      </c>
      <c r="D153" s="250"/>
      <c r="E153" s="253">
        <f>Dat_02!C152</f>
        <v>140.27391316354652</v>
      </c>
      <c r="F153" s="253">
        <f>Dat_02!D152</f>
        <v>128.77123560535</v>
      </c>
      <c r="G153" s="253">
        <f>Dat_02!E152</f>
        <v>128.77123560535</v>
      </c>
      <c r="I153" s="254">
        <f>Dat_02!G152</f>
        <v>0</v>
      </c>
      <c r="J153" s="266" t="str">
        <f>IF(Dat_02!H152=0,"",Dat_02!H152)</f>
        <v/>
      </c>
    </row>
    <row r="154" spans="2:10">
      <c r="B154" s="250"/>
      <c r="C154" s="251" t="s">
        <v>315</v>
      </c>
      <c r="D154" s="250"/>
      <c r="E154" s="253">
        <f>Dat_02!C153</f>
        <v>140.00868754754842</v>
      </c>
      <c r="F154" s="253">
        <f>Dat_02!D153</f>
        <v>128.77123560535</v>
      </c>
      <c r="G154" s="253">
        <f>Dat_02!E153</f>
        <v>128.77123560535</v>
      </c>
      <c r="I154" s="254">
        <f>Dat_02!G153</f>
        <v>0</v>
      </c>
      <c r="J154" s="266" t="str">
        <f>IF(Dat_02!H153=0,"",Dat_02!H153)</f>
        <v/>
      </c>
    </row>
    <row r="155" spans="2:10">
      <c r="B155" s="250"/>
      <c r="C155" s="251" t="s">
        <v>316</v>
      </c>
      <c r="D155" s="250"/>
      <c r="E155" s="253">
        <f>Dat_02!C154</f>
        <v>105.74095903098869</v>
      </c>
      <c r="F155" s="253">
        <f>Dat_02!D154</f>
        <v>105.65373260469035</v>
      </c>
      <c r="G155" s="253">
        <f>Dat_02!E154</f>
        <v>105.65373260469035</v>
      </c>
      <c r="I155" s="254">
        <f>Dat_02!G154</f>
        <v>0</v>
      </c>
      <c r="J155" s="266" t="str">
        <f>IF(Dat_02!H154=0,"",Dat_02!H154)</f>
        <v/>
      </c>
    </row>
    <row r="156" spans="2:10">
      <c r="B156" s="252"/>
      <c r="C156" s="257" t="s">
        <v>317</v>
      </c>
      <c r="D156" s="252"/>
      <c r="E156" s="253">
        <f>Dat_02!C155</f>
        <v>100.09574057899054</v>
      </c>
      <c r="F156" s="253">
        <f>Dat_02!D155</f>
        <v>105.65373260469035</v>
      </c>
      <c r="G156" s="253">
        <f>Dat_02!E155</f>
        <v>100.09574057899054</v>
      </c>
      <c r="I156" s="254">
        <f>Dat_02!G155</f>
        <v>0</v>
      </c>
      <c r="J156" s="266" t="str">
        <f>IF(Dat_02!H155=0,"",Dat_02!H155)</f>
        <v/>
      </c>
    </row>
    <row r="157" spans="2:10">
      <c r="B157" s="250" t="s">
        <v>318</v>
      </c>
      <c r="C157" s="251" t="s">
        <v>319</v>
      </c>
      <c r="D157" s="252"/>
      <c r="E157" s="253">
        <f>Dat_02!C156</f>
        <v>102.83984928298868</v>
      </c>
      <c r="F157" s="253">
        <f>Dat_02!D156</f>
        <v>105.65373260469035</v>
      </c>
      <c r="G157" s="253">
        <f>Dat_02!E156</f>
        <v>102.83984928298868</v>
      </c>
      <c r="I157" s="254">
        <f>Dat_02!G156</f>
        <v>0</v>
      </c>
      <c r="J157" s="266" t="str">
        <f>IF(Dat_02!H156=0,"",Dat_02!H156)</f>
        <v/>
      </c>
    </row>
    <row r="158" spans="2:10">
      <c r="B158" s="252"/>
      <c r="C158" s="251" t="s">
        <v>320</v>
      </c>
      <c r="D158" s="252"/>
      <c r="E158" s="253">
        <f>Dat_02!C157</f>
        <v>101.27127545099053</v>
      </c>
      <c r="F158" s="253">
        <f>Dat_02!D157</f>
        <v>105.65373260469035</v>
      </c>
      <c r="G158" s="253">
        <f>Dat_02!E157</f>
        <v>101.27127545099053</v>
      </c>
      <c r="I158" s="254">
        <f>Dat_02!G157</f>
        <v>0</v>
      </c>
      <c r="J158" s="266" t="str">
        <f>IF(Dat_02!H157=0,"",Dat_02!H157)</f>
        <v/>
      </c>
    </row>
    <row r="159" spans="2:10">
      <c r="B159" s="250"/>
      <c r="C159" s="251" t="s">
        <v>321</v>
      </c>
      <c r="D159" s="250"/>
      <c r="E159" s="253">
        <f>Dat_02!C158</f>
        <v>93.971423794990557</v>
      </c>
      <c r="F159" s="253">
        <f>Dat_02!D158</f>
        <v>105.65373260469035</v>
      </c>
      <c r="G159" s="253">
        <f>Dat_02!E158</f>
        <v>93.971423794990557</v>
      </c>
      <c r="I159" s="254">
        <f>Dat_02!G158</f>
        <v>0</v>
      </c>
      <c r="J159" s="266" t="str">
        <f>IF(Dat_02!H158=0,"",Dat_02!H158)</f>
        <v/>
      </c>
    </row>
    <row r="160" spans="2:10">
      <c r="B160" s="250"/>
      <c r="C160" s="251" t="s">
        <v>322</v>
      </c>
      <c r="D160" s="250"/>
      <c r="E160" s="253">
        <f>Dat_02!C159</f>
        <v>113.61467043498868</v>
      </c>
      <c r="F160" s="253">
        <f>Dat_02!D159</f>
        <v>105.65373260469035</v>
      </c>
      <c r="G160" s="253">
        <f>Dat_02!E159</f>
        <v>105.65373260469035</v>
      </c>
      <c r="I160" s="254">
        <f>Dat_02!G159</f>
        <v>0</v>
      </c>
      <c r="J160" s="266" t="str">
        <f>IF(Dat_02!H159=0,"",Dat_02!H159)</f>
        <v/>
      </c>
    </row>
    <row r="161" spans="2:10">
      <c r="B161" s="250"/>
      <c r="C161" s="251" t="s">
        <v>323</v>
      </c>
      <c r="D161" s="250"/>
      <c r="E161" s="253">
        <f>Dat_02!C160</f>
        <v>103.96177035099053</v>
      </c>
      <c r="F161" s="253">
        <f>Dat_02!D160</f>
        <v>105.65373260469035</v>
      </c>
      <c r="G161" s="253">
        <f>Dat_02!E160</f>
        <v>103.96177035099053</v>
      </c>
      <c r="I161" s="254">
        <f>Dat_02!G160</f>
        <v>0</v>
      </c>
      <c r="J161" s="266" t="str">
        <f>IF(Dat_02!H160=0,"",Dat_02!H160)</f>
        <v/>
      </c>
    </row>
    <row r="162" spans="2:10">
      <c r="B162" s="250"/>
      <c r="C162" s="251" t="s">
        <v>324</v>
      </c>
      <c r="D162" s="250"/>
      <c r="E162" s="253">
        <f>Dat_02!C161</f>
        <v>66.221452729308808</v>
      </c>
      <c r="F162" s="253">
        <f>Dat_02!D161</f>
        <v>105.65373260469035</v>
      </c>
      <c r="G162" s="253">
        <f>Dat_02!E161</f>
        <v>66.221452729308808</v>
      </c>
      <c r="I162" s="254">
        <f>Dat_02!G161</f>
        <v>0</v>
      </c>
      <c r="J162" s="266" t="str">
        <f>IF(Dat_02!H161=0,"",Dat_02!H161)</f>
        <v/>
      </c>
    </row>
    <row r="163" spans="2:10">
      <c r="B163" s="250"/>
      <c r="C163" s="251" t="s">
        <v>325</v>
      </c>
      <c r="D163" s="250"/>
      <c r="E163" s="253">
        <f>Dat_02!C162</f>
        <v>74.446018409306944</v>
      </c>
      <c r="F163" s="253">
        <f>Dat_02!D162</f>
        <v>105.65373260469035</v>
      </c>
      <c r="G163" s="253">
        <f>Dat_02!E162</f>
        <v>74.446018409306944</v>
      </c>
      <c r="I163" s="254">
        <f>Dat_02!G162</f>
        <v>0</v>
      </c>
      <c r="J163" s="266" t="str">
        <f>IF(Dat_02!H162=0,"",Dat_02!H162)</f>
        <v/>
      </c>
    </row>
    <row r="164" spans="2:10">
      <c r="B164" s="250"/>
      <c r="C164" s="251" t="s">
        <v>326</v>
      </c>
      <c r="D164" s="250"/>
      <c r="E164" s="253">
        <f>Dat_02!C163</f>
        <v>83.660476461306928</v>
      </c>
      <c r="F164" s="253">
        <f>Dat_02!D163</f>
        <v>105.65373260469035</v>
      </c>
      <c r="G164" s="253">
        <f>Dat_02!E163</f>
        <v>83.660476461306928</v>
      </c>
      <c r="I164" s="254">
        <f>Dat_02!G163</f>
        <v>0</v>
      </c>
      <c r="J164" s="266" t="str">
        <f>IF(Dat_02!H163=0,"",Dat_02!H163)</f>
        <v/>
      </c>
    </row>
    <row r="165" spans="2:10">
      <c r="B165" s="250"/>
      <c r="C165" s="251" t="s">
        <v>327</v>
      </c>
      <c r="D165" s="250"/>
      <c r="E165" s="253">
        <f>Dat_02!C164</f>
        <v>75.973093089306929</v>
      </c>
      <c r="F165" s="253">
        <f>Dat_02!D164</f>
        <v>105.65373260469035</v>
      </c>
      <c r="G165" s="253">
        <f>Dat_02!E164</f>
        <v>75.973093089306929</v>
      </c>
      <c r="I165" s="254">
        <f>Dat_02!G164</f>
        <v>0</v>
      </c>
      <c r="J165" s="266" t="str">
        <f>IF(Dat_02!H164=0,"",Dat_02!H164)</f>
        <v/>
      </c>
    </row>
    <row r="166" spans="2:10">
      <c r="B166" s="250"/>
      <c r="C166" s="251" t="s">
        <v>328</v>
      </c>
      <c r="D166" s="250"/>
      <c r="E166" s="253">
        <f>Dat_02!C165</f>
        <v>66.319120533306943</v>
      </c>
      <c r="F166" s="253">
        <f>Dat_02!D165</f>
        <v>105.65373260469035</v>
      </c>
      <c r="G166" s="253">
        <f>Dat_02!E165</f>
        <v>66.319120533306943</v>
      </c>
      <c r="I166" s="254">
        <f>Dat_02!G165</f>
        <v>0</v>
      </c>
      <c r="J166" s="266" t="str">
        <f>IF(Dat_02!H165=0,"",Dat_02!H165)</f>
        <v/>
      </c>
    </row>
    <row r="167" spans="2:10">
      <c r="B167" s="250"/>
      <c r="C167" s="251" t="s">
        <v>329</v>
      </c>
      <c r="D167" s="250"/>
      <c r="E167" s="253">
        <f>Dat_02!C166</f>
        <v>71.987889609306933</v>
      </c>
      <c r="F167" s="253">
        <f>Dat_02!D166</f>
        <v>105.65373260469035</v>
      </c>
      <c r="G167" s="253">
        <f>Dat_02!E166</f>
        <v>71.987889609306933</v>
      </c>
      <c r="I167" s="254">
        <f>Dat_02!G166</f>
        <v>0</v>
      </c>
      <c r="J167" s="266" t="str">
        <f>IF(Dat_02!H166=0,"",Dat_02!H166)</f>
        <v/>
      </c>
    </row>
    <row r="168" spans="2:10">
      <c r="B168" s="250"/>
      <c r="C168" s="251" t="s">
        <v>330</v>
      </c>
      <c r="D168" s="250"/>
      <c r="E168" s="253">
        <f>Dat_02!C167</f>
        <v>75.311342213308791</v>
      </c>
      <c r="F168" s="253">
        <f>Dat_02!D167</f>
        <v>105.65373260469035</v>
      </c>
      <c r="G168" s="253">
        <f>Dat_02!E167</f>
        <v>75.311342213308791</v>
      </c>
      <c r="I168" s="254">
        <f>Dat_02!G167</f>
        <v>0</v>
      </c>
      <c r="J168" s="266" t="str">
        <f>IF(Dat_02!H167=0,"",Dat_02!H167)</f>
        <v/>
      </c>
    </row>
    <row r="169" spans="2:10">
      <c r="B169" s="250"/>
      <c r="C169" s="251" t="s">
        <v>331</v>
      </c>
      <c r="D169" s="250"/>
      <c r="E169" s="253">
        <f>Dat_02!C168</f>
        <v>74.37980817415513</v>
      </c>
      <c r="F169" s="253">
        <f>Dat_02!D168</f>
        <v>105.65373260469035</v>
      </c>
      <c r="G169" s="253">
        <f>Dat_02!E168</f>
        <v>74.37980817415513</v>
      </c>
      <c r="I169" s="254">
        <f>Dat_02!G168</f>
        <v>105.65373260469035</v>
      </c>
      <c r="J169" s="266" t="str">
        <f>IF(Dat_02!H168=0,"",Dat_02!H168)</f>
        <v/>
      </c>
    </row>
    <row r="170" spans="2:10">
      <c r="B170" s="250"/>
      <c r="C170" s="251" t="s">
        <v>332</v>
      </c>
      <c r="D170" s="250"/>
      <c r="E170" s="253">
        <f>Dat_02!C169</f>
        <v>68.006816766156987</v>
      </c>
      <c r="F170" s="253">
        <f>Dat_02!D169</f>
        <v>105.65373260469035</v>
      </c>
      <c r="G170" s="253">
        <f>Dat_02!E169</f>
        <v>68.006816766156987</v>
      </c>
      <c r="I170" s="254">
        <f>Dat_02!G169</f>
        <v>0</v>
      </c>
      <c r="J170" s="266" t="str">
        <f>IF(Dat_02!H169=0,"",Dat_02!H169)</f>
        <v/>
      </c>
    </row>
    <row r="171" spans="2:10">
      <c r="B171" s="250"/>
      <c r="C171" s="251" t="s">
        <v>333</v>
      </c>
      <c r="D171" s="250"/>
      <c r="E171" s="253">
        <f>Dat_02!C170</f>
        <v>65.738982786156996</v>
      </c>
      <c r="F171" s="253">
        <f>Dat_02!D170</f>
        <v>105.65373260469035</v>
      </c>
      <c r="G171" s="253">
        <f>Dat_02!E170</f>
        <v>65.738982786156996</v>
      </c>
      <c r="I171" s="254" t="str">
        <f>Dat_02!G170</f>
        <v/>
      </c>
      <c r="J171" s="266" t="str">
        <f>IF(Dat_02!H170=0,"",Dat_02!H170)</f>
        <v/>
      </c>
    </row>
    <row r="172" spans="2:10">
      <c r="B172" s="250"/>
      <c r="C172" s="251" t="s">
        <v>334</v>
      </c>
      <c r="D172" s="250"/>
      <c r="E172" s="253">
        <f>Dat_02!C171</f>
        <v>64.549248354155139</v>
      </c>
      <c r="F172" s="253">
        <f>Dat_02!D171</f>
        <v>105.65373260469035</v>
      </c>
      <c r="G172" s="253">
        <f>Dat_02!E171</f>
        <v>64.549248354155139</v>
      </c>
      <c r="I172" s="254">
        <f>Dat_02!G171</f>
        <v>0</v>
      </c>
      <c r="J172" s="266" t="str">
        <f>IF(Dat_02!H171=0,"",Dat_02!H171)</f>
        <v/>
      </c>
    </row>
    <row r="173" spans="2:10">
      <c r="B173" s="250"/>
      <c r="C173" s="251" t="s">
        <v>335</v>
      </c>
      <c r="D173" s="250"/>
      <c r="E173" s="253">
        <f>Dat_02!C172</f>
        <v>60.67698176215886</v>
      </c>
      <c r="F173" s="253">
        <f>Dat_02!D172</f>
        <v>105.65373260469035</v>
      </c>
      <c r="G173" s="253">
        <f>Dat_02!E172</f>
        <v>60.67698176215886</v>
      </c>
      <c r="I173" s="254">
        <f>Dat_02!G172</f>
        <v>0</v>
      </c>
      <c r="J173" s="266" t="str">
        <f>IF(Dat_02!H172=0,"",Dat_02!H172)</f>
        <v/>
      </c>
    </row>
    <row r="174" spans="2:10">
      <c r="B174" s="250"/>
      <c r="C174" s="251" t="s">
        <v>336</v>
      </c>
      <c r="D174" s="250"/>
      <c r="E174" s="253">
        <f>Dat_02!C173</f>
        <v>72.64989890615513</v>
      </c>
      <c r="F174" s="253">
        <f>Dat_02!D173</f>
        <v>105.65373260469035</v>
      </c>
      <c r="G174" s="253">
        <f>Dat_02!E173</f>
        <v>72.64989890615513</v>
      </c>
      <c r="I174" s="254">
        <f>Dat_02!G173</f>
        <v>0</v>
      </c>
      <c r="J174" s="266" t="str">
        <f>IF(Dat_02!H173=0,"",Dat_02!H173)</f>
        <v/>
      </c>
    </row>
    <row r="175" spans="2:10">
      <c r="B175" s="250"/>
      <c r="C175" s="251" t="s">
        <v>337</v>
      </c>
      <c r="D175" s="250"/>
      <c r="E175" s="253">
        <f>Dat_02!C174</f>
        <v>76.313361826155131</v>
      </c>
      <c r="F175" s="253">
        <f>Dat_02!D174</f>
        <v>105.65373260469035</v>
      </c>
      <c r="G175" s="253">
        <f>Dat_02!E174</f>
        <v>76.313361826155131</v>
      </c>
      <c r="I175" s="254">
        <f>Dat_02!G174</f>
        <v>0</v>
      </c>
      <c r="J175" s="266" t="str">
        <f>IF(Dat_02!H174=0,"",Dat_02!H174)</f>
        <v/>
      </c>
    </row>
    <row r="176" spans="2:10">
      <c r="B176" s="250"/>
      <c r="C176" s="251" t="s">
        <v>338</v>
      </c>
      <c r="D176" s="250"/>
      <c r="E176" s="253">
        <f>Dat_02!C175</f>
        <v>66.067444093736299</v>
      </c>
      <c r="F176" s="253">
        <f>Dat_02!D175</f>
        <v>105.65373260469035</v>
      </c>
      <c r="G176" s="253">
        <f>Dat_02!E175</f>
        <v>66.067444093736299</v>
      </c>
      <c r="I176" s="254">
        <f>Dat_02!G175</f>
        <v>0</v>
      </c>
      <c r="J176" s="266" t="str">
        <f>IF(Dat_02!H175=0,"",Dat_02!H175)</f>
        <v/>
      </c>
    </row>
    <row r="177" spans="2:10">
      <c r="B177" s="250"/>
      <c r="C177" s="251" t="s">
        <v>339</v>
      </c>
      <c r="D177" s="250"/>
      <c r="E177" s="253">
        <f>Dat_02!C176</f>
        <v>60.102267253734432</v>
      </c>
      <c r="F177" s="253">
        <f>Dat_02!D176</f>
        <v>105.65373260469035</v>
      </c>
      <c r="G177" s="253">
        <f>Dat_02!E176</f>
        <v>60.102267253734432</v>
      </c>
      <c r="I177" s="254">
        <f>Dat_02!G176</f>
        <v>0</v>
      </c>
      <c r="J177" s="266" t="str">
        <f>IF(Dat_02!H176=0,"",Dat_02!H176)</f>
        <v/>
      </c>
    </row>
    <row r="178" spans="2:10">
      <c r="B178" s="250"/>
      <c r="C178" s="251" t="s">
        <v>340</v>
      </c>
      <c r="D178" s="250"/>
      <c r="E178" s="253">
        <f>Dat_02!C177</f>
        <v>59.22299280573629</v>
      </c>
      <c r="F178" s="253">
        <f>Dat_02!D177</f>
        <v>105.65373260469035</v>
      </c>
      <c r="G178" s="253">
        <f>Dat_02!E177</f>
        <v>59.22299280573629</v>
      </c>
      <c r="I178" s="254">
        <f>Dat_02!G177</f>
        <v>0</v>
      </c>
      <c r="J178" s="266" t="str">
        <f>IF(Dat_02!H177=0,"",Dat_02!H177)</f>
        <v/>
      </c>
    </row>
    <row r="179" spans="2:10">
      <c r="B179" s="250"/>
      <c r="C179" s="251" t="s">
        <v>341</v>
      </c>
      <c r="D179" s="250"/>
      <c r="E179" s="253">
        <f>Dat_02!C178</f>
        <v>57.431285131732572</v>
      </c>
      <c r="F179" s="253">
        <f>Dat_02!D178</f>
        <v>105.65373260469035</v>
      </c>
      <c r="G179" s="253">
        <f>Dat_02!E178</f>
        <v>57.431285131732572</v>
      </c>
      <c r="I179" s="254">
        <f>Dat_02!G178</f>
        <v>0</v>
      </c>
      <c r="J179" s="266" t="str">
        <f>IF(Dat_02!H178=0,"",Dat_02!H178)</f>
        <v/>
      </c>
    </row>
    <row r="180" spans="2:10">
      <c r="B180" s="250"/>
      <c r="C180" s="251" t="s">
        <v>342</v>
      </c>
      <c r="D180" s="250"/>
      <c r="E180" s="253">
        <f>Dat_02!C179</f>
        <v>54.664174471738157</v>
      </c>
      <c r="F180" s="253">
        <f>Dat_02!D179</f>
        <v>105.65373260469035</v>
      </c>
      <c r="G180" s="253">
        <f>Dat_02!E179</f>
        <v>54.664174471738157</v>
      </c>
      <c r="I180" s="254">
        <f>Dat_02!G179</f>
        <v>0</v>
      </c>
      <c r="J180" s="266" t="str">
        <f>IF(Dat_02!H179=0,"",Dat_02!H179)</f>
        <v/>
      </c>
    </row>
    <row r="181" spans="2:10">
      <c r="B181" s="250"/>
      <c r="C181" s="251" t="s">
        <v>343</v>
      </c>
      <c r="D181" s="250"/>
      <c r="E181" s="253">
        <f>Dat_02!C180</f>
        <v>58.471831127732571</v>
      </c>
      <c r="F181" s="253">
        <f>Dat_02!D180</f>
        <v>105.65373260469035</v>
      </c>
      <c r="G181" s="253">
        <f>Dat_02!E180</f>
        <v>58.471831127732571</v>
      </c>
      <c r="I181" s="254">
        <f>Dat_02!G180</f>
        <v>0</v>
      </c>
      <c r="J181" s="266" t="str">
        <f>IF(Dat_02!H180=0,"",Dat_02!H180)</f>
        <v/>
      </c>
    </row>
    <row r="182" spans="2:10">
      <c r="B182" s="250"/>
      <c r="C182" s="251" t="s">
        <v>344</v>
      </c>
      <c r="D182" s="250"/>
      <c r="E182" s="253">
        <f>Dat_02!C181</f>
        <v>53.417569333734434</v>
      </c>
      <c r="F182" s="253">
        <f>Dat_02!D181</f>
        <v>105.65373260469035</v>
      </c>
      <c r="G182" s="253">
        <f>Dat_02!E181</f>
        <v>53.417569333734434</v>
      </c>
      <c r="I182" s="254">
        <f>Dat_02!G181</f>
        <v>0</v>
      </c>
      <c r="J182" s="266" t="str">
        <f>IF(Dat_02!H181=0,"",Dat_02!H181)</f>
        <v/>
      </c>
    </row>
    <row r="183" spans="2:10">
      <c r="B183" s="250"/>
      <c r="C183" s="251" t="s">
        <v>345</v>
      </c>
      <c r="D183" s="250"/>
      <c r="E183" s="253">
        <f>Dat_02!C182</f>
        <v>47.003361174643345</v>
      </c>
      <c r="F183" s="253">
        <f>Dat_02!D182</f>
        <v>105.65373260469035</v>
      </c>
      <c r="G183" s="253">
        <f>Dat_02!E182</f>
        <v>47.003361174643345</v>
      </c>
      <c r="I183" s="254">
        <f>Dat_02!G182</f>
        <v>0</v>
      </c>
      <c r="J183" s="266" t="str">
        <f>IF(Dat_02!H182=0,"",Dat_02!H182)</f>
        <v/>
      </c>
    </row>
    <row r="184" spans="2:10">
      <c r="B184" s="250"/>
      <c r="C184" s="251" t="s">
        <v>346</v>
      </c>
      <c r="D184" s="250"/>
      <c r="E184" s="253">
        <f>Dat_02!C183</f>
        <v>47.415259922641482</v>
      </c>
      <c r="F184" s="253">
        <f>Dat_02!D183</f>
        <v>105.65373260469035</v>
      </c>
      <c r="G184" s="253">
        <f>Dat_02!E183</f>
        <v>47.415259922641482</v>
      </c>
      <c r="I184" s="254">
        <f>Dat_02!G183</f>
        <v>0</v>
      </c>
      <c r="J184" s="266" t="str">
        <f>IF(Dat_02!H183=0,"",Dat_02!H183)</f>
        <v/>
      </c>
    </row>
    <row r="185" spans="2:10">
      <c r="B185" s="250"/>
      <c r="C185" s="251" t="s">
        <v>347</v>
      </c>
      <c r="D185" s="250"/>
      <c r="E185" s="253">
        <f>Dat_02!C184</f>
        <v>54.139165124643348</v>
      </c>
      <c r="F185" s="253">
        <f>Dat_02!D184</f>
        <v>105.65373260469035</v>
      </c>
      <c r="G185" s="253">
        <f>Dat_02!E184</f>
        <v>54.139165124643348</v>
      </c>
      <c r="I185" s="254">
        <f>Dat_02!G184</f>
        <v>0</v>
      </c>
      <c r="J185" s="266" t="str">
        <f>IF(Dat_02!H184=0,"",Dat_02!H184)</f>
        <v/>
      </c>
    </row>
    <row r="186" spans="2:10">
      <c r="B186" s="252"/>
      <c r="C186" s="257" t="s">
        <v>348</v>
      </c>
      <c r="D186" s="250"/>
      <c r="E186" s="253">
        <f>Dat_02!C185</f>
        <v>46.030866642641485</v>
      </c>
      <c r="F186" s="253">
        <f>Dat_02!D185</f>
        <v>65.277965296213353</v>
      </c>
      <c r="G186" s="253">
        <f>Dat_02!E185</f>
        <v>46.030866642641485</v>
      </c>
      <c r="I186" s="254">
        <f>Dat_02!G185</f>
        <v>0</v>
      </c>
      <c r="J186" s="266" t="str">
        <f>IF(Dat_02!H185=0,"",Dat_02!H185)</f>
        <v/>
      </c>
    </row>
    <row r="187" spans="2:10">
      <c r="B187" s="252"/>
      <c r="C187" s="257" t="s">
        <v>349</v>
      </c>
      <c r="D187" s="252"/>
      <c r="E187" s="253">
        <f>Dat_02!C186</f>
        <v>41.260838216643343</v>
      </c>
      <c r="F187" s="253">
        <f>Dat_02!D186</f>
        <v>65.277965296213353</v>
      </c>
      <c r="G187" s="253">
        <f>Dat_02!E186</f>
        <v>41.260838216643343</v>
      </c>
      <c r="I187" s="254">
        <f>Dat_02!G186</f>
        <v>0</v>
      </c>
      <c r="J187" s="266" t="str">
        <f>IF(Dat_02!H186=0,"",Dat_02!H186)</f>
        <v/>
      </c>
    </row>
    <row r="188" spans="2:10">
      <c r="B188" s="250" t="s">
        <v>350</v>
      </c>
      <c r="C188" s="251" t="s">
        <v>351</v>
      </c>
      <c r="D188" s="252"/>
      <c r="E188" s="253">
        <f>Dat_02!C187</f>
        <v>49.642918986643345</v>
      </c>
      <c r="F188" s="253">
        <f>Dat_02!D187</f>
        <v>65.277965296213353</v>
      </c>
      <c r="G188" s="253">
        <f>Dat_02!E187</f>
        <v>49.642918986643345</v>
      </c>
      <c r="I188" s="254">
        <f>Dat_02!G187</f>
        <v>0</v>
      </c>
      <c r="J188" s="266" t="str">
        <f>IF(Dat_02!H187=0,"",Dat_02!H187)</f>
        <v/>
      </c>
    </row>
    <row r="189" spans="2:10">
      <c r="B189" s="252"/>
      <c r="C189" s="251" t="s">
        <v>352</v>
      </c>
      <c r="D189" s="252"/>
      <c r="E189" s="253">
        <f>Dat_02!C188</f>
        <v>42.165727116641477</v>
      </c>
      <c r="F189" s="253">
        <f>Dat_02!D188</f>
        <v>65.277965296213353</v>
      </c>
      <c r="G189" s="253">
        <f>Dat_02!E188</f>
        <v>42.165727116641477</v>
      </c>
      <c r="I189" s="254">
        <f>Dat_02!G188</f>
        <v>0</v>
      </c>
      <c r="J189" s="266" t="str">
        <f>IF(Dat_02!H188=0,"",Dat_02!H188)</f>
        <v/>
      </c>
    </row>
    <row r="190" spans="2:10">
      <c r="B190" s="250"/>
      <c r="C190" s="251" t="s">
        <v>353</v>
      </c>
      <c r="D190" s="250"/>
      <c r="E190" s="253">
        <f>Dat_02!C189</f>
        <v>44.137358011716373</v>
      </c>
      <c r="F190" s="253">
        <f>Dat_02!D189</f>
        <v>65.277965296213353</v>
      </c>
      <c r="G190" s="253">
        <f>Dat_02!E189</f>
        <v>44.137358011716373</v>
      </c>
      <c r="I190" s="254">
        <f>Dat_02!G189</f>
        <v>0</v>
      </c>
      <c r="J190" s="266" t="str">
        <f>IF(Dat_02!H189=0,"",Dat_02!H189)</f>
        <v/>
      </c>
    </row>
    <row r="191" spans="2:10">
      <c r="B191" s="250"/>
      <c r="C191" s="251" t="s">
        <v>354</v>
      </c>
      <c r="D191" s="250"/>
      <c r="E191" s="253">
        <f>Dat_02!C190</f>
        <v>41.289462523716381</v>
      </c>
      <c r="F191" s="253">
        <f>Dat_02!D190</f>
        <v>65.277965296213353</v>
      </c>
      <c r="G191" s="253">
        <f>Dat_02!E190</f>
        <v>41.289462523716381</v>
      </c>
      <c r="I191" s="254">
        <f>Dat_02!G190</f>
        <v>0</v>
      </c>
      <c r="J191" s="266" t="str">
        <f>IF(Dat_02!H190=0,"",Dat_02!H190)</f>
        <v/>
      </c>
    </row>
    <row r="192" spans="2:10">
      <c r="B192" s="250"/>
      <c r="C192" s="251" t="s">
        <v>355</v>
      </c>
      <c r="D192" s="250"/>
      <c r="E192" s="253">
        <f>Dat_02!C191</f>
        <v>46.547876791718238</v>
      </c>
      <c r="F192" s="253">
        <f>Dat_02!D191</f>
        <v>65.277965296213353</v>
      </c>
      <c r="G192" s="253">
        <f>Dat_02!E191</f>
        <v>46.547876791718238</v>
      </c>
      <c r="I192" s="254">
        <f>Dat_02!G191</f>
        <v>0</v>
      </c>
      <c r="J192" s="266" t="str">
        <f>IF(Dat_02!H191=0,"",Dat_02!H191)</f>
        <v/>
      </c>
    </row>
    <row r="193" spans="2:10">
      <c r="B193" s="250"/>
      <c r="C193" s="251" t="s">
        <v>356</v>
      </c>
      <c r="D193" s="250"/>
      <c r="E193" s="253">
        <f>Dat_02!C192</f>
        <v>36.381198447716379</v>
      </c>
      <c r="F193" s="253">
        <f>Dat_02!D192</f>
        <v>65.277965296213353</v>
      </c>
      <c r="G193" s="253">
        <f>Dat_02!E192</f>
        <v>36.381198447716379</v>
      </c>
      <c r="I193" s="254">
        <f>Dat_02!G192</f>
        <v>0</v>
      </c>
      <c r="J193" s="266" t="str">
        <f>IF(Dat_02!H192=0,"",Dat_02!H192)</f>
        <v/>
      </c>
    </row>
    <row r="194" spans="2:10">
      <c r="B194" s="250"/>
      <c r="C194" s="251" t="s">
        <v>357</v>
      </c>
      <c r="D194" s="250"/>
      <c r="E194" s="253">
        <f>Dat_02!C193</f>
        <v>36.220912243718239</v>
      </c>
      <c r="F194" s="253">
        <f>Dat_02!D193</f>
        <v>65.277965296213353</v>
      </c>
      <c r="G194" s="253">
        <f>Dat_02!E193</f>
        <v>36.220912243718239</v>
      </c>
      <c r="I194" s="254">
        <f>Dat_02!G193</f>
        <v>0</v>
      </c>
      <c r="J194" s="266" t="str">
        <f>IF(Dat_02!H193=0,"",Dat_02!H193)</f>
        <v/>
      </c>
    </row>
    <row r="195" spans="2:10">
      <c r="B195" s="250"/>
      <c r="C195" s="251" t="s">
        <v>358</v>
      </c>
      <c r="D195" s="250"/>
      <c r="E195" s="253">
        <f>Dat_02!C194</f>
        <v>34.958879279718239</v>
      </c>
      <c r="F195" s="253">
        <f>Dat_02!D194</f>
        <v>65.277965296213353</v>
      </c>
      <c r="G195" s="253">
        <f>Dat_02!E194</f>
        <v>34.958879279718239</v>
      </c>
      <c r="I195" s="254">
        <f>Dat_02!G194</f>
        <v>0</v>
      </c>
      <c r="J195" s="266" t="str">
        <f>IF(Dat_02!H194=0,"",Dat_02!H194)</f>
        <v/>
      </c>
    </row>
    <row r="196" spans="2:10">
      <c r="B196" s="250"/>
      <c r="C196" s="251" t="s">
        <v>359</v>
      </c>
      <c r="D196" s="250"/>
      <c r="E196" s="253">
        <f>Dat_02!C195</f>
        <v>40.602532139716381</v>
      </c>
      <c r="F196" s="253">
        <f>Dat_02!D195</f>
        <v>65.277965296213353</v>
      </c>
      <c r="G196" s="253">
        <f>Dat_02!E195</f>
        <v>40.602532139716381</v>
      </c>
      <c r="I196" s="254">
        <f>Dat_02!G195</f>
        <v>0</v>
      </c>
      <c r="J196" s="266" t="str">
        <f>IF(Dat_02!H195=0,"",Dat_02!H195)</f>
        <v/>
      </c>
    </row>
    <row r="197" spans="2:10">
      <c r="B197" s="250"/>
      <c r="C197" s="251" t="s">
        <v>360</v>
      </c>
      <c r="D197" s="250"/>
      <c r="E197" s="253">
        <f>Dat_02!C196</f>
        <v>39.246824186815594</v>
      </c>
      <c r="F197" s="253">
        <f>Dat_02!D196</f>
        <v>65.277965296213353</v>
      </c>
      <c r="G197" s="253">
        <f>Dat_02!E196</f>
        <v>39.246824186815594</v>
      </c>
      <c r="I197" s="254">
        <f>Dat_02!G196</f>
        <v>0</v>
      </c>
      <c r="J197" s="266" t="str">
        <f>IF(Dat_02!H196=0,"",Dat_02!H196)</f>
        <v/>
      </c>
    </row>
    <row r="198" spans="2:10">
      <c r="B198" s="250"/>
      <c r="C198" s="251" t="s">
        <v>361</v>
      </c>
      <c r="D198" s="250"/>
      <c r="E198" s="253">
        <f>Dat_02!C197</f>
        <v>28.642151794815597</v>
      </c>
      <c r="F198" s="253">
        <f>Dat_02!D197</f>
        <v>65.277965296213353</v>
      </c>
      <c r="G198" s="253">
        <f>Dat_02!E197</f>
        <v>28.642151794815597</v>
      </c>
      <c r="I198" s="254">
        <f>Dat_02!G197</f>
        <v>0</v>
      </c>
      <c r="J198" s="266" t="str">
        <f>IF(Dat_02!H197=0,"",Dat_02!H197)</f>
        <v/>
      </c>
    </row>
    <row r="199" spans="2:10">
      <c r="B199" s="250"/>
      <c r="C199" s="251" t="s">
        <v>362</v>
      </c>
      <c r="D199" s="250"/>
      <c r="E199" s="253">
        <f>Dat_02!C198</f>
        <v>32.449437178815593</v>
      </c>
      <c r="F199" s="253">
        <f>Dat_02!D198</f>
        <v>65.277965296213353</v>
      </c>
      <c r="G199" s="253">
        <f>Dat_02!E198</f>
        <v>32.449437178815593</v>
      </c>
      <c r="I199" s="254" t="str">
        <f>Dat_02!G198</f>
        <v/>
      </c>
      <c r="J199" s="266" t="str">
        <f>IF(Dat_02!H198=0,"",Dat_02!H198)</f>
        <v/>
      </c>
    </row>
    <row r="200" spans="2:10">
      <c r="B200" s="250"/>
      <c r="C200" s="251" t="s">
        <v>363</v>
      </c>
      <c r="D200" s="250"/>
      <c r="E200" s="253">
        <f>Dat_02!C199</f>
        <v>29.766949250813735</v>
      </c>
      <c r="F200" s="253">
        <f>Dat_02!D199</f>
        <v>65.277965296213353</v>
      </c>
      <c r="G200" s="253">
        <f>Dat_02!E199</f>
        <v>29.766949250813735</v>
      </c>
      <c r="I200" s="254">
        <f>Dat_02!G199</f>
        <v>65.277965296213353</v>
      </c>
      <c r="J200" s="266" t="str">
        <f>IF(Dat_02!H199=0,"",Dat_02!H199)</f>
        <v/>
      </c>
    </row>
    <row r="201" spans="2:10">
      <c r="B201" s="250"/>
      <c r="C201" s="251" t="s">
        <v>364</v>
      </c>
      <c r="D201" s="250"/>
      <c r="E201" s="253">
        <f>Dat_02!C200</f>
        <v>32.916627950815595</v>
      </c>
      <c r="F201" s="253">
        <f>Dat_02!D200</f>
        <v>65.277965296213353</v>
      </c>
      <c r="G201" s="253">
        <f>Dat_02!E200</f>
        <v>32.916627950815595</v>
      </c>
      <c r="I201" s="254" t="str">
        <f>Dat_02!G200</f>
        <v/>
      </c>
      <c r="J201" s="266" t="str">
        <f>IF(Dat_02!H200=0,"",Dat_02!H200)</f>
        <v/>
      </c>
    </row>
    <row r="202" spans="2:10">
      <c r="B202" s="250"/>
      <c r="C202" s="251" t="s">
        <v>365</v>
      </c>
      <c r="D202" s="250"/>
      <c r="E202" s="253">
        <f>Dat_02!C201</f>
        <v>39.099709578817453</v>
      </c>
      <c r="F202" s="253">
        <f>Dat_02!D201</f>
        <v>65.277965296213353</v>
      </c>
      <c r="G202" s="253">
        <f>Dat_02!E201</f>
        <v>39.099709578817453</v>
      </c>
      <c r="I202" s="254" t="str">
        <f>Dat_02!G201</f>
        <v/>
      </c>
      <c r="J202" s="266" t="str">
        <f>IF(Dat_02!H201=0,"",Dat_02!H201)</f>
        <v/>
      </c>
    </row>
    <row r="203" spans="2:10">
      <c r="B203" s="250"/>
      <c r="C203" s="251" t="s">
        <v>366</v>
      </c>
      <c r="D203" s="250"/>
      <c r="E203" s="253">
        <f>Dat_02!C202</f>
        <v>30.571841338813734</v>
      </c>
      <c r="F203" s="253">
        <f>Dat_02!D202</f>
        <v>65.277965296213353</v>
      </c>
      <c r="G203" s="253">
        <f>Dat_02!E202</f>
        <v>30.571841338813734</v>
      </c>
      <c r="I203" s="254">
        <f>Dat_02!G202</f>
        <v>0</v>
      </c>
      <c r="J203" s="266" t="str">
        <f>IF(Dat_02!H202=0,"",Dat_02!H202)</f>
        <v/>
      </c>
    </row>
    <row r="204" spans="2:10">
      <c r="B204" s="250"/>
      <c r="C204" s="251" t="s">
        <v>367</v>
      </c>
      <c r="D204" s="250"/>
      <c r="E204" s="253">
        <f>Dat_02!C203</f>
        <v>41.691236397653192</v>
      </c>
      <c r="F204" s="253">
        <f>Dat_02!D203</f>
        <v>65.277965296213353</v>
      </c>
      <c r="G204" s="253">
        <f>Dat_02!E203</f>
        <v>41.691236397653192</v>
      </c>
      <c r="I204" s="254">
        <f>Dat_02!G203</f>
        <v>0</v>
      </c>
      <c r="J204" s="266" t="str">
        <f>IF(Dat_02!H203=0,"",Dat_02!H203)</f>
        <v/>
      </c>
    </row>
    <row r="205" spans="2:10">
      <c r="B205" s="250"/>
      <c r="C205" s="251" t="s">
        <v>368</v>
      </c>
      <c r="D205" s="250"/>
      <c r="E205" s="253">
        <f>Dat_02!C204</f>
        <v>34.646901205653194</v>
      </c>
      <c r="F205" s="253">
        <f>Dat_02!D204</f>
        <v>65.277965296213353</v>
      </c>
      <c r="G205" s="253">
        <f>Dat_02!E204</f>
        <v>34.646901205653194</v>
      </c>
      <c r="I205" s="254">
        <f>Dat_02!G204</f>
        <v>0</v>
      </c>
      <c r="J205" s="266" t="str">
        <f>IF(Dat_02!H204=0,"",Dat_02!H204)</f>
        <v/>
      </c>
    </row>
    <row r="206" spans="2:10">
      <c r="B206" s="250"/>
      <c r="C206" s="251" t="s">
        <v>369</v>
      </c>
      <c r="D206" s="250"/>
      <c r="E206" s="253">
        <f>Dat_02!C205</f>
        <v>40.428434057653199</v>
      </c>
      <c r="F206" s="253">
        <f>Dat_02!D205</f>
        <v>65.277965296213353</v>
      </c>
      <c r="G206" s="253">
        <f>Dat_02!E205</f>
        <v>40.428434057653199</v>
      </c>
      <c r="I206" s="254">
        <f>Dat_02!G205</f>
        <v>0</v>
      </c>
      <c r="J206" s="266" t="str">
        <f>IF(Dat_02!H205=0,"",Dat_02!H205)</f>
        <v/>
      </c>
    </row>
    <row r="207" spans="2:10">
      <c r="B207" s="250"/>
      <c r="C207" s="251" t="s">
        <v>370</v>
      </c>
      <c r="D207" s="250"/>
      <c r="E207" s="253">
        <f>Dat_02!C206</f>
        <v>28.841690745655061</v>
      </c>
      <c r="F207" s="253">
        <f>Dat_02!D206</f>
        <v>65.277965296213353</v>
      </c>
      <c r="G207" s="253">
        <f>Dat_02!E206</f>
        <v>28.841690745655061</v>
      </c>
      <c r="I207" s="254">
        <f>Dat_02!G206</f>
        <v>0</v>
      </c>
      <c r="J207" s="266" t="str">
        <f>IF(Dat_02!H206=0,"",Dat_02!H206)</f>
        <v/>
      </c>
    </row>
    <row r="208" spans="2:10">
      <c r="B208" s="250"/>
      <c r="C208" s="251" t="s">
        <v>371</v>
      </c>
      <c r="D208" s="250"/>
      <c r="E208" s="253">
        <f>Dat_02!C207</f>
        <v>27.14175294765133</v>
      </c>
      <c r="F208" s="253">
        <f>Dat_02!D207</f>
        <v>65.277965296213353</v>
      </c>
      <c r="G208" s="253">
        <f>Dat_02!E207</f>
        <v>27.14175294765133</v>
      </c>
      <c r="I208" s="254">
        <f>Dat_02!G207</f>
        <v>0</v>
      </c>
      <c r="J208" s="266" t="str">
        <f>IF(Dat_02!H207=0,"",Dat_02!H207)</f>
        <v/>
      </c>
    </row>
    <row r="209" spans="2:10">
      <c r="B209" s="250"/>
      <c r="C209" s="251" t="s">
        <v>372</v>
      </c>
      <c r="D209" s="250"/>
      <c r="E209" s="253">
        <f>Dat_02!C208</f>
        <v>32.885672653653195</v>
      </c>
      <c r="F209" s="253">
        <f>Dat_02!D208</f>
        <v>65.277965296213353</v>
      </c>
      <c r="G209" s="253">
        <f>Dat_02!E208</f>
        <v>32.885672653653195</v>
      </c>
      <c r="I209" s="254">
        <f>Dat_02!G208</f>
        <v>0</v>
      </c>
      <c r="J209" s="266" t="str">
        <f>IF(Dat_02!H208=0,"",Dat_02!H208)</f>
        <v/>
      </c>
    </row>
    <row r="210" spans="2:10">
      <c r="B210" s="250"/>
      <c r="C210" s="251" t="s">
        <v>373</v>
      </c>
      <c r="D210" s="250"/>
      <c r="E210" s="253">
        <f>Dat_02!C209</f>
        <v>46.071194117655061</v>
      </c>
      <c r="F210" s="253">
        <f>Dat_02!D209</f>
        <v>65.277965296213353</v>
      </c>
      <c r="G210" s="253">
        <f>Dat_02!E209</f>
        <v>46.071194117655061</v>
      </c>
      <c r="I210" s="254">
        <f>Dat_02!G209</f>
        <v>0</v>
      </c>
      <c r="J210" s="266" t="str">
        <f>IF(Dat_02!H209=0,"",Dat_02!H209)</f>
        <v/>
      </c>
    </row>
    <row r="211" spans="2:10">
      <c r="B211" s="250"/>
      <c r="C211" s="251" t="s">
        <v>374</v>
      </c>
      <c r="D211" s="250"/>
      <c r="E211" s="253">
        <f>Dat_02!C210</f>
        <v>29.630021615292456</v>
      </c>
      <c r="F211" s="253">
        <f>Dat_02!D210</f>
        <v>65.277965296213353</v>
      </c>
      <c r="G211" s="253">
        <f>Dat_02!E210</f>
        <v>29.630021615292456</v>
      </c>
      <c r="I211" s="254">
        <f>Dat_02!G210</f>
        <v>0</v>
      </c>
      <c r="J211" s="266" t="str">
        <f>IF(Dat_02!H210=0,"",Dat_02!H210)</f>
        <v/>
      </c>
    </row>
    <row r="212" spans="2:10">
      <c r="B212" s="250"/>
      <c r="C212" s="251" t="s">
        <v>375</v>
      </c>
      <c r="D212" s="250"/>
      <c r="E212" s="253">
        <f>Dat_02!C211</f>
        <v>25.563808355296175</v>
      </c>
      <c r="F212" s="253">
        <f>Dat_02!D211</f>
        <v>65.277965296213353</v>
      </c>
      <c r="G212" s="253">
        <f>Dat_02!E211</f>
        <v>25.563808355296175</v>
      </c>
      <c r="I212" s="254">
        <f>Dat_02!G211</f>
        <v>0</v>
      </c>
      <c r="J212" s="266" t="str">
        <f>IF(Dat_02!H211=0,"",Dat_02!H211)</f>
        <v/>
      </c>
    </row>
    <row r="213" spans="2:10">
      <c r="B213" s="250"/>
      <c r="C213" s="251" t="s">
        <v>376</v>
      </c>
      <c r="D213" s="250"/>
      <c r="E213" s="253">
        <f>Dat_02!C212</f>
        <v>35.391128383292454</v>
      </c>
      <c r="F213" s="253">
        <f>Dat_02!D212</f>
        <v>65.277965296213353</v>
      </c>
      <c r="G213" s="253">
        <f>Dat_02!E212</f>
        <v>35.391128383292454</v>
      </c>
      <c r="I213" s="254">
        <f>Dat_02!G212</f>
        <v>0</v>
      </c>
      <c r="J213" s="266" t="str">
        <f>IF(Dat_02!H212=0,"",Dat_02!H212)</f>
        <v/>
      </c>
    </row>
    <row r="214" spans="2:10">
      <c r="B214" s="250"/>
      <c r="C214" s="251" t="s">
        <v>377</v>
      </c>
      <c r="D214" s="250"/>
      <c r="E214" s="253">
        <f>Dat_02!C213</f>
        <v>19.282172891294316</v>
      </c>
      <c r="F214" s="253">
        <f>Dat_02!D213</f>
        <v>65.277965296213353</v>
      </c>
      <c r="G214" s="253">
        <f>Dat_02!E213</f>
        <v>19.282172891294316</v>
      </c>
      <c r="I214" s="254">
        <f>Dat_02!G213</f>
        <v>0</v>
      </c>
      <c r="J214" s="266" t="str">
        <f>IF(Dat_02!H213=0,"",Dat_02!H213)</f>
        <v/>
      </c>
    </row>
    <row r="215" spans="2:10">
      <c r="B215" s="250"/>
      <c r="C215" s="251" t="s">
        <v>378</v>
      </c>
      <c r="D215" s="250"/>
      <c r="E215" s="253">
        <f>Dat_02!C214</f>
        <v>18.156129819294314</v>
      </c>
      <c r="F215" s="253">
        <f>Dat_02!D214</f>
        <v>65.277965296213353</v>
      </c>
      <c r="G215" s="253">
        <f>Dat_02!E214</f>
        <v>18.156129819294314</v>
      </c>
      <c r="I215" s="254">
        <f>Dat_02!G214</f>
        <v>0</v>
      </c>
      <c r="J215" s="266" t="str">
        <f>IF(Dat_02!H214=0,"",Dat_02!H214)</f>
        <v/>
      </c>
    </row>
    <row r="216" spans="2:10">
      <c r="B216" s="250" t="s">
        <v>379</v>
      </c>
      <c r="C216" s="251" t="s">
        <v>380</v>
      </c>
      <c r="D216" s="250"/>
      <c r="E216" s="253">
        <f>Dat_02!C215</f>
        <v>29.004554399294314</v>
      </c>
      <c r="F216" s="253">
        <f>Dat_02!D215</f>
        <v>28.803266986435492</v>
      </c>
      <c r="G216" s="253">
        <f>Dat_02!E215</f>
        <v>28.803266986435492</v>
      </c>
      <c r="I216" s="254">
        <f>Dat_02!G215</f>
        <v>0</v>
      </c>
      <c r="J216" s="266" t="str">
        <f>IF(Dat_02!H215=0,"",Dat_02!H215)</f>
        <v/>
      </c>
    </row>
    <row r="217" spans="2:10">
      <c r="B217" s="252"/>
      <c r="C217" s="257" t="s">
        <v>381</v>
      </c>
      <c r="D217" s="252"/>
      <c r="E217" s="253">
        <f>Dat_02!C216</f>
        <v>23.819633133292452</v>
      </c>
      <c r="F217" s="253">
        <f>Dat_02!D216</f>
        <v>28.803266986435492</v>
      </c>
      <c r="G217" s="253">
        <f>Dat_02!E216</f>
        <v>23.819633133292452</v>
      </c>
      <c r="I217" s="254">
        <f>Dat_02!G216</f>
        <v>0</v>
      </c>
      <c r="J217" s="266" t="str">
        <f>IF(Dat_02!H216=0,"",Dat_02!H216)</f>
        <v/>
      </c>
    </row>
    <row r="218" spans="2:10">
      <c r="B218" s="252"/>
      <c r="C218" s="257" t="s">
        <v>382</v>
      </c>
      <c r="D218" s="252"/>
      <c r="E218" s="253">
        <f>Dat_02!C217</f>
        <v>24.155151294324533</v>
      </c>
      <c r="F218" s="253">
        <f>Dat_02!D217</f>
        <v>28.803266986435492</v>
      </c>
      <c r="G218" s="253">
        <f>Dat_02!E217</f>
        <v>24.155151294324533</v>
      </c>
      <c r="I218" s="254">
        <f>Dat_02!G217</f>
        <v>0</v>
      </c>
      <c r="J218" s="266" t="str">
        <f>IF(Dat_02!H217=0,"",Dat_02!H217)</f>
        <v/>
      </c>
    </row>
    <row r="219" spans="2:10">
      <c r="B219" s="250"/>
      <c r="C219" s="251" t="s">
        <v>383</v>
      </c>
      <c r="D219" s="252"/>
      <c r="E219" s="253">
        <f>Dat_02!C218</f>
        <v>24.502741548322664</v>
      </c>
      <c r="F219" s="253">
        <f>Dat_02!D218</f>
        <v>28.803266986435492</v>
      </c>
      <c r="G219" s="253">
        <f>Dat_02!E218</f>
        <v>24.502741548322664</v>
      </c>
      <c r="I219" s="254">
        <f>Dat_02!G218</f>
        <v>0</v>
      </c>
      <c r="J219" s="266" t="str">
        <f>IF(Dat_02!H218=0,"",Dat_02!H218)</f>
        <v/>
      </c>
    </row>
    <row r="220" spans="2:10">
      <c r="B220" s="252"/>
      <c r="C220" s="251" t="s">
        <v>384</v>
      </c>
      <c r="D220" s="252"/>
      <c r="E220" s="253">
        <f>Dat_02!C219</f>
        <v>40.249711306324535</v>
      </c>
      <c r="F220" s="253">
        <f>Dat_02!D219</f>
        <v>28.803266986435492</v>
      </c>
      <c r="G220" s="253">
        <f>Dat_02!E219</f>
        <v>28.803266986435492</v>
      </c>
      <c r="I220" s="254">
        <f>Dat_02!G219</f>
        <v>0</v>
      </c>
      <c r="J220" s="266" t="str">
        <f>IF(Dat_02!H219=0,"",Dat_02!H219)</f>
        <v/>
      </c>
    </row>
    <row r="221" spans="2:10">
      <c r="B221" s="250"/>
      <c r="C221" s="251" t="s">
        <v>385</v>
      </c>
      <c r="D221" s="250"/>
      <c r="E221" s="253">
        <f>Dat_02!C220</f>
        <v>13.159823920322669</v>
      </c>
      <c r="F221" s="253">
        <f>Dat_02!D220</f>
        <v>28.803266986435492</v>
      </c>
      <c r="G221" s="253">
        <f>Dat_02!E220</f>
        <v>13.159823920322669</v>
      </c>
      <c r="I221" s="254">
        <f>Dat_02!G220</f>
        <v>0</v>
      </c>
      <c r="J221" s="266" t="str">
        <f>IF(Dat_02!H220=0,"",Dat_02!H220)</f>
        <v/>
      </c>
    </row>
    <row r="222" spans="2:10">
      <c r="B222" s="250"/>
      <c r="C222" s="251" t="s">
        <v>386</v>
      </c>
      <c r="D222" s="250"/>
      <c r="E222" s="253">
        <f>Dat_02!C221</f>
        <v>7.1812377363226698</v>
      </c>
      <c r="F222" s="253">
        <f>Dat_02!D221</f>
        <v>28.803266986435492</v>
      </c>
      <c r="G222" s="253">
        <f>Dat_02!E221</f>
        <v>7.1812377363226698</v>
      </c>
      <c r="I222" s="254">
        <f>Dat_02!G221</f>
        <v>0</v>
      </c>
      <c r="J222" s="266" t="str">
        <f>IF(Dat_02!H221=0,"",Dat_02!H221)</f>
        <v/>
      </c>
    </row>
    <row r="223" spans="2:10">
      <c r="B223" s="250"/>
      <c r="C223" s="251" t="s">
        <v>387</v>
      </c>
      <c r="D223" s="250"/>
      <c r="E223" s="253">
        <f>Dat_02!C222</f>
        <v>8.1185563823245328</v>
      </c>
      <c r="F223" s="253">
        <f>Dat_02!D222</f>
        <v>28.803266986435492</v>
      </c>
      <c r="G223" s="253">
        <f>Dat_02!E222</f>
        <v>8.1185563823245328</v>
      </c>
      <c r="I223" s="254">
        <f>Dat_02!G222</f>
        <v>0</v>
      </c>
      <c r="J223" s="266" t="str">
        <f>IF(Dat_02!H222=0,"",Dat_02!H222)</f>
        <v/>
      </c>
    </row>
    <row r="224" spans="2:10">
      <c r="B224" s="250"/>
      <c r="C224" s="251" t="s">
        <v>388</v>
      </c>
      <c r="D224" s="250"/>
      <c r="E224" s="253">
        <f>Dat_02!C223</f>
        <v>10.871763208322664</v>
      </c>
      <c r="F224" s="253">
        <f>Dat_02!D223</f>
        <v>28.803266986435492</v>
      </c>
      <c r="G224" s="253">
        <f>Dat_02!E223</f>
        <v>10.871763208322664</v>
      </c>
      <c r="I224" s="254">
        <f>Dat_02!G223</f>
        <v>0</v>
      </c>
      <c r="J224" s="266" t="str">
        <f>IF(Dat_02!H223=0,"",Dat_02!H223)</f>
        <v/>
      </c>
    </row>
    <row r="225" spans="2:10">
      <c r="B225" s="250"/>
      <c r="C225" s="251" t="s">
        <v>389</v>
      </c>
      <c r="D225" s="250"/>
      <c r="E225" s="253">
        <f>Dat_02!C224</f>
        <v>20.648786620394116</v>
      </c>
      <c r="F225" s="253">
        <f>Dat_02!D224</f>
        <v>28.803266986435492</v>
      </c>
      <c r="G225" s="253">
        <f>Dat_02!E224</f>
        <v>20.648786620394116</v>
      </c>
      <c r="I225" s="254">
        <f>Dat_02!G224</f>
        <v>0</v>
      </c>
      <c r="J225" s="266" t="str">
        <f>IF(Dat_02!H224=0,"",Dat_02!H224)</f>
        <v/>
      </c>
    </row>
    <row r="226" spans="2:10">
      <c r="B226" s="250"/>
      <c r="C226" s="251" t="s">
        <v>390</v>
      </c>
      <c r="D226" s="250"/>
      <c r="E226" s="253">
        <f>Dat_02!C225</f>
        <v>33.778294168395973</v>
      </c>
      <c r="F226" s="253">
        <f>Dat_02!D225</f>
        <v>28.803266986435492</v>
      </c>
      <c r="G226" s="253">
        <f>Dat_02!E225</f>
        <v>28.803266986435492</v>
      </c>
      <c r="I226" s="254">
        <f>Dat_02!G225</f>
        <v>0</v>
      </c>
      <c r="J226" s="266" t="str">
        <f>IF(Dat_02!H225=0,"",Dat_02!H225)</f>
        <v/>
      </c>
    </row>
    <row r="227" spans="2:10">
      <c r="B227" s="250"/>
      <c r="C227" s="251" t="s">
        <v>391</v>
      </c>
      <c r="D227" s="250"/>
      <c r="E227" s="253">
        <f>Dat_02!C226</f>
        <v>47.432186778394112</v>
      </c>
      <c r="F227" s="253">
        <f>Dat_02!D226</f>
        <v>28.803266986435492</v>
      </c>
      <c r="G227" s="253">
        <f>Dat_02!E226</f>
        <v>28.803266986435492</v>
      </c>
      <c r="I227" s="254">
        <f>Dat_02!G226</f>
        <v>0</v>
      </c>
      <c r="J227" s="266" t="str">
        <f>IF(Dat_02!H226=0,"",Dat_02!H226)</f>
        <v/>
      </c>
    </row>
    <row r="228" spans="2:10">
      <c r="B228" s="250"/>
      <c r="C228" s="251" t="s">
        <v>392</v>
      </c>
      <c r="D228" s="250"/>
      <c r="E228" s="253">
        <f>Dat_02!C227</f>
        <v>12.599754404394115</v>
      </c>
      <c r="F228" s="253">
        <f>Dat_02!D227</f>
        <v>28.803266986435492</v>
      </c>
      <c r="G228" s="253">
        <f>Dat_02!E227</f>
        <v>12.599754404394115</v>
      </c>
      <c r="I228" s="254">
        <f>Dat_02!G227</f>
        <v>0</v>
      </c>
      <c r="J228" s="266" t="str">
        <f>IF(Dat_02!H227=0,"",Dat_02!H227)</f>
        <v/>
      </c>
    </row>
    <row r="229" spans="2:10">
      <c r="B229" s="250"/>
      <c r="C229" s="251" t="s">
        <v>393</v>
      </c>
      <c r="D229" s="250"/>
      <c r="E229" s="253">
        <f>Dat_02!C228</f>
        <v>5.0360476023959784</v>
      </c>
      <c r="F229" s="253">
        <f>Dat_02!D228</f>
        <v>28.803266986435492</v>
      </c>
      <c r="G229" s="253">
        <f>Dat_02!E228</f>
        <v>5.0360476023959784</v>
      </c>
      <c r="I229" s="254">
        <f>Dat_02!G228</f>
        <v>0</v>
      </c>
      <c r="J229" s="266" t="str">
        <f>IF(Dat_02!H228=0,"",Dat_02!H228)</f>
        <v/>
      </c>
    </row>
    <row r="230" spans="2:10">
      <c r="B230" s="250"/>
      <c r="C230" s="251" t="s">
        <v>394</v>
      </c>
      <c r="D230" s="250"/>
      <c r="E230" s="253">
        <f>Dat_02!C229</f>
        <v>21.666046580394113</v>
      </c>
      <c r="F230" s="253">
        <f>Dat_02!D229</f>
        <v>28.803266986435492</v>
      </c>
      <c r="G230" s="253">
        <f>Dat_02!E229</f>
        <v>21.666046580394113</v>
      </c>
      <c r="I230" s="254">
        <f>Dat_02!G229</f>
        <v>28.803266986435492</v>
      </c>
      <c r="J230" s="266" t="str">
        <f>IF(Dat_02!H229=0,"",Dat_02!H229)</f>
        <v/>
      </c>
    </row>
    <row r="231" spans="2:10">
      <c r="B231" s="250"/>
      <c r="C231" s="251" t="s">
        <v>395</v>
      </c>
      <c r="D231" s="250"/>
      <c r="E231" s="253">
        <f>Dat_02!C230</f>
        <v>17.970372188394112</v>
      </c>
      <c r="F231" s="253">
        <f>Dat_02!D230</f>
        <v>28.803266986435492</v>
      </c>
      <c r="G231" s="253">
        <f>Dat_02!E230</f>
        <v>17.970372188394112</v>
      </c>
      <c r="I231" s="254">
        <f>Dat_02!G230</f>
        <v>0</v>
      </c>
      <c r="J231" s="266" t="str">
        <f>IF(Dat_02!H230=0,"",Dat_02!H230)</f>
        <v/>
      </c>
    </row>
    <row r="232" spans="2:10">
      <c r="B232" s="250"/>
      <c r="C232" s="251" t="s">
        <v>396</v>
      </c>
      <c r="D232" s="250"/>
      <c r="E232" s="253">
        <f>Dat_02!C231</f>
        <v>11.188179630132851</v>
      </c>
      <c r="F232" s="253">
        <f>Dat_02!D231</f>
        <v>28.803266986435492</v>
      </c>
      <c r="G232" s="253">
        <f>Dat_02!E231</f>
        <v>11.188179630132851</v>
      </c>
      <c r="I232" s="254">
        <f>Dat_02!G231</f>
        <v>0</v>
      </c>
      <c r="J232" s="266" t="str">
        <f>IF(Dat_02!H231=0,"",Dat_02!H231)</f>
        <v/>
      </c>
    </row>
    <row r="233" spans="2:10">
      <c r="B233" s="250"/>
      <c r="C233" s="251" t="s">
        <v>397</v>
      </c>
      <c r="D233" s="250"/>
      <c r="E233" s="253">
        <f>Dat_02!C232</f>
        <v>7.9384117181347102</v>
      </c>
      <c r="F233" s="253">
        <f>Dat_02!D232</f>
        <v>28.803266986435492</v>
      </c>
      <c r="G233" s="253">
        <f>Dat_02!E232</f>
        <v>7.9384117181347102</v>
      </c>
      <c r="I233" s="254">
        <f>Dat_02!G232</f>
        <v>0</v>
      </c>
      <c r="J233" s="266" t="str">
        <f>IF(Dat_02!H232=0,"",Dat_02!H232)</f>
        <v/>
      </c>
    </row>
    <row r="234" spans="2:10">
      <c r="B234" s="250"/>
      <c r="C234" s="251" t="s">
        <v>398</v>
      </c>
      <c r="D234" s="250"/>
      <c r="E234" s="253">
        <f>Dat_02!C233</f>
        <v>9.7740342381328524</v>
      </c>
      <c r="F234" s="253">
        <f>Dat_02!D233</f>
        <v>28.803266986435492</v>
      </c>
      <c r="G234" s="253">
        <f>Dat_02!E233</f>
        <v>9.7740342381328524</v>
      </c>
      <c r="I234" s="254">
        <f>Dat_02!G233</f>
        <v>0</v>
      </c>
      <c r="J234" s="266" t="str">
        <f>IF(Dat_02!H233=0,"",Dat_02!H233)</f>
        <v/>
      </c>
    </row>
    <row r="235" spans="2:10">
      <c r="B235" s="250"/>
      <c r="C235" s="251" t="s">
        <v>399</v>
      </c>
      <c r="D235" s="250"/>
      <c r="E235" s="253">
        <f>Dat_02!C234</f>
        <v>1.0667203581328504</v>
      </c>
      <c r="F235" s="253">
        <f>Dat_02!D234</f>
        <v>28.803266986435492</v>
      </c>
      <c r="G235" s="253">
        <f>Dat_02!E234</f>
        <v>1.0667203581328504</v>
      </c>
      <c r="I235" s="254">
        <f>Dat_02!G234</f>
        <v>0</v>
      </c>
      <c r="J235" s="266" t="str">
        <f>IF(Dat_02!H234=0,"",Dat_02!H234)</f>
        <v/>
      </c>
    </row>
    <row r="236" spans="2:10">
      <c r="B236" s="250"/>
      <c r="C236" s="251" t="s">
        <v>400</v>
      </c>
      <c r="D236" s="250"/>
      <c r="E236" s="253">
        <f>Dat_02!C235</f>
        <v>3.5535376941309877</v>
      </c>
      <c r="F236" s="253">
        <f>Dat_02!D235</f>
        <v>28.803266986435492</v>
      </c>
      <c r="G236" s="253">
        <f>Dat_02!E235</f>
        <v>3.5535376941309877</v>
      </c>
      <c r="I236" s="254">
        <f>Dat_02!G235</f>
        <v>0</v>
      </c>
      <c r="J236" s="266" t="str">
        <f>IF(Dat_02!H235=0,"",Dat_02!H235)</f>
        <v/>
      </c>
    </row>
    <row r="237" spans="2:10">
      <c r="B237" s="250"/>
      <c r="C237" s="251" t="s">
        <v>401</v>
      </c>
      <c r="D237" s="250"/>
      <c r="E237" s="253">
        <f>Dat_02!C236</f>
        <v>4.9813734981347153</v>
      </c>
      <c r="F237" s="253">
        <f>Dat_02!D236</f>
        <v>28.803266986435492</v>
      </c>
      <c r="G237" s="253">
        <f>Dat_02!E236</f>
        <v>4.9813734981347153</v>
      </c>
      <c r="I237" s="254">
        <f>Dat_02!G236</f>
        <v>0</v>
      </c>
      <c r="J237" s="266" t="str">
        <f>IF(Dat_02!H236=0,"",Dat_02!H236)</f>
        <v/>
      </c>
    </row>
    <row r="238" spans="2:10">
      <c r="B238" s="250"/>
      <c r="C238" s="251" t="s">
        <v>402</v>
      </c>
      <c r="D238" s="250"/>
      <c r="E238" s="253">
        <f>Dat_02!C237</f>
        <v>5.8243440341328458</v>
      </c>
      <c r="F238" s="253">
        <f>Dat_02!D237</f>
        <v>28.803266986435492</v>
      </c>
      <c r="G238" s="253">
        <f>Dat_02!E237</f>
        <v>5.8243440341328458</v>
      </c>
      <c r="I238" s="254">
        <f>Dat_02!G237</f>
        <v>0</v>
      </c>
      <c r="J238" s="266" t="str">
        <f>IF(Dat_02!H237=0,"",Dat_02!H237)</f>
        <v/>
      </c>
    </row>
    <row r="239" spans="2:10">
      <c r="B239" s="250"/>
      <c r="C239" s="251" t="s">
        <v>403</v>
      </c>
      <c r="D239" s="250"/>
      <c r="E239" s="253">
        <f>Dat_02!C238</f>
        <v>4.6091382504418874</v>
      </c>
      <c r="F239" s="253">
        <f>Dat_02!D238</f>
        <v>28.803266986435492</v>
      </c>
      <c r="G239" s="253">
        <f>Dat_02!E238</f>
        <v>4.6091382504418874</v>
      </c>
      <c r="I239" s="254">
        <f>Dat_02!G238</f>
        <v>0</v>
      </c>
      <c r="J239" s="266" t="str">
        <f>IF(Dat_02!H238=0,"",Dat_02!H238)</f>
        <v/>
      </c>
    </row>
    <row r="240" spans="2:10">
      <c r="B240" s="250"/>
      <c r="C240" s="251" t="s">
        <v>404</v>
      </c>
      <c r="D240" s="250"/>
      <c r="E240" s="253">
        <f>Dat_02!C239</f>
        <v>2.9597375264400254</v>
      </c>
      <c r="F240" s="253">
        <f>Dat_02!D239</f>
        <v>28.803266986435492</v>
      </c>
      <c r="G240" s="253">
        <f>Dat_02!E239</f>
        <v>2.9597375264400254</v>
      </c>
      <c r="I240" s="254">
        <f>Dat_02!G239</f>
        <v>0</v>
      </c>
      <c r="J240" s="266" t="str">
        <f>IF(Dat_02!H239=0,"",Dat_02!H239)</f>
        <v/>
      </c>
    </row>
    <row r="241" spans="2:10">
      <c r="B241" s="250"/>
      <c r="C241" s="251" t="s">
        <v>405</v>
      </c>
      <c r="D241" s="250"/>
      <c r="E241" s="253">
        <f>Dat_02!C240</f>
        <v>1.843541032440029</v>
      </c>
      <c r="F241" s="253">
        <f>Dat_02!D240</f>
        <v>28.803266986435492</v>
      </c>
      <c r="G241" s="253">
        <f>Dat_02!E240</f>
        <v>1.843541032440029</v>
      </c>
      <c r="I241" s="254">
        <f>Dat_02!G240</f>
        <v>0</v>
      </c>
      <c r="J241" s="266" t="str">
        <f>IF(Dat_02!H240=0,"",Dat_02!H240)</f>
        <v/>
      </c>
    </row>
    <row r="242" spans="2:10">
      <c r="B242" s="250"/>
      <c r="C242" s="251" t="s">
        <v>406</v>
      </c>
      <c r="D242" s="250"/>
      <c r="E242" s="253">
        <f>Dat_02!C241</f>
        <v>5.8267309124418896</v>
      </c>
      <c r="F242" s="253">
        <f>Dat_02!D241</f>
        <v>28.803266986435492</v>
      </c>
      <c r="G242" s="253">
        <f>Dat_02!E241</f>
        <v>5.8267309124418896</v>
      </c>
      <c r="I242" s="254">
        <f>Dat_02!G241</f>
        <v>0</v>
      </c>
      <c r="J242" s="266" t="str">
        <f>IF(Dat_02!H241=0,"",Dat_02!H241)</f>
        <v/>
      </c>
    </row>
    <row r="243" spans="2:10">
      <c r="B243" s="250"/>
      <c r="C243" s="251" t="s">
        <v>407</v>
      </c>
      <c r="D243" s="250"/>
      <c r="E243" s="253">
        <f>Dat_02!C242</f>
        <v>4.9173575944381662</v>
      </c>
      <c r="F243" s="253">
        <f>Dat_02!D242</f>
        <v>28.803266986435492</v>
      </c>
      <c r="G243" s="253">
        <f>Dat_02!E242</f>
        <v>4.9173575944381662</v>
      </c>
      <c r="I243" s="254">
        <f>Dat_02!G242</f>
        <v>0</v>
      </c>
      <c r="J243" s="266" t="str">
        <f>IF(Dat_02!H242=0,"",Dat_02!H242)</f>
        <v/>
      </c>
    </row>
    <row r="244" spans="2:10">
      <c r="B244" s="250"/>
      <c r="C244" s="251" t="s">
        <v>408</v>
      </c>
      <c r="D244" s="250"/>
      <c r="E244" s="253">
        <f>Dat_02!C243</f>
        <v>4.016378514441894</v>
      </c>
      <c r="F244" s="253">
        <f>Dat_02!D243</f>
        <v>28.803266986435492</v>
      </c>
      <c r="G244" s="253">
        <f>Dat_02!E243</f>
        <v>4.016378514441894</v>
      </c>
      <c r="I244" s="254">
        <f>Dat_02!G243</f>
        <v>0</v>
      </c>
      <c r="J244" s="266" t="str">
        <f>IF(Dat_02!H243=0,"",Dat_02!H243)</f>
        <v/>
      </c>
    </row>
    <row r="245" spans="2:10">
      <c r="B245" s="250"/>
      <c r="C245" s="251" t="s">
        <v>409</v>
      </c>
      <c r="D245" s="250"/>
      <c r="E245" s="253">
        <f>Dat_02!C244</f>
        <v>3.7028108184390947</v>
      </c>
      <c r="F245" s="253">
        <f>Dat_02!D244</f>
        <v>28.803266986435492</v>
      </c>
      <c r="G245" s="253">
        <f>Dat_02!E244</f>
        <v>3.7028108184390947</v>
      </c>
      <c r="I245" s="254">
        <f>Dat_02!G244</f>
        <v>0</v>
      </c>
      <c r="J245" s="266" t="str">
        <f>IF(Dat_02!H244=0,"",Dat_02!H244)</f>
        <v/>
      </c>
    </row>
    <row r="246" spans="2:10">
      <c r="B246" s="250"/>
      <c r="C246" s="251" t="s">
        <v>410</v>
      </c>
      <c r="D246" s="250"/>
      <c r="E246" s="253">
        <f>Dat_02!C245</f>
        <v>2.4336939225340322</v>
      </c>
      <c r="F246" s="253">
        <f>Dat_02!D245</f>
        <v>28.803266986435492</v>
      </c>
      <c r="G246" s="253">
        <f>Dat_02!E245</f>
        <v>2.4336939225340322</v>
      </c>
      <c r="I246" s="254">
        <f>Dat_02!G245</f>
        <v>0</v>
      </c>
      <c r="J246" s="266" t="str">
        <f>IF(Dat_02!H245=0,"",Dat_02!H245)</f>
        <v/>
      </c>
    </row>
    <row r="247" spans="2:10">
      <c r="B247" s="252" t="s">
        <v>411</v>
      </c>
      <c r="C247" s="257" t="s">
        <v>412</v>
      </c>
      <c r="D247" s="250"/>
      <c r="E247" s="253">
        <f>Dat_02!C246</f>
        <v>7.9214282285340305</v>
      </c>
      <c r="F247" s="253">
        <f>Dat_02!D246</f>
        <v>17.69576376333022</v>
      </c>
      <c r="G247" s="253">
        <f>Dat_02!E246</f>
        <v>7.9214282285340305</v>
      </c>
      <c r="I247" s="254">
        <f>Dat_02!G246</f>
        <v>0</v>
      </c>
      <c r="J247" s="266" t="str">
        <f>IF(Dat_02!H246=0,"",Dat_02!H246)</f>
        <v/>
      </c>
    </row>
    <row r="248" spans="2:10">
      <c r="B248" s="250"/>
      <c r="C248" s="251" t="s">
        <v>413</v>
      </c>
      <c r="D248" s="252"/>
      <c r="E248" s="253">
        <f>Dat_02!C247</f>
        <v>8.0697212285349664</v>
      </c>
      <c r="F248" s="253">
        <f>Dat_02!D247</f>
        <v>17.69576376333022</v>
      </c>
      <c r="G248" s="253">
        <f>Dat_02!E247</f>
        <v>8.0697212285349664</v>
      </c>
      <c r="I248" s="254">
        <f>Dat_02!G247</f>
        <v>0</v>
      </c>
      <c r="J248" s="266" t="str">
        <f>IF(Dat_02!H247=0,"",Dat_02!H247)</f>
        <v/>
      </c>
    </row>
    <row r="249" spans="2:10">
      <c r="B249" s="250"/>
      <c r="C249" s="251" t="s">
        <v>414</v>
      </c>
      <c r="D249" s="252"/>
      <c r="E249" s="253">
        <f>Dat_02!C248</f>
        <v>2.3037371005331004</v>
      </c>
      <c r="F249" s="253">
        <f>Dat_02!D248</f>
        <v>17.69576376333022</v>
      </c>
      <c r="G249" s="253">
        <f>Dat_02!E248</f>
        <v>2.3037371005331004</v>
      </c>
      <c r="I249" s="254">
        <f>Dat_02!G248</f>
        <v>0</v>
      </c>
      <c r="J249" s="266" t="str">
        <f>IF(Dat_02!H248=0,"",Dat_02!H248)</f>
        <v/>
      </c>
    </row>
    <row r="250" spans="2:10">
      <c r="B250" s="250"/>
      <c r="C250" s="251" t="s">
        <v>415</v>
      </c>
      <c r="D250" s="252"/>
      <c r="E250" s="253">
        <f>Dat_02!C249</f>
        <v>2.257930104535895</v>
      </c>
      <c r="F250" s="253">
        <f>Dat_02!D249</f>
        <v>17.69576376333022</v>
      </c>
      <c r="G250" s="253">
        <f>Dat_02!E249</f>
        <v>2.257930104535895</v>
      </c>
      <c r="I250" s="254">
        <f>Dat_02!G249</f>
        <v>0</v>
      </c>
      <c r="J250" s="266" t="str">
        <f>IF(Dat_02!H249=0,"",Dat_02!H249)</f>
        <v/>
      </c>
    </row>
    <row r="251" spans="2:10">
      <c r="B251" s="250"/>
      <c r="C251" s="251" t="s">
        <v>416</v>
      </c>
      <c r="D251" s="252"/>
      <c r="E251" s="253">
        <f>Dat_02!C250</f>
        <v>8.6116978425331041</v>
      </c>
      <c r="F251" s="253">
        <f>Dat_02!D250</f>
        <v>17.69576376333022</v>
      </c>
      <c r="G251" s="253">
        <f>Dat_02!E250</f>
        <v>8.6116978425331041</v>
      </c>
      <c r="I251" s="254">
        <f>Dat_02!G250</f>
        <v>0</v>
      </c>
      <c r="J251" s="266" t="str">
        <f>IF(Dat_02!H250=0,"",Dat_02!H250)</f>
        <v/>
      </c>
    </row>
    <row r="252" spans="2:10">
      <c r="B252" s="250"/>
      <c r="C252" s="251" t="s">
        <v>417</v>
      </c>
      <c r="D252" s="250"/>
      <c r="E252" s="253">
        <f>Dat_02!C251</f>
        <v>12.310531754534036</v>
      </c>
      <c r="F252" s="253">
        <f>Dat_02!D251</f>
        <v>17.69576376333022</v>
      </c>
      <c r="G252" s="253">
        <f>Dat_02!E251</f>
        <v>12.310531754534036</v>
      </c>
      <c r="I252" s="254">
        <f>Dat_02!G251</f>
        <v>0</v>
      </c>
      <c r="J252" s="266" t="str">
        <f>IF(Dat_02!H251=0,"",Dat_02!H251)</f>
        <v/>
      </c>
    </row>
    <row r="253" spans="2:10">
      <c r="B253" s="250"/>
      <c r="C253" s="251" t="s">
        <v>418</v>
      </c>
      <c r="D253" s="250"/>
      <c r="E253" s="253">
        <f>Dat_02!C252</f>
        <v>13.944449399182115</v>
      </c>
      <c r="F253" s="253">
        <f>Dat_02!D252</f>
        <v>17.69576376333022</v>
      </c>
      <c r="G253" s="253">
        <f>Dat_02!E252</f>
        <v>13.944449399182115</v>
      </c>
      <c r="I253" s="254">
        <f>Dat_02!G252</f>
        <v>0</v>
      </c>
      <c r="J253" s="266" t="str">
        <f>IF(Dat_02!H252=0,"",Dat_02!H252)</f>
        <v/>
      </c>
    </row>
    <row r="254" spans="2:10">
      <c r="B254" s="250"/>
      <c r="C254" s="251" t="s">
        <v>419</v>
      </c>
      <c r="D254" s="250"/>
      <c r="E254" s="253">
        <f>Dat_02!C253</f>
        <v>7.5493202591811857</v>
      </c>
      <c r="F254" s="253">
        <f>Dat_02!D253</f>
        <v>17.69576376333022</v>
      </c>
      <c r="G254" s="253">
        <f>Dat_02!E253</f>
        <v>7.5493202591811857</v>
      </c>
      <c r="I254" s="254">
        <f>Dat_02!G253</f>
        <v>0</v>
      </c>
      <c r="J254" s="266" t="str">
        <f>IF(Dat_02!H253=0,"",Dat_02!H253)</f>
        <v/>
      </c>
    </row>
    <row r="255" spans="2:10">
      <c r="B255" s="250"/>
      <c r="C255" s="251" t="s">
        <v>420</v>
      </c>
      <c r="D255" s="250"/>
      <c r="E255" s="253">
        <f>Dat_02!C254</f>
        <v>9.3960193591811834</v>
      </c>
      <c r="F255" s="253">
        <f>Dat_02!D254</f>
        <v>17.69576376333022</v>
      </c>
      <c r="G255" s="253">
        <f>Dat_02!E254</f>
        <v>9.3960193591811834</v>
      </c>
      <c r="I255" s="254">
        <f>Dat_02!G254</f>
        <v>0</v>
      </c>
      <c r="J255" s="266" t="str">
        <f>IF(Dat_02!H254=0,"",Dat_02!H254)</f>
        <v/>
      </c>
    </row>
    <row r="256" spans="2:10">
      <c r="B256" s="250"/>
      <c r="C256" s="251" t="s">
        <v>421</v>
      </c>
      <c r="D256" s="250"/>
      <c r="E256" s="253">
        <f>Dat_02!C255</f>
        <v>7.8897993671830484</v>
      </c>
      <c r="F256" s="253">
        <f>Dat_02!D255</f>
        <v>17.69576376333022</v>
      </c>
      <c r="G256" s="253">
        <f>Dat_02!E255</f>
        <v>7.8897993671830484</v>
      </c>
      <c r="I256" s="254">
        <f>Dat_02!G255</f>
        <v>0</v>
      </c>
      <c r="J256" s="266" t="str">
        <f>IF(Dat_02!H255=0,"",Dat_02!H255)</f>
        <v/>
      </c>
    </row>
    <row r="257" spans="2:10">
      <c r="B257" s="250"/>
      <c r="C257" s="251" t="s">
        <v>422</v>
      </c>
      <c r="D257" s="250"/>
      <c r="E257" s="253">
        <f>Dat_02!C256</f>
        <v>1.068560027180254</v>
      </c>
      <c r="F257" s="253">
        <f>Dat_02!D256</f>
        <v>17.69576376333022</v>
      </c>
      <c r="G257" s="253">
        <f>Dat_02!E256</f>
        <v>1.068560027180254</v>
      </c>
      <c r="I257" s="254">
        <f>Dat_02!G256</f>
        <v>0</v>
      </c>
      <c r="J257" s="266" t="str">
        <f>IF(Dat_02!H256=0,"",Dat_02!H256)</f>
        <v/>
      </c>
    </row>
    <row r="258" spans="2:10">
      <c r="B258" s="250"/>
      <c r="C258" s="251" t="s">
        <v>423</v>
      </c>
      <c r="D258" s="250"/>
      <c r="E258" s="253">
        <f>Dat_02!C257</f>
        <v>2.4958660811811861</v>
      </c>
      <c r="F258" s="253">
        <f>Dat_02!D257</f>
        <v>17.69576376333022</v>
      </c>
      <c r="G258" s="253">
        <f>Dat_02!E257</f>
        <v>2.4958660811811861</v>
      </c>
      <c r="I258" s="254">
        <f>Dat_02!G257</f>
        <v>0</v>
      </c>
      <c r="J258" s="266" t="str">
        <f>IF(Dat_02!H257=0,"",Dat_02!H257)</f>
        <v/>
      </c>
    </row>
    <row r="259" spans="2:10">
      <c r="B259" s="250"/>
      <c r="C259" s="251" t="s">
        <v>424</v>
      </c>
      <c r="D259" s="250"/>
      <c r="E259" s="253">
        <f>Dat_02!C258</f>
        <v>7.113692349181183</v>
      </c>
      <c r="F259" s="253">
        <f>Dat_02!D258</f>
        <v>17.69576376333022</v>
      </c>
      <c r="G259" s="253">
        <f>Dat_02!E258</f>
        <v>7.113692349181183</v>
      </c>
      <c r="I259" s="254">
        <f>Dat_02!G258</f>
        <v>0</v>
      </c>
      <c r="J259" s="266" t="str">
        <f>IF(Dat_02!H258=0,"",Dat_02!H258)</f>
        <v/>
      </c>
    </row>
    <row r="260" spans="2:10">
      <c r="B260" s="250"/>
      <c r="C260" s="251" t="s">
        <v>425</v>
      </c>
      <c r="D260" s="250"/>
      <c r="E260" s="253">
        <f>Dat_02!C259</f>
        <v>12.498108670538379</v>
      </c>
      <c r="F260" s="253">
        <f>Dat_02!D259</f>
        <v>17.69576376333022</v>
      </c>
      <c r="G260" s="253">
        <f>Dat_02!E259</f>
        <v>12.498108670538379</v>
      </c>
      <c r="I260" s="254" t="str">
        <f>Dat_02!G259</f>
        <v/>
      </c>
      <c r="J260" s="266" t="str">
        <f>IF(Dat_02!H259=0,"",Dat_02!H259)</f>
        <v/>
      </c>
    </row>
    <row r="261" spans="2:10">
      <c r="B261" s="250"/>
      <c r="C261" s="251" t="s">
        <v>426</v>
      </c>
      <c r="D261" s="250"/>
      <c r="E261" s="253">
        <f>Dat_02!C260</f>
        <v>6.7645505145355855</v>
      </c>
      <c r="F261" s="253">
        <f>Dat_02!D260</f>
        <v>17.69576376333022</v>
      </c>
      <c r="G261" s="253">
        <f>Dat_02!E260</f>
        <v>6.7645505145355855</v>
      </c>
      <c r="I261" s="254">
        <f>Dat_02!G260</f>
        <v>17.69576376333022</v>
      </c>
      <c r="J261" s="266" t="str">
        <f>IF(Dat_02!H260=0,"",Dat_02!H260)</f>
        <v/>
      </c>
    </row>
    <row r="262" spans="2:10">
      <c r="B262" s="250"/>
      <c r="C262" s="251" t="s">
        <v>427</v>
      </c>
      <c r="D262" s="250"/>
      <c r="E262" s="253">
        <f>Dat_02!C261</f>
        <v>10.198750332538372</v>
      </c>
      <c r="F262" s="253">
        <f>Dat_02!D261</f>
        <v>17.69576376333022</v>
      </c>
      <c r="G262" s="253">
        <f>Dat_02!E261</f>
        <v>10.198750332538372</v>
      </c>
      <c r="I262" s="254">
        <f>Dat_02!G261</f>
        <v>0</v>
      </c>
      <c r="J262" s="266" t="str">
        <f>IF(Dat_02!H261=0,"",Dat_02!H261)</f>
        <v/>
      </c>
    </row>
    <row r="263" spans="2:10">
      <c r="B263" s="250"/>
      <c r="C263" s="251" t="s">
        <v>428</v>
      </c>
      <c r="D263" s="250"/>
      <c r="E263" s="253">
        <f>Dat_02!C262</f>
        <v>6.5070074045346482</v>
      </c>
      <c r="F263" s="253">
        <f>Dat_02!D262</f>
        <v>17.69576376333022</v>
      </c>
      <c r="G263" s="253">
        <f>Dat_02!E262</f>
        <v>6.5070074045346482</v>
      </c>
      <c r="I263" s="254">
        <f>Dat_02!G262</f>
        <v>0</v>
      </c>
      <c r="J263" s="266" t="str">
        <f>IF(Dat_02!H262=0,"",Dat_02!H262)</f>
        <v/>
      </c>
    </row>
    <row r="264" spans="2:10">
      <c r="B264" s="250"/>
      <c r="C264" s="251" t="s">
        <v>429</v>
      </c>
      <c r="D264" s="250"/>
      <c r="E264" s="253">
        <f>Dat_02!C263</f>
        <v>5.2324443865365176</v>
      </c>
      <c r="F264" s="253">
        <f>Dat_02!D263</f>
        <v>17.69576376333022</v>
      </c>
      <c r="G264" s="253">
        <f>Dat_02!E263</f>
        <v>5.2324443865365176</v>
      </c>
      <c r="I264" s="254">
        <f>Dat_02!G263</f>
        <v>0</v>
      </c>
      <c r="J264" s="266" t="str">
        <f>IF(Dat_02!H263=0,"",Dat_02!H263)</f>
        <v/>
      </c>
    </row>
    <row r="265" spans="2:10">
      <c r="B265" s="250"/>
      <c r="C265" s="251" t="s">
        <v>430</v>
      </c>
      <c r="D265" s="250"/>
      <c r="E265" s="253">
        <f>Dat_02!C264</f>
        <v>10.958338302537442</v>
      </c>
      <c r="F265" s="253">
        <f>Dat_02!D264</f>
        <v>17.69576376333022</v>
      </c>
      <c r="G265" s="253">
        <f>Dat_02!E264</f>
        <v>10.958338302537442</v>
      </c>
      <c r="I265" s="254">
        <f>Dat_02!G264</f>
        <v>0</v>
      </c>
      <c r="J265" s="266" t="str">
        <f>IF(Dat_02!H264=0,"",Dat_02!H264)</f>
        <v/>
      </c>
    </row>
    <row r="266" spans="2:10">
      <c r="B266" s="250"/>
      <c r="C266" s="251" t="s">
        <v>431</v>
      </c>
      <c r="D266" s="250"/>
      <c r="E266" s="253">
        <f>Dat_02!C265</f>
        <v>9.7324790045374474</v>
      </c>
      <c r="F266" s="253">
        <f>Dat_02!D265</f>
        <v>17.69576376333022</v>
      </c>
      <c r="G266" s="253">
        <f>Dat_02!E265</f>
        <v>9.7324790045374474</v>
      </c>
      <c r="I266" s="254">
        <f>Dat_02!G265</f>
        <v>0</v>
      </c>
      <c r="J266" s="266" t="str">
        <f>IF(Dat_02!H265=0,"",Dat_02!H265)</f>
        <v/>
      </c>
    </row>
    <row r="267" spans="2:10">
      <c r="B267" s="250"/>
      <c r="C267" s="251" t="s">
        <v>432</v>
      </c>
      <c r="D267" s="250"/>
      <c r="E267" s="253">
        <f>Dat_02!C266</f>
        <v>13.338055306264454</v>
      </c>
      <c r="F267" s="253">
        <f>Dat_02!D266</f>
        <v>17.69576376333022</v>
      </c>
      <c r="G267" s="253">
        <f>Dat_02!E266</f>
        <v>13.338055306264454</v>
      </c>
      <c r="I267" s="254">
        <f>Dat_02!G266</f>
        <v>0</v>
      </c>
      <c r="J267" s="266" t="str">
        <f>IF(Dat_02!H266=0,"",Dat_02!H266)</f>
        <v/>
      </c>
    </row>
    <row r="268" spans="2:10">
      <c r="B268" s="250"/>
      <c r="C268" s="251" t="s">
        <v>433</v>
      </c>
      <c r="D268" s="250"/>
      <c r="E268" s="253">
        <f>Dat_02!C267</f>
        <v>16.765228846264456</v>
      </c>
      <c r="F268" s="253">
        <f>Dat_02!D267</f>
        <v>17.69576376333022</v>
      </c>
      <c r="G268" s="253">
        <f>Dat_02!E267</f>
        <v>16.765228846264456</v>
      </c>
      <c r="I268" s="254">
        <f>Dat_02!G267</f>
        <v>0</v>
      </c>
      <c r="J268" s="266" t="str">
        <f>IF(Dat_02!H267=0,"",Dat_02!H267)</f>
        <v/>
      </c>
    </row>
    <row r="269" spans="2:10">
      <c r="B269" s="250"/>
      <c r="C269" s="251" t="s">
        <v>434</v>
      </c>
      <c r="D269" s="250"/>
      <c r="E269" s="253">
        <f>Dat_02!C268</f>
        <v>17.646445842265383</v>
      </c>
      <c r="F269" s="253">
        <f>Dat_02!D268</f>
        <v>17.69576376333022</v>
      </c>
      <c r="G269" s="253">
        <f>Dat_02!E268</f>
        <v>17.646445842265383</v>
      </c>
      <c r="I269" s="254">
        <f>Dat_02!G268</f>
        <v>0</v>
      </c>
      <c r="J269" s="266" t="str">
        <f>IF(Dat_02!H268=0,"",Dat_02!H268)</f>
        <v/>
      </c>
    </row>
    <row r="270" spans="2:10">
      <c r="B270" s="250"/>
      <c r="C270" s="251" t="s">
        <v>435</v>
      </c>
      <c r="D270" s="250"/>
      <c r="E270" s="253">
        <f>Dat_02!C269</f>
        <v>9.763781318263522</v>
      </c>
      <c r="F270" s="253">
        <f>Dat_02!D269</f>
        <v>17.69576376333022</v>
      </c>
      <c r="G270" s="253">
        <f>Dat_02!E269</f>
        <v>9.763781318263522</v>
      </c>
      <c r="I270" s="254">
        <f>Dat_02!G269</f>
        <v>0</v>
      </c>
      <c r="J270" s="266" t="str">
        <f>IF(Dat_02!H269=0,"",Dat_02!H269)</f>
        <v/>
      </c>
    </row>
    <row r="271" spans="2:10">
      <c r="B271" s="250"/>
      <c r="C271" s="251" t="s">
        <v>436</v>
      </c>
      <c r="D271" s="250"/>
      <c r="E271" s="253">
        <f>Dat_02!C270</f>
        <v>6.1929172722663166</v>
      </c>
      <c r="F271" s="253">
        <f>Dat_02!D270</f>
        <v>17.69576376333022</v>
      </c>
      <c r="G271" s="253">
        <f>Dat_02!E270</f>
        <v>6.1929172722663166</v>
      </c>
      <c r="I271" s="254">
        <f>Dat_02!G270</f>
        <v>0</v>
      </c>
      <c r="J271" s="266" t="str">
        <f>IF(Dat_02!H270=0,"",Dat_02!H270)</f>
        <v/>
      </c>
    </row>
    <row r="272" spans="2:10">
      <c r="B272" s="250"/>
      <c r="C272" s="251" t="s">
        <v>437</v>
      </c>
      <c r="D272" s="250"/>
      <c r="E272" s="253">
        <f>Dat_02!C271</f>
        <v>21.388717054264454</v>
      </c>
      <c r="F272" s="253">
        <f>Dat_02!D271</f>
        <v>17.69576376333022</v>
      </c>
      <c r="G272" s="253">
        <f>Dat_02!E271</f>
        <v>17.69576376333022</v>
      </c>
      <c r="I272" s="254">
        <f>Dat_02!G271</f>
        <v>0</v>
      </c>
      <c r="J272" s="266" t="str">
        <f>IF(Dat_02!H271=0,"",Dat_02!H271)</f>
        <v/>
      </c>
    </row>
    <row r="273" spans="2:10">
      <c r="B273" s="250"/>
      <c r="C273" s="251" t="s">
        <v>438</v>
      </c>
      <c r="D273" s="250"/>
      <c r="E273" s="253">
        <f>Dat_02!C272</f>
        <v>26.498922198264452</v>
      </c>
      <c r="F273" s="253">
        <f>Dat_02!D272</f>
        <v>17.69576376333022</v>
      </c>
      <c r="G273" s="253">
        <f>Dat_02!E272</f>
        <v>17.69576376333022</v>
      </c>
      <c r="I273" s="254">
        <f>Dat_02!G272</f>
        <v>0</v>
      </c>
      <c r="J273" s="266" t="str">
        <f>IF(Dat_02!H272=0,"",Dat_02!H272)</f>
        <v/>
      </c>
    </row>
    <row r="274" spans="2:10">
      <c r="B274" s="250"/>
      <c r="C274" s="251" t="s">
        <v>439</v>
      </c>
      <c r="D274" s="250"/>
      <c r="E274" s="253">
        <f>Dat_02!C273</f>
        <v>22.003050261266647</v>
      </c>
      <c r="F274" s="253">
        <f>Dat_02!D273</f>
        <v>17.69576376333022</v>
      </c>
      <c r="G274" s="253">
        <f>Dat_02!E273</f>
        <v>17.69576376333022</v>
      </c>
      <c r="I274" s="254">
        <f>Dat_02!G273</f>
        <v>0</v>
      </c>
      <c r="J274" s="266" t="str">
        <f>IF(Dat_02!H273=0,"",Dat_02!H273)</f>
        <v/>
      </c>
    </row>
    <row r="275" spans="2:10">
      <c r="B275" s="250"/>
      <c r="C275" s="251" t="s">
        <v>440</v>
      </c>
      <c r="D275" s="250"/>
      <c r="E275" s="253">
        <f>Dat_02!C274</f>
        <v>28.383762925263852</v>
      </c>
      <c r="F275" s="253">
        <f>Dat_02!D274</f>
        <v>17.69576376333022</v>
      </c>
      <c r="G275" s="253">
        <f>Dat_02!E274</f>
        <v>17.69576376333022</v>
      </c>
      <c r="I275" s="254">
        <f>Dat_02!G274</f>
        <v>0</v>
      </c>
      <c r="J275" s="266" t="str">
        <f>IF(Dat_02!H274=0,"",Dat_02!H274)</f>
        <v/>
      </c>
    </row>
    <row r="276" spans="2:10">
      <c r="B276" s="250"/>
      <c r="C276" s="251" t="s">
        <v>441</v>
      </c>
      <c r="D276" s="250"/>
      <c r="E276" s="253">
        <f>Dat_02!C275</f>
        <v>25.551797657266643</v>
      </c>
      <c r="F276" s="253">
        <f>Dat_02!D275</f>
        <v>17.69576376333022</v>
      </c>
      <c r="G276" s="253">
        <f>Dat_02!E275</f>
        <v>17.69576376333022</v>
      </c>
      <c r="I276" s="254">
        <f>Dat_02!G275</f>
        <v>0</v>
      </c>
      <c r="J276" s="266" t="str">
        <f>IF(Dat_02!H275=0,"",Dat_02!H275)</f>
        <v/>
      </c>
    </row>
    <row r="277" spans="2:10">
      <c r="B277" s="250" t="s">
        <v>442</v>
      </c>
      <c r="C277" s="251" t="s">
        <v>443</v>
      </c>
      <c r="D277" s="250"/>
      <c r="E277" s="253">
        <f>Dat_02!C276</f>
        <v>15.919595253264786</v>
      </c>
      <c r="F277" s="253">
        <f>Dat_02!D276</f>
        <v>17.69576376333022</v>
      </c>
      <c r="G277" s="253">
        <f>Dat_02!E276</f>
        <v>15.919595253264786</v>
      </c>
      <c r="I277" s="254">
        <f>Dat_02!G276</f>
        <v>0</v>
      </c>
      <c r="J277" s="266" t="str">
        <f>IF(Dat_02!H276=0,"",Dat_02!H276)</f>
        <v/>
      </c>
    </row>
    <row r="278" spans="2:10">
      <c r="B278" s="252"/>
      <c r="C278" s="257" t="s">
        <v>444</v>
      </c>
      <c r="D278" s="252"/>
      <c r="E278" s="253">
        <f>Dat_02!C277</f>
        <v>1.0574971092657142</v>
      </c>
      <c r="F278" s="253">
        <f>Dat_02!D277</f>
        <v>22.281040209732421</v>
      </c>
      <c r="G278" s="253">
        <f>Dat_02!E277</f>
        <v>1.0574971092657142</v>
      </c>
      <c r="I278" s="254">
        <f>Dat_02!G277</f>
        <v>0</v>
      </c>
      <c r="J278" s="266" t="str">
        <f>IF(Dat_02!H277=0,"",Dat_02!H277)</f>
        <v/>
      </c>
    </row>
    <row r="279" spans="2:10">
      <c r="B279" s="250"/>
      <c r="C279" s="251" t="s">
        <v>445</v>
      </c>
      <c r="D279" s="252"/>
      <c r="E279" s="253">
        <f>Dat_02!C278</f>
        <v>6.8017746692666474</v>
      </c>
      <c r="F279" s="253">
        <f>Dat_02!D278</f>
        <v>22.281040209732421</v>
      </c>
      <c r="G279" s="253">
        <f>Dat_02!E278</f>
        <v>6.8017746692666474</v>
      </c>
      <c r="I279" s="254">
        <f>Dat_02!G278</f>
        <v>0</v>
      </c>
      <c r="J279" s="266" t="str">
        <f>IF(Dat_02!H278=0,"",Dat_02!H278)</f>
        <v/>
      </c>
    </row>
    <row r="280" spans="2:10">
      <c r="B280" s="250"/>
      <c r="C280" s="251" t="s">
        <v>446</v>
      </c>
      <c r="D280" s="250"/>
      <c r="E280" s="253">
        <f>Dat_02!C279</f>
        <v>7.4549108792647818</v>
      </c>
      <c r="F280" s="253">
        <f>Dat_02!D279</f>
        <v>22.281040209732421</v>
      </c>
      <c r="G280" s="253">
        <f>Dat_02!E279</f>
        <v>7.4549108792647818</v>
      </c>
      <c r="I280" s="254">
        <f>Dat_02!G279</f>
        <v>0</v>
      </c>
      <c r="J280" s="266" t="str">
        <f>IF(Dat_02!H279=0,"",Dat_02!H279)</f>
        <v/>
      </c>
    </row>
    <row r="281" spans="2:10">
      <c r="B281" s="250"/>
      <c r="C281" s="251" t="s">
        <v>447</v>
      </c>
      <c r="D281" s="250"/>
      <c r="E281" s="253">
        <f>Dat_02!C280</f>
        <v>9.4749125041668165</v>
      </c>
      <c r="F281" s="253">
        <f>Dat_02!D280</f>
        <v>22.281040209732421</v>
      </c>
      <c r="G281" s="253">
        <f>Dat_02!E280</f>
        <v>9.4749125041668165</v>
      </c>
      <c r="I281" s="254">
        <f>Dat_02!G280</f>
        <v>0</v>
      </c>
      <c r="J281" s="266" t="str">
        <f>IF(Dat_02!H280=0,"",Dat_02!H280)</f>
        <v/>
      </c>
    </row>
    <row r="282" spans="2:10">
      <c r="B282" s="250"/>
      <c r="C282" s="251" t="s">
        <v>448</v>
      </c>
      <c r="D282" s="250"/>
      <c r="E282" s="253">
        <f>Dat_02!C281</f>
        <v>7.5681810981686795</v>
      </c>
      <c r="F282" s="253">
        <f>Dat_02!D281</f>
        <v>22.281040209732421</v>
      </c>
      <c r="G282" s="253">
        <f>Dat_02!E281</f>
        <v>7.5681810981686795</v>
      </c>
      <c r="I282" s="254">
        <f>Dat_02!G281</f>
        <v>0</v>
      </c>
      <c r="J282" s="266" t="str">
        <f>IF(Dat_02!H281=0,"",Dat_02!H281)</f>
        <v/>
      </c>
    </row>
    <row r="283" spans="2:10">
      <c r="B283" s="250"/>
      <c r="C283" s="251" t="s">
        <v>449</v>
      </c>
      <c r="D283" s="250"/>
      <c r="E283" s="253">
        <f>Dat_02!C282</f>
        <v>4.8948287881677501</v>
      </c>
      <c r="F283" s="253">
        <f>Dat_02!D282</f>
        <v>22.281040209732421</v>
      </c>
      <c r="G283" s="253">
        <f>Dat_02!E282</f>
        <v>4.8948287881677501</v>
      </c>
      <c r="I283" s="254">
        <f>Dat_02!G282</f>
        <v>0</v>
      </c>
      <c r="J283" s="266" t="str">
        <f>IF(Dat_02!H282=0,"",Dat_02!H282)</f>
        <v/>
      </c>
    </row>
    <row r="284" spans="2:10">
      <c r="B284" s="250"/>
      <c r="C284" s="251" t="s">
        <v>450</v>
      </c>
      <c r="D284" s="250"/>
      <c r="E284" s="253">
        <f>Dat_02!C283</f>
        <v>8.5982141721677507</v>
      </c>
      <c r="F284" s="253">
        <f>Dat_02!D283</f>
        <v>22.281040209732421</v>
      </c>
      <c r="G284" s="253">
        <f>Dat_02!E283</f>
        <v>8.5982141721677507</v>
      </c>
      <c r="I284" s="254">
        <f>Dat_02!G283</f>
        <v>0</v>
      </c>
      <c r="J284" s="266" t="str">
        <f>IF(Dat_02!H283=0,"",Dat_02!H283)</f>
        <v/>
      </c>
    </row>
    <row r="285" spans="2:10">
      <c r="B285" s="250"/>
      <c r="C285" s="251" t="s">
        <v>451</v>
      </c>
      <c r="D285" s="250"/>
      <c r="E285" s="253">
        <f>Dat_02!C284</f>
        <v>9.1360089501677511</v>
      </c>
      <c r="F285" s="253">
        <f>Dat_02!D284</f>
        <v>22.281040209732421</v>
      </c>
      <c r="G285" s="253">
        <f>Dat_02!E284</f>
        <v>9.1360089501677511</v>
      </c>
      <c r="I285" s="254">
        <f>Dat_02!G284</f>
        <v>0</v>
      </c>
      <c r="J285" s="266" t="str">
        <f>IF(Dat_02!H284=0,"",Dat_02!H284)</f>
        <v/>
      </c>
    </row>
    <row r="286" spans="2:10">
      <c r="B286" s="250"/>
      <c r="C286" s="251" t="s">
        <v>452</v>
      </c>
      <c r="D286" s="250"/>
      <c r="E286" s="253">
        <f>Dat_02!C285</f>
        <v>19.102409328166818</v>
      </c>
      <c r="F286" s="253">
        <f>Dat_02!D285</f>
        <v>22.281040209732421</v>
      </c>
      <c r="G286" s="253">
        <f>Dat_02!E285</f>
        <v>19.102409328166818</v>
      </c>
      <c r="I286" s="254">
        <f>Dat_02!G285</f>
        <v>0</v>
      </c>
      <c r="J286" s="266" t="str">
        <f>IF(Dat_02!H285=0,"",Dat_02!H285)</f>
        <v/>
      </c>
    </row>
    <row r="287" spans="2:10">
      <c r="B287" s="250"/>
      <c r="C287" s="251" t="s">
        <v>453</v>
      </c>
      <c r="D287" s="250"/>
      <c r="E287" s="253">
        <f>Dat_02!C286</f>
        <v>9.2524961541686785</v>
      </c>
      <c r="F287" s="253">
        <f>Dat_02!D286</f>
        <v>22.281040209732421</v>
      </c>
      <c r="G287" s="253">
        <f>Dat_02!E286</f>
        <v>9.2524961541686785</v>
      </c>
      <c r="I287" s="254">
        <f>Dat_02!G286</f>
        <v>0</v>
      </c>
      <c r="J287" s="266" t="str">
        <f>IF(Dat_02!H286=0,"",Dat_02!H286)</f>
        <v/>
      </c>
    </row>
    <row r="288" spans="2:10">
      <c r="B288" s="250"/>
      <c r="C288" s="251" t="s">
        <v>454</v>
      </c>
      <c r="D288" s="250"/>
      <c r="E288" s="253">
        <f>Dat_02!C287</f>
        <v>17.113809906556309</v>
      </c>
      <c r="F288" s="253">
        <f>Dat_02!D287</f>
        <v>22.281040209732421</v>
      </c>
      <c r="G288" s="253">
        <f>Dat_02!E287</f>
        <v>17.113809906556309</v>
      </c>
      <c r="I288" s="254">
        <f>Dat_02!G287</f>
        <v>0</v>
      </c>
      <c r="J288" s="266" t="str">
        <f>IF(Dat_02!H287=0,"",Dat_02!H287)</f>
        <v/>
      </c>
    </row>
    <row r="289" spans="2:10">
      <c r="B289" s="250"/>
      <c r="C289" s="251" t="s">
        <v>455</v>
      </c>
      <c r="D289" s="250"/>
      <c r="E289" s="253">
        <f>Dat_02!C288</f>
        <v>25.507597080556312</v>
      </c>
      <c r="F289" s="253">
        <f>Dat_02!D288</f>
        <v>22.281040209732421</v>
      </c>
      <c r="G289" s="253">
        <f>Dat_02!E288</f>
        <v>22.281040209732421</v>
      </c>
      <c r="I289" s="254">
        <f>Dat_02!G288</f>
        <v>0</v>
      </c>
      <c r="J289" s="266" t="str">
        <f>IF(Dat_02!H288=0,"",Dat_02!H288)</f>
        <v/>
      </c>
    </row>
    <row r="290" spans="2:10">
      <c r="B290" s="250"/>
      <c r="C290" s="251" t="s">
        <v>456</v>
      </c>
      <c r="D290" s="250"/>
      <c r="E290" s="253">
        <f>Dat_02!C289</f>
        <v>20.034511860554449</v>
      </c>
      <c r="F290" s="253">
        <f>Dat_02!D289</f>
        <v>22.281040209732421</v>
      </c>
      <c r="G290" s="253">
        <f>Dat_02!E289</f>
        <v>20.034511860554449</v>
      </c>
      <c r="I290" s="254">
        <f>Dat_02!G289</f>
        <v>0</v>
      </c>
      <c r="J290" s="266" t="str">
        <f>IF(Dat_02!H289=0,"",Dat_02!H289)</f>
        <v/>
      </c>
    </row>
    <row r="291" spans="2:10">
      <c r="B291" s="250"/>
      <c r="C291" s="251" t="s">
        <v>457</v>
      </c>
      <c r="D291" s="250"/>
      <c r="E291" s="253">
        <f>Dat_02!C290</f>
        <v>3.6371299425572396</v>
      </c>
      <c r="F291" s="253">
        <f>Dat_02!D290</f>
        <v>22.281040209732421</v>
      </c>
      <c r="G291" s="253">
        <f>Dat_02!E290</f>
        <v>3.6371299425572396</v>
      </c>
      <c r="I291" s="254" t="str">
        <f>Dat_02!G290</f>
        <v/>
      </c>
      <c r="J291" s="266" t="str">
        <f>IF(Dat_02!H290=0,"",Dat_02!H290)</f>
        <v/>
      </c>
    </row>
    <row r="292" spans="2:10">
      <c r="B292" s="250"/>
      <c r="C292" s="251" t="s">
        <v>458</v>
      </c>
      <c r="D292" s="250"/>
      <c r="E292" s="253">
        <f>Dat_02!C291</f>
        <v>2.6742494705553765</v>
      </c>
      <c r="F292" s="253">
        <f>Dat_02!D291</f>
        <v>22.281040209732421</v>
      </c>
      <c r="G292" s="253">
        <f>Dat_02!E291</f>
        <v>2.6742494705553765</v>
      </c>
      <c r="I292" s="254">
        <f>Dat_02!G291</f>
        <v>22.281040209732421</v>
      </c>
      <c r="J292" s="266" t="str">
        <f>IF(Dat_02!H291=0,"",Dat_02!H291)</f>
        <v/>
      </c>
    </row>
    <row r="293" spans="2:10">
      <c r="B293" s="250"/>
      <c r="C293" s="251" t="s">
        <v>459</v>
      </c>
      <c r="D293" s="250"/>
      <c r="E293" s="253">
        <f>Dat_02!C292</f>
        <v>40.739630954557242</v>
      </c>
      <c r="F293" s="253">
        <f>Dat_02!D292</f>
        <v>22.281040209732421</v>
      </c>
      <c r="G293" s="253">
        <f>Dat_02!E292</f>
        <v>22.281040209732421</v>
      </c>
      <c r="I293" s="254">
        <f>Dat_02!G292</f>
        <v>0</v>
      </c>
      <c r="J293" s="266" t="str">
        <f>IF(Dat_02!H292=0,"",Dat_02!H292)</f>
        <v/>
      </c>
    </row>
    <row r="294" spans="2:10">
      <c r="B294" s="250"/>
      <c r="C294" s="251" t="s">
        <v>460</v>
      </c>
      <c r="D294" s="250"/>
      <c r="E294" s="253">
        <f>Dat_02!C293</f>
        <v>39.242641318555378</v>
      </c>
      <c r="F294" s="253">
        <f>Dat_02!D293</f>
        <v>22.281040209732421</v>
      </c>
      <c r="G294" s="253">
        <f>Dat_02!E293</f>
        <v>22.281040209732421</v>
      </c>
      <c r="I294" s="254">
        <f>Dat_02!G293</f>
        <v>0</v>
      </c>
      <c r="J294" s="266" t="str">
        <f>IF(Dat_02!H293=0,"",Dat_02!H293)</f>
        <v/>
      </c>
    </row>
    <row r="295" spans="2:10">
      <c r="B295" s="250"/>
      <c r="C295" s="251" t="s">
        <v>461</v>
      </c>
      <c r="D295" s="250"/>
      <c r="E295" s="253">
        <f>Dat_02!C294</f>
        <v>23.118648947825168</v>
      </c>
      <c r="F295" s="253">
        <f>Dat_02!D294</f>
        <v>22.281040209732421</v>
      </c>
      <c r="G295" s="253">
        <f>Dat_02!E294</f>
        <v>22.281040209732421</v>
      </c>
      <c r="I295" s="254">
        <f>Dat_02!G294</f>
        <v>0</v>
      </c>
      <c r="J295" s="266" t="str">
        <f>IF(Dat_02!H294=0,"",Dat_02!H294)</f>
        <v/>
      </c>
    </row>
    <row r="296" spans="2:10">
      <c r="B296" s="250"/>
      <c r="C296" s="251" t="s">
        <v>462</v>
      </c>
      <c r="D296" s="250"/>
      <c r="E296" s="253">
        <f>Dat_02!C295</f>
        <v>27.61844785182517</v>
      </c>
      <c r="F296" s="253">
        <f>Dat_02!D295</f>
        <v>22.281040209732421</v>
      </c>
      <c r="G296" s="253">
        <f>Dat_02!E295</f>
        <v>22.281040209732421</v>
      </c>
      <c r="I296" s="254">
        <f>Dat_02!G295</f>
        <v>0</v>
      </c>
      <c r="J296" s="266" t="str">
        <f>IF(Dat_02!H295=0,"",Dat_02!H295)</f>
        <v/>
      </c>
    </row>
    <row r="297" spans="2:10">
      <c r="B297" s="250"/>
      <c r="C297" s="251" t="s">
        <v>463</v>
      </c>
      <c r="D297" s="250"/>
      <c r="E297" s="253">
        <f>Dat_02!C296</f>
        <v>6.5242940318261029</v>
      </c>
      <c r="F297" s="253">
        <f>Dat_02!D296</f>
        <v>22.281040209732421</v>
      </c>
      <c r="G297" s="253">
        <f>Dat_02!E296</f>
        <v>6.5242940318261029</v>
      </c>
      <c r="I297" s="254">
        <f>Dat_02!G296</f>
        <v>0</v>
      </c>
      <c r="J297" s="266" t="str">
        <f>IF(Dat_02!H296=0,"",Dat_02!H296)</f>
        <v/>
      </c>
    </row>
    <row r="298" spans="2:10">
      <c r="B298" s="250"/>
      <c r="C298" s="251" t="s">
        <v>464</v>
      </c>
      <c r="D298" s="250"/>
      <c r="E298" s="253">
        <f>Dat_02!C297</f>
        <v>5.9345660678251697</v>
      </c>
      <c r="F298" s="253">
        <f>Dat_02!D297</f>
        <v>22.281040209732421</v>
      </c>
      <c r="G298" s="253">
        <f>Dat_02!E297</f>
        <v>5.9345660678251697</v>
      </c>
      <c r="I298" s="254">
        <f>Dat_02!G297</f>
        <v>0</v>
      </c>
      <c r="J298" s="266" t="str">
        <f>IF(Dat_02!H297=0,"",Dat_02!H297)</f>
        <v/>
      </c>
    </row>
    <row r="299" spans="2:10">
      <c r="B299" s="250"/>
      <c r="C299" s="251" t="s">
        <v>465</v>
      </c>
      <c r="D299" s="250"/>
      <c r="E299" s="253">
        <f>Dat_02!C298</f>
        <v>2.0039890278251695</v>
      </c>
      <c r="F299" s="253">
        <f>Dat_02!D298</f>
        <v>22.281040209732421</v>
      </c>
      <c r="G299" s="253">
        <f>Dat_02!E298</f>
        <v>2.0039890278251695</v>
      </c>
      <c r="I299" s="254">
        <f>Dat_02!G298</f>
        <v>0</v>
      </c>
      <c r="J299" s="266" t="str">
        <f>IF(Dat_02!H298=0,"",Dat_02!H298)</f>
        <v/>
      </c>
    </row>
    <row r="300" spans="2:10">
      <c r="B300" s="250"/>
      <c r="C300" s="251" t="s">
        <v>466</v>
      </c>
      <c r="D300" s="250"/>
      <c r="E300" s="253">
        <f>Dat_02!C299</f>
        <v>10.812123067824235</v>
      </c>
      <c r="F300" s="253">
        <f>Dat_02!D299</f>
        <v>22.281040209732421</v>
      </c>
      <c r="G300" s="253">
        <f>Dat_02!E299</f>
        <v>10.812123067824235</v>
      </c>
      <c r="I300" s="254">
        <f>Dat_02!G299</f>
        <v>0</v>
      </c>
      <c r="J300" s="266" t="str">
        <f>IF(Dat_02!H299=0,"",Dat_02!H299)</f>
        <v/>
      </c>
    </row>
    <row r="301" spans="2:10">
      <c r="B301" s="250"/>
      <c r="C301" s="251" t="s">
        <v>467</v>
      </c>
      <c r="D301" s="250"/>
      <c r="E301" s="253">
        <f>Dat_02!C300</f>
        <v>6.8628073918270314</v>
      </c>
      <c r="F301" s="253">
        <f>Dat_02!D300</f>
        <v>22.281040209732421</v>
      </c>
      <c r="G301" s="253">
        <f>Dat_02!E300</f>
        <v>6.8628073918270314</v>
      </c>
      <c r="I301" s="254">
        <f>Dat_02!G300</f>
        <v>0</v>
      </c>
      <c r="J301" s="266" t="str">
        <f>IF(Dat_02!H300=0,"",Dat_02!H300)</f>
        <v/>
      </c>
    </row>
    <row r="302" spans="2:10">
      <c r="B302" s="250"/>
      <c r="C302" s="251" t="s">
        <v>468</v>
      </c>
      <c r="D302" s="250"/>
      <c r="E302" s="253">
        <f>Dat_02!C301</f>
        <v>21.66226604055921</v>
      </c>
      <c r="F302" s="253">
        <f>Dat_02!D301</f>
        <v>22.281040209732421</v>
      </c>
      <c r="G302" s="253">
        <f>Dat_02!E301</f>
        <v>21.66226604055921</v>
      </c>
      <c r="I302" s="254">
        <f>Dat_02!G301</f>
        <v>0</v>
      </c>
      <c r="J302" s="266" t="str">
        <f>IF(Dat_02!H301=0,"",Dat_02!H301)</f>
        <v/>
      </c>
    </row>
    <row r="303" spans="2:10">
      <c r="B303" s="250"/>
      <c r="C303" s="251" t="s">
        <v>469</v>
      </c>
      <c r="D303" s="250"/>
      <c r="E303" s="253">
        <f>Dat_02!C302</f>
        <v>22.57161161256014</v>
      </c>
      <c r="F303" s="253">
        <f>Dat_02!D302</f>
        <v>22.281040209732421</v>
      </c>
      <c r="G303" s="253">
        <f>Dat_02!E302</f>
        <v>22.281040209732421</v>
      </c>
      <c r="I303" s="254">
        <f>Dat_02!G302</f>
        <v>0</v>
      </c>
      <c r="J303" s="266" t="str">
        <f>IF(Dat_02!H302=0,"",Dat_02!H302)</f>
        <v/>
      </c>
    </row>
    <row r="304" spans="2:10">
      <c r="B304" s="250"/>
      <c r="C304" s="251" t="s">
        <v>470</v>
      </c>
      <c r="D304" s="250"/>
      <c r="E304" s="253">
        <f>Dat_02!C303</f>
        <v>19.632589916559212</v>
      </c>
      <c r="F304" s="253">
        <f>Dat_02!D303</f>
        <v>22.281040209732421</v>
      </c>
      <c r="G304" s="253">
        <f>Dat_02!E303</f>
        <v>19.632589916559212</v>
      </c>
      <c r="I304" s="254">
        <f>Dat_02!G303</f>
        <v>0</v>
      </c>
      <c r="J304" s="266" t="str">
        <f>IF(Dat_02!H303=0,"",Dat_02!H303)</f>
        <v/>
      </c>
    </row>
    <row r="305" spans="2:10">
      <c r="B305" s="250"/>
      <c r="C305" s="251" t="s">
        <v>471</v>
      </c>
      <c r="D305" s="250"/>
      <c r="E305" s="253">
        <f>Dat_02!C304</f>
        <v>13.274553664561074</v>
      </c>
      <c r="F305" s="253">
        <f>Dat_02!D304</f>
        <v>22.281040209732421</v>
      </c>
      <c r="G305" s="253">
        <f>Dat_02!E304</f>
        <v>13.274553664561074</v>
      </c>
      <c r="I305" s="254">
        <f>Dat_02!G304</f>
        <v>0</v>
      </c>
      <c r="J305" s="266" t="str">
        <f>IF(Dat_02!H304=0,"",Dat_02!H304)</f>
        <v/>
      </c>
    </row>
    <row r="306" spans="2:10">
      <c r="B306" s="250"/>
      <c r="C306" s="251" t="s">
        <v>472</v>
      </c>
      <c r="D306" s="250"/>
      <c r="E306" s="253">
        <f>Dat_02!C305</f>
        <v>11.291133864560143</v>
      </c>
      <c r="F306" s="253">
        <f>Dat_02!D305</f>
        <v>22.281040209732421</v>
      </c>
      <c r="G306" s="253">
        <f>Dat_02!E305</f>
        <v>11.291133864560143</v>
      </c>
      <c r="I306" s="254">
        <f>Dat_02!G305</f>
        <v>0</v>
      </c>
      <c r="J306" s="266" t="str">
        <f>IF(Dat_02!H305=0,"",Dat_02!H305)</f>
        <v/>
      </c>
    </row>
    <row r="307" spans="2:10">
      <c r="B307" s="250"/>
      <c r="C307" s="251" t="s">
        <v>473</v>
      </c>
      <c r="D307" s="250"/>
      <c r="E307" s="253">
        <f>Dat_02!C306</f>
        <v>24.859265244560142</v>
      </c>
      <c r="F307" s="253">
        <f>Dat_02!D306</f>
        <v>22.281040209732421</v>
      </c>
      <c r="G307" s="253">
        <f>Dat_02!E306</f>
        <v>22.281040209732421</v>
      </c>
      <c r="I307" s="254">
        <f>Dat_02!G306</f>
        <v>0</v>
      </c>
      <c r="J307" s="266" t="str">
        <f>IF(Dat_02!H306=0,"",Dat_02!H306)</f>
        <v/>
      </c>
    </row>
    <row r="308" spans="2:10">
      <c r="B308" s="252" t="s">
        <v>474</v>
      </c>
      <c r="C308" s="257" t="s">
        <v>475</v>
      </c>
      <c r="D308" s="250"/>
      <c r="E308" s="253">
        <f>Dat_02!C307</f>
        <v>14.768948360559211</v>
      </c>
      <c r="F308" s="253">
        <f>Dat_02!D307</f>
        <v>44.550149357058011</v>
      </c>
      <c r="G308" s="253">
        <f>Dat_02!E307</f>
        <v>14.768948360559211</v>
      </c>
      <c r="I308" s="254">
        <f>Dat_02!G307</f>
        <v>0</v>
      </c>
      <c r="J308" s="266" t="str">
        <f>IF(Dat_02!H307=0,"",Dat_02!H307)</f>
        <v/>
      </c>
    </row>
    <row r="309" spans="2:10">
      <c r="B309" s="250"/>
      <c r="C309" s="251" t="s">
        <v>476</v>
      </c>
      <c r="D309" s="252"/>
      <c r="E309" s="253">
        <f>Dat_02!C308</f>
        <v>6.2465913393767076</v>
      </c>
      <c r="F309" s="253">
        <f>Dat_02!D308</f>
        <v>44.550149357058011</v>
      </c>
      <c r="G309" s="253">
        <f>Dat_02!E308</f>
        <v>6.2465913393767076</v>
      </c>
      <c r="I309" s="254">
        <f>Dat_02!G308</f>
        <v>0</v>
      </c>
      <c r="J309" s="266" t="str">
        <f>IF(Dat_02!H308=0,"",Dat_02!H308)</f>
        <v/>
      </c>
    </row>
    <row r="310" spans="2:10">
      <c r="B310" s="250"/>
      <c r="C310" s="251" t="s">
        <v>477</v>
      </c>
      <c r="D310" s="252"/>
      <c r="E310" s="253">
        <f>Dat_02!C309</f>
        <v>10.294657775379502</v>
      </c>
      <c r="F310" s="253">
        <f>Dat_02!D309</f>
        <v>44.550149357058011</v>
      </c>
      <c r="G310" s="253">
        <f>Dat_02!E309</f>
        <v>10.294657775379502</v>
      </c>
      <c r="I310" s="254">
        <f>Dat_02!G309</f>
        <v>0</v>
      </c>
      <c r="J310" s="266" t="str">
        <f>IF(Dat_02!H309=0,"",Dat_02!H309)</f>
        <v/>
      </c>
    </row>
    <row r="311" spans="2:10">
      <c r="B311" s="250"/>
      <c r="C311" s="251" t="s">
        <v>478</v>
      </c>
      <c r="D311" s="250"/>
      <c r="E311" s="253">
        <f>Dat_02!C310</f>
        <v>15.231506839375776</v>
      </c>
      <c r="F311" s="253">
        <f>Dat_02!D310</f>
        <v>44.550149357058011</v>
      </c>
      <c r="G311" s="253">
        <f>Dat_02!E310</f>
        <v>15.231506839375776</v>
      </c>
      <c r="I311" s="254">
        <f>Dat_02!G310</f>
        <v>0</v>
      </c>
      <c r="J311" s="266" t="str">
        <f>IF(Dat_02!H310=0,"",Dat_02!H310)</f>
        <v/>
      </c>
    </row>
    <row r="312" spans="2:10">
      <c r="B312" s="250"/>
      <c r="C312" s="251" t="s">
        <v>479</v>
      </c>
      <c r="D312" s="250"/>
      <c r="E312" s="253">
        <f>Dat_02!C311</f>
        <v>2.7791585433776382</v>
      </c>
      <c r="F312" s="253">
        <f>Dat_02!D311</f>
        <v>44.550149357058011</v>
      </c>
      <c r="G312" s="253">
        <f>Dat_02!E311</f>
        <v>2.7791585433776382</v>
      </c>
      <c r="I312" s="254">
        <f>Dat_02!G311</f>
        <v>0</v>
      </c>
      <c r="J312" s="266" t="str">
        <f>IF(Dat_02!H311=0,"",Dat_02!H311)</f>
        <v/>
      </c>
    </row>
    <row r="313" spans="2:10">
      <c r="B313" s="250"/>
      <c r="C313" s="251" t="s">
        <v>480</v>
      </c>
      <c r="D313" s="250"/>
      <c r="E313" s="253">
        <f>Dat_02!C312</f>
        <v>3.1948578873776388</v>
      </c>
      <c r="F313" s="253">
        <f>Dat_02!D312</f>
        <v>44.550149357058011</v>
      </c>
      <c r="G313" s="253">
        <f>Dat_02!E312</f>
        <v>3.1948578873776388</v>
      </c>
      <c r="I313" s="254">
        <f>Dat_02!G312</f>
        <v>0</v>
      </c>
      <c r="J313" s="266" t="str">
        <f>IF(Dat_02!H312=0,"",Dat_02!H312)</f>
        <v/>
      </c>
    </row>
    <row r="314" spans="2:10">
      <c r="B314" s="250"/>
      <c r="C314" s="251" t="s">
        <v>481</v>
      </c>
      <c r="D314" s="250"/>
      <c r="E314" s="253">
        <f>Dat_02!C313</f>
        <v>9.1765671673767066</v>
      </c>
      <c r="F314" s="253">
        <f>Dat_02!D313</f>
        <v>44.550149357058011</v>
      </c>
      <c r="G314" s="253">
        <f>Dat_02!E313</f>
        <v>9.1765671673767066</v>
      </c>
      <c r="I314" s="254">
        <f>Dat_02!G313</f>
        <v>0</v>
      </c>
      <c r="J314" s="266" t="str">
        <f>IF(Dat_02!H313=0,"",Dat_02!H313)</f>
        <v/>
      </c>
    </row>
    <row r="315" spans="2:10">
      <c r="B315" s="250"/>
      <c r="C315" s="251" t="s">
        <v>482</v>
      </c>
      <c r="D315" s="250"/>
      <c r="E315" s="253">
        <f>Dat_02!C314</f>
        <v>11.670171503377638</v>
      </c>
      <c r="F315" s="253">
        <f>Dat_02!D314</f>
        <v>44.550149357058011</v>
      </c>
      <c r="G315" s="253">
        <f>Dat_02!E314</f>
        <v>11.670171503377638</v>
      </c>
      <c r="I315" s="254">
        <f>Dat_02!G314</f>
        <v>0</v>
      </c>
      <c r="J315" s="266" t="str">
        <f>IF(Dat_02!H314=0,"",Dat_02!H314)</f>
        <v/>
      </c>
    </row>
    <row r="316" spans="2:10">
      <c r="B316" s="250"/>
      <c r="C316" s="251" t="s">
        <v>483</v>
      </c>
      <c r="D316" s="250"/>
      <c r="E316" s="253">
        <f>Dat_02!C315</f>
        <v>10.974282968998283</v>
      </c>
      <c r="F316" s="253">
        <f>Dat_02!D315</f>
        <v>44.550149357058011</v>
      </c>
      <c r="G316" s="253">
        <f>Dat_02!E315</f>
        <v>10.974282968998283</v>
      </c>
      <c r="I316" s="254">
        <f>Dat_02!G315</f>
        <v>0</v>
      </c>
      <c r="J316" s="266" t="str">
        <f>IF(Dat_02!H315=0,"",Dat_02!H315)</f>
        <v/>
      </c>
    </row>
    <row r="317" spans="2:10">
      <c r="B317" s="250"/>
      <c r="C317" s="251" t="s">
        <v>484</v>
      </c>
      <c r="D317" s="250"/>
      <c r="E317" s="253">
        <f>Dat_02!C316</f>
        <v>12.436239417001078</v>
      </c>
      <c r="F317" s="253">
        <f>Dat_02!D316</f>
        <v>44.550149357058011</v>
      </c>
      <c r="G317" s="253">
        <f>Dat_02!E316</f>
        <v>12.436239417001078</v>
      </c>
      <c r="I317" s="254">
        <f>Dat_02!G316</f>
        <v>0</v>
      </c>
      <c r="J317" s="266" t="str">
        <f>IF(Dat_02!H316=0,"",Dat_02!H316)</f>
        <v/>
      </c>
    </row>
    <row r="318" spans="2:10">
      <c r="B318" s="250"/>
      <c r="C318" s="251" t="s">
        <v>485</v>
      </c>
      <c r="D318" s="250"/>
      <c r="E318" s="253">
        <f>Dat_02!C317</f>
        <v>8.7710066969982829</v>
      </c>
      <c r="F318" s="253">
        <f>Dat_02!D317</f>
        <v>44.550149357058011</v>
      </c>
      <c r="G318" s="253">
        <f>Dat_02!E317</f>
        <v>8.7710066969982829</v>
      </c>
      <c r="I318" s="254">
        <f>Dat_02!G317</f>
        <v>0</v>
      </c>
      <c r="J318" s="266" t="str">
        <f>IF(Dat_02!H317=0,"",Dat_02!H317)</f>
        <v/>
      </c>
    </row>
    <row r="319" spans="2:10">
      <c r="B319" s="250"/>
      <c r="C319" s="251" t="s">
        <v>486</v>
      </c>
      <c r="D319" s="250"/>
      <c r="E319" s="253">
        <f>Dat_02!C318</f>
        <v>2.3492717330001471</v>
      </c>
      <c r="F319" s="253">
        <f>Dat_02!D318</f>
        <v>44.550149357058011</v>
      </c>
      <c r="G319" s="253">
        <f>Dat_02!E318</f>
        <v>2.3492717330001471</v>
      </c>
      <c r="I319" s="254">
        <f>Dat_02!G318</f>
        <v>0</v>
      </c>
      <c r="J319" s="266" t="str">
        <f>IF(Dat_02!H318=0,"",Dat_02!H318)</f>
        <v/>
      </c>
    </row>
    <row r="320" spans="2:10">
      <c r="B320" s="250"/>
      <c r="C320" s="251" t="s">
        <v>487</v>
      </c>
      <c r="D320" s="250"/>
      <c r="E320" s="253">
        <f>Dat_02!C319</f>
        <v>1.2920262790001471</v>
      </c>
      <c r="F320" s="253">
        <f>Dat_02!D319</f>
        <v>44.550149357058011</v>
      </c>
      <c r="G320" s="253">
        <f>Dat_02!E319</f>
        <v>1.2920262790001471</v>
      </c>
      <c r="I320" s="254">
        <f>Dat_02!G319</f>
        <v>0</v>
      </c>
      <c r="J320" s="266" t="str">
        <f>IF(Dat_02!H319=0,"",Dat_02!H319)</f>
        <v/>
      </c>
    </row>
    <row r="321" spans="2:10">
      <c r="B321" s="250"/>
      <c r="C321" s="251" t="s">
        <v>488</v>
      </c>
      <c r="D321" s="250"/>
      <c r="E321" s="253">
        <f>Dat_02!C320</f>
        <v>4.4865502089992155</v>
      </c>
      <c r="F321" s="253">
        <f>Dat_02!D320</f>
        <v>44.550149357058011</v>
      </c>
      <c r="G321" s="253">
        <f>Dat_02!E320</f>
        <v>4.4865502089992155</v>
      </c>
      <c r="I321" s="254" t="str">
        <f>Dat_02!G320</f>
        <v/>
      </c>
      <c r="J321" s="266" t="str">
        <f>IF(Dat_02!H320=0,"",Dat_02!H320)</f>
        <v/>
      </c>
    </row>
    <row r="322" spans="2:10">
      <c r="B322" s="250"/>
      <c r="C322" s="251" t="s">
        <v>489</v>
      </c>
      <c r="D322" s="250"/>
      <c r="E322" s="253">
        <f>Dat_02!C321</f>
        <v>9.1113559910001456</v>
      </c>
      <c r="F322" s="253">
        <f>Dat_02!D321</f>
        <v>44.550149357058011</v>
      </c>
      <c r="G322" s="253">
        <f>Dat_02!E321</f>
        <v>9.1113559910001456</v>
      </c>
      <c r="I322" s="254">
        <f>Dat_02!G321</f>
        <v>44.550149357058011</v>
      </c>
      <c r="J322" s="266" t="str">
        <f>IF(Dat_02!H321=0,"",Dat_02!H321)</f>
        <v/>
      </c>
    </row>
    <row r="323" spans="2:10">
      <c r="B323" s="250"/>
      <c r="C323" s="251" t="s">
        <v>490</v>
      </c>
      <c r="D323" s="250"/>
      <c r="E323" s="253">
        <f>Dat_02!C322</f>
        <v>35.086366275212995</v>
      </c>
      <c r="F323" s="253">
        <f>Dat_02!D322</f>
        <v>44.550149357058011</v>
      </c>
      <c r="G323" s="253">
        <f>Dat_02!E322</f>
        <v>35.086366275212995</v>
      </c>
      <c r="I323" s="254">
        <f>Dat_02!G322</f>
        <v>0</v>
      </c>
      <c r="J323" s="266" t="str">
        <f>IF(Dat_02!H322=0,"",Dat_02!H322)</f>
        <v/>
      </c>
    </row>
    <row r="324" spans="2:10">
      <c r="B324" s="250"/>
      <c r="C324" s="251" t="s">
        <v>491</v>
      </c>
      <c r="D324" s="250"/>
      <c r="E324" s="253">
        <f>Dat_02!C323</f>
        <v>45.871987463213927</v>
      </c>
      <c r="F324" s="253">
        <f>Dat_02!D323</f>
        <v>44.550149357058011</v>
      </c>
      <c r="G324" s="253">
        <f>Dat_02!E323</f>
        <v>44.550149357058011</v>
      </c>
      <c r="I324" s="254">
        <f>Dat_02!G323</f>
        <v>0</v>
      </c>
      <c r="J324" s="266" t="str">
        <f>IF(Dat_02!H323=0,"",Dat_02!H323)</f>
        <v/>
      </c>
    </row>
    <row r="325" spans="2:10">
      <c r="B325" s="250"/>
      <c r="C325" s="251" t="s">
        <v>492</v>
      </c>
      <c r="D325" s="250"/>
      <c r="E325" s="253">
        <f>Dat_02!C324</f>
        <v>44.485241749213927</v>
      </c>
      <c r="F325" s="253">
        <f>Dat_02!D324</f>
        <v>44.550149357058011</v>
      </c>
      <c r="G325" s="253">
        <f>Dat_02!E324</f>
        <v>44.485241749213927</v>
      </c>
      <c r="I325" s="254">
        <f>Dat_02!G324</f>
        <v>0</v>
      </c>
      <c r="J325" s="266" t="str">
        <f>IF(Dat_02!H324=0,"",Dat_02!H324)</f>
        <v/>
      </c>
    </row>
    <row r="326" spans="2:10">
      <c r="B326" s="250"/>
      <c r="C326" s="251" t="s">
        <v>493</v>
      </c>
      <c r="D326" s="250"/>
      <c r="E326" s="253">
        <f>Dat_02!C325</f>
        <v>37.269568681213933</v>
      </c>
      <c r="F326" s="253">
        <f>Dat_02!D325</f>
        <v>44.550149357058011</v>
      </c>
      <c r="G326" s="253">
        <f>Dat_02!E325</f>
        <v>37.269568681213933</v>
      </c>
      <c r="I326" s="254">
        <f>Dat_02!G325</f>
        <v>0</v>
      </c>
      <c r="J326" s="266" t="str">
        <f>IF(Dat_02!H325=0,"",Dat_02!H325)</f>
        <v/>
      </c>
    </row>
    <row r="327" spans="2:10">
      <c r="B327" s="250"/>
      <c r="C327" s="251" t="s">
        <v>494</v>
      </c>
      <c r="D327" s="250"/>
      <c r="E327" s="253">
        <f>Dat_02!C326</f>
        <v>48.584789803214861</v>
      </c>
      <c r="F327" s="253">
        <f>Dat_02!D326</f>
        <v>44.550149357058011</v>
      </c>
      <c r="G327" s="253">
        <f>Dat_02!E326</f>
        <v>44.550149357058011</v>
      </c>
      <c r="I327" s="254">
        <f>Dat_02!G326</f>
        <v>0</v>
      </c>
      <c r="J327" s="266" t="str">
        <f>IF(Dat_02!H326=0,"",Dat_02!H326)</f>
        <v/>
      </c>
    </row>
    <row r="328" spans="2:10">
      <c r="B328" s="250"/>
      <c r="C328" s="251" t="s">
        <v>495</v>
      </c>
      <c r="D328" s="250"/>
      <c r="E328" s="253">
        <f>Dat_02!C327</f>
        <v>71.337222037212058</v>
      </c>
      <c r="F328" s="253">
        <f>Dat_02!D327</f>
        <v>44.550149357058011</v>
      </c>
      <c r="G328" s="253">
        <f>Dat_02!E327</f>
        <v>44.550149357058011</v>
      </c>
      <c r="I328" s="254">
        <f>Dat_02!G327</f>
        <v>0</v>
      </c>
      <c r="J328" s="266" t="str">
        <f>IF(Dat_02!H327=0,"",Dat_02!H327)</f>
        <v/>
      </c>
    </row>
    <row r="329" spans="2:10">
      <c r="B329" s="250"/>
      <c r="C329" s="251" t="s">
        <v>496</v>
      </c>
      <c r="D329" s="250"/>
      <c r="E329" s="253">
        <f>Dat_02!C328</f>
        <v>66.924923513213002</v>
      </c>
      <c r="F329" s="253">
        <f>Dat_02!D328</f>
        <v>44.550149357058011</v>
      </c>
      <c r="G329" s="253">
        <f>Dat_02!E328</f>
        <v>44.550149357058011</v>
      </c>
      <c r="I329" s="254">
        <f>Dat_02!G328</f>
        <v>0</v>
      </c>
      <c r="J329" s="266" t="str">
        <f>IF(Dat_02!H328=0,"",Dat_02!H328)</f>
        <v/>
      </c>
    </row>
    <row r="330" spans="2:10">
      <c r="B330" s="250"/>
      <c r="C330" s="251" t="s">
        <v>497</v>
      </c>
      <c r="D330" s="250"/>
      <c r="E330" s="253">
        <f>Dat_02!C329</f>
        <v>69.413260461879204</v>
      </c>
      <c r="F330" s="253">
        <f>Dat_02!D329</f>
        <v>44.550149357058011</v>
      </c>
      <c r="G330" s="253">
        <f>Dat_02!E329</f>
        <v>44.550149357058011</v>
      </c>
      <c r="I330" s="254">
        <f>Dat_02!G329</f>
        <v>0</v>
      </c>
      <c r="J330" s="266" t="str">
        <f>IF(Dat_02!H329=0,"",Dat_02!H329)</f>
        <v/>
      </c>
    </row>
    <row r="331" spans="2:10">
      <c r="B331" s="250"/>
      <c r="C331" s="251" t="s">
        <v>498</v>
      </c>
      <c r="D331" s="250"/>
      <c r="E331" s="253">
        <f>Dat_02!C330</f>
        <v>65.58422514187734</v>
      </c>
      <c r="F331" s="253">
        <f>Dat_02!D330</f>
        <v>44.550149357058011</v>
      </c>
      <c r="G331" s="253">
        <f>Dat_02!E330</f>
        <v>44.550149357058011</v>
      </c>
      <c r="I331" s="254">
        <f>Dat_02!G330</f>
        <v>0</v>
      </c>
      <c r="J331" s="266" t="str">
        <f>IF(Dat_02!H330=0,"",Dat_02!H330)</f>
        <v/>
      </c>
    </row>
    <row r="332" spans="2:10">
      <c r="B332" s="250"/>
      <c r="C332" s="251" t="s">
        <v>499</v>
      </c>
      <c r="D332" s="250"/>
      <c r="E332" s="253">
        <f>Dat_02!C331</f>
        <v>58.938894661877342</v>
      </c>
      <c r="F332" s="253">
        <f>Dat_02!D331</f>
        <v>44.550149357058011</v>
      </c>
      <c r="G332" s="253">
        <f>Dat_02!E331</f>
        <v>44.550149357058011</v>
      </c>
      <c r="I332" s="254">
        <f>Dat_02!G331</f>
        <v>0</v>
      </c>
      <c r="J332" s="266" t="str">
        <f>IF(Dat_02!H331=0,"",Dat_02!H331)</f>
        <v/>
      </c>
    </row>
    <row r="333" spans="2:10">
      <c r="B333" s="250"/>
      <c r="C333" s="251" t="s">
        <v>500</v>
      </c>
      <c r="D333" s="250"/>
      <c r="E333" s="253">
        <f>Dat_02!C332</f>
        <v>50.177881125876411</v>
      </c>
      <c r="F333" s="253">
        <f>Dat_02!D332</f>
        <v>44.550149357058011</v>
      </c>
      <c r="G333" s="253">
        <f>Dat_02!E332</f>
        <v>44.550149357058011</v>
      </c>
      <c r="I333" s="254">
        <f>Dat_02!G332</f>
        <v>0</v>
      </c>
      <c r="J333" s="266" t="str">
        <f>IF(Dat_02!H332=0,"",Dat_02!H332)</f>
        <v/>
      </c>
    </row>
    <row r="334" spans="2:10">
      <c r="B334" s="250"/>
      <c r="C334" s="251" t="s">
        <v>501</v>
      </c>
      <c r="D334" s="250"/>
      <c r="E334" s="253">
        <f>Dat_02!C333</f>
        <v>53.409759997879206</v>
      </c>
      <c r="F334" s="253">
        <f>Dat_02!D333</f>
        <v>44.550149357058011</v>
      </c>
      <c r="G334" s="253">
        <f>Dat_02!E333</f>
        <v>44.550149357058011</v>
      </c>
      <c r="I334" s="254">
        <f>Dat_02!G333</f>
        <v>0</v>
      </c>
      <c r="J334" s="266" t="str">
        <f>IF(Dat_02!H333=0,"",Dat_02!H333)</f>
        <v/>
      </c>
    </row>
    <row r="335" spans="2:10">
      <c r="B335" s="250"/>
      <c r="C335" s="251" t="s">
        <v>502</v>
      </c>
      <c r="D335" s="250"/>
      <c r="E335" s="253">
        <f>Dat_02!C334</f>
        <v>64.334243269877348</v>
      </c>
      <c r="F335" s="253">
        <f>Dat_02!D334</f>
        <v>44.550149357058011</v>
      </c>
      <c r="G335" s="253">
        <f>Dat_02!E334</f>
        <v>44.550149357058011</v>
      </c>
      <c r="I335" s="254">
        <f>Dat_02!G334</f>
        <v>0</v>
      </c>
      <c r="J335" s="266" t="str">
        <f>IF(Dat_02!H334=0,"",Dat_02!H334)</f>
        <v/>
      </c>
    </row>
    <row r="336" spans="2:10">
      <c r="B336" s="250"/>
      <c r="C336" s="251" t="s">
        <v>503</v>
      </c>
      <c r="D336" s="250"/>
      <c r="E336" s="253">
        <f>Dat_02!C335</f>
        <v>70.119179819877345</v>
      </c>
      <c r="F336" s="253">
        <f>Dat_02!D335</f>
        <v>44.550149357058011</v>
      </c>
      <c r="G336" s="253">
        <f>Dat_02!E335</f>
        <v>44.550149357058011</v>
      </c>
      <c r="I336" s="254">
        <f>Dat_02!G335</f>
        <v>0</v>
      </c>
      <c r="J336" s="266" t="str">
        <f>IF(Dat_02!H335=0,"",Dat_02!H335)</f>
        <v/>
      </c>
    </row>
    <row r="337" spans="2:10">
      <c r="B337" s="250"/>
      <c r="C337" s="251" t="s">
        <v>504</v>
      </c>
      <c r="D337" s="250"/>
      <c r="E337" s="253">
        <f>Dat_02!C336</f>
        <v>57.804457861749711</v>
      </c>
      <c r="F337" s="253">
        <f>Dat_02!D336</f>
        <v>44.550149357058011</v>
      </c>
      <c r="G337" s="253">
        <f>Dat_02!E336</f>
        <v>44.550149357058011</v>
      </c>
      <c r="I337" s="254">
        <f>Dat_02!G336</f>
        <v>0</v>
      </c>
      <c r="J337" s="266" t="str">
        <f>IF(Dat_02!H336=0,"",Dat_02!H336)</f>
        <v/>
      </c>
    </row>
    <row r="338" spans="2:10">
      <c r="B338" s="252" t="s">
        <v>505</v>
      </c>
      <c r="C338" s="257" t="s">
        <v>506</v>
      </c>
      <c r="D338" s="250"/>
      <c r="E338" s="253">
        <f>Dat_02!C337</f>
        <v>48.783205057750635</v>
      </c>
      <c r="F338" s="253">
        <f>Dat_02!D337</f>
        <v>44.550149357058011</v>
      </c>
      <c r="G338" s="253">
        <f>Dat_02!E337</f>
        <v>44.550149357058011</v>
      </c>
      <c r="I338" s="254">
        <f>Dat_02!G337</f>
        <v>0</v>
      </c>
      <c r="J338" s="266" t="str">
        <f>IF(Dat_02!H337=0,"",Dat_02!H337)</f>
        <v/>
      </c>
    </row>
    <row r="339" spans="2:10">
      <c r="B339" s="250"/>
      <c r="C339" s="251" t="s">
        <v>507</v>
      </c>
      <c r="D339" s="252"/>
      <c r="E339" s="253">
        <f>Dat_02!C338</f>
        <v>32.645414409750643</v>
      </c>
      <c r="F339" s="253">
        <f>Dat_02!D338</f>
        <v>83.137557492553753</v>
      </c>
      <c r="G339" s="253">
        <f>Dat_02!E338</f>
        <v>32.645414409750643</v>
      </c>
      <c r="I339" s="254">
        <f>Dat_02!G338</f>
        <v>0</v>
      </c>
      <c r="J339" s="266" t="str">
        <f>IF(Dat_02!H338=0,"",Dat_02!H338)</f>
        <v/>
      </c>
    </row>
    <row r="340" spans="2:10">
      <c r="B340" s="250"/>
      <c r="C340" s="251" t="s">
        <v>508</v>
      </c>
      <c r="D340" s="252"/>
      <c r="E340" s="253">
        <f>Dat_02!C339</f>
        <v>33.302213801749708</v>
      </c>
      <c r="F340" s="253">
        <f>Dat_02!D339</f>
        <v>83.137557492553753</v>
      </c>
      <c r="G340" s="253">
        <f>Dat_02!E339</f>
        <v>33.302213801749708</v>
      </c>
      <c r="I340" s="254">
        <f>Dat_02!G339</f>
        <v>0</v>
      </c>
      <c r="J340" s="266" t="str">
        <f>IF(Dat_02!H339=0,"",Dat_02!H339)</f>
        <v/>
      </c>
    </row>
    <row r="341" spans="2:10">
      <c r="B341" s="250"/>
      <c r="C341" s="251" t="s">
        <v>509</v>
      </c>
      <c r="D341" s="250"/>
      <c r="E341" s="253">
        <f>Dat_02!C340</f>
        <v>39.235533997751567</v>
      </c>
      <c r="F341" s="253">
        <f>Dat_02!D340</f>
        <v>83.137557492553753</v>
      </c>
      <c r="G341" s="253">
        <f>Dat_02!E340</f>
        <v>39.235533997751567</v>
      </c>
      <c r="I341" s="254">
        <f>Dat_02!G340</f>
        <v>0</v>
      </c>
      <c r="J341" s="266" t="str">
        <f>IF(Dat_02!H340=0,"",Dat_02!H340)</f>
        <v/>
      </c>
    </row>
    <row r="342" spans="2:10">
      <c r="B342" s="250"/>
      <c r="C342" s="251" t="s">
        <v>510</v>
      </c>
      <c r="D342" s="250"/>
      <c r="E342" s="253">
        <f>Dat_02!C341</f>
        <v>49.432187269750642</v>
      </c>
      <c r="F342" s="253">
        <f>Dat_02!D341</f>
        <v>83.137557492553753</v>
      </c>
      <c r="G342" s="253">
        <f>Dat_02!E341</f>
        <v>49.432187269750642</v>
      </c>
      <c r="I342" s="254">
        <f>Dat_02!G341</f>
        <v>0</v>
      </c>
      <c r="J342" s="266" t="str">
        <f>IF(Dat_02!H341=0,"",Dat_02!H341)</f>
        <v/>
      </c>
    </row>
    <row r="343" spans="2:10">
      <c r="B343" s="250"/>
      <c r="C343" s="251" t="s">
        <v>511</v>
      </c>
      <c r="D343" s="250"/>
      <c r="E343" s="253">
        <f>Dat_02!C342</f>
        <v>55.129035661749711</v>
      </c>
      <c r="F343" s="253">
        <f>Dat_02!D342</f>
        <v>83.137557492553753</v>
      </c>
      <c r="G343" s="253">
        <f>Dat_02!E342</f>
        <v>55.129035661749711</v>
      </c>
      <c r="I343" s="254">
        <f>Dat_02!G342</f>
        <v>0</v>
      </c>
      <c r="J343" s="266" t="str">
        <f>IF(Dat_02!H342=0,"",Dat_02!H342)</f>
        <v/>
      </c>
    </row>
    <row r="344" spans="2:10">
      <c r="B344" s="250"/>
      <c r="C344" s="251" t="s">
        <v>512</v>
      </c>
      <c r="D344" s="250"/>
      <c r="E344" s="253">
        <f>Dat_02!C343</f>
        <v>96.517850272140009</v>
      </c>
      <c r="F344" s="253">
        <f>Dat_02!D343</f>
        <v>83.137557492553753</v>
      </c>
      <c r="G344" s="253">
        <f>Dat_02!E343</f>
        <v>83.137557492553753</v>
      </c>
      <c r="I344" s="254">
        <f>Dat_02!G343</f>
        <v>0</v>
      </c>
      <c r="J344" s="266" t="str">
        <f>IF(Dat_02!H343=0,"",Dat_02!H343)</f>
        <v/>
      </c>
    </row>
    <row r="345" spans="2:10">
      <c r="B345" s="250"/>
      <c r="C345" s="251" t="s">
        <v>513</v>
      </c>
      <c r="D345" s="250"/>
      <c r="E345" s="253">
        <f>Dat_02!C344</f>
        <v>96.981097774139087</v>
      </c>
      <c r="F345" s="253">
        <f>Dat_02!D344</f>
        <v>83.137557492553753</v>
      </c>
      <c r="G345" s="253">
        <f>Dat_02!E344</f>
        <v>83.137557492553753</v>
      </c>
      <c r="I345" s="254">
        <f>Dat_02!G344</f>
        <v>0</v>
      </c>
      <c r="J345" s="266" t="str">
        <f>IF(Dat_02!H344=0,"",Dat_02!H344)</f>
        <v/>
      </c>
    </row>
    <row r="346" spans="2:10">
      <c r="B346" s="250"/>
      <c r="C346" s="251" t="s">
        <v>514</v>
      </c>
      <c r="D346" s="250"/>
      <c r="E346" s="253">
        <f>Dat_02!C345</f>
        <v>99.267910608140028</v>
      </c>
      <c r="F346" s="253">
        <f>Dat_02!D345</f>
        <v>83.137557492553753</v>
      </c>
      <c r="G346" s="253">
        <f>Dat_02!E345</f>
        <v>83.137557492553753</v>
      </c>
      <c r="I346" s="254">
        <f>Dat_02!G345</f>
        <v>0</v>
      </c>
      <c r="J346" s="266" t="str">
        <f>IF(Dat_02!H345=0,"",Dat_02!H345)</f>
        <v/>
      </c>
    </row>
    <row r="347" spans="2:10">
      <c r="B347" s="250"/>
      <c r="C347" s="251" t="s">
        <v>515</v>
      </c>
      <c r="D347" s="250"/>
      <c r="E347" s="253">
        <f>Dat_02!C346</f>
        <v>100.38756797614002</v>
      </c>
      <c r="F347" s="253">
        <f>Dat_02!D346</f>
        <v>83.137557492553753</v>
      </c>
      <c r="G347" s="253">
        <f>Dat_02!E346</f>
        <v>83.137557492553753</v>
      </c>
      <c r="I347" s="254">
        <f>Dat_02!G346</f>
        <v>0</v>
      </c>
      <c r="J347" s="266" t="str">
        <f>IF(Dat_02!H346=0,"",Dat_02!H346)</f>
        <v/>
      </c>
    </row>
    <row r="348" spans="2:10">
      <c r="B348" s="250"/>
      <c r="C348" s="251" t="s">
        <v>516</v>
      </c>
      <c r="D348" s="250"/>
      <c r="E348" s="253">
        <f>Dat_02!C347</f>
        <v>100.00252910214002</v>
      </c>
      <c r="F348" s="253">
        <f>Dat_02!D347</f>
        <v>83.137557492553753</v>
      </c>
      <c r="G348" s="253">
        <f>Dat_02!E347</f>
        <v>83.137557492553753</v>
      </c>
      <c r="I348" s="254">
        <f>Dat_02!G347</f>
        <v>0</v>
      </c>
      <c r="J348" s="266" t="str">
        <f>IF(Dat_02!H347=0,"",Dat_02!H347)</f>
        <v/>
      </c>
    </row>
    <row r="349" spans="2:10">
      <c r="B349" s="250"/>
      <c r="C349" s="251" t="s">
        <v>517</v>
      </c>
      <c r="D349" s="250"/>
      <c r="E349" s="253">
        <f>Dat_02!C348</f>
        <v>103.5793016841391</v>
      </c>
      <c r="F349" s="253">
        <f>Dat_02!D348</f>
        <v>83.137557492553753</v>
      </c>
      <c r="G349" s="253">
        <f>Dat_02!E348</f>
        <v>83.137557492553753</v>
      </c>
      <c r="I349" s="254">
        <f>Dat_02!G348</f>
        <v>0</v>
      </c>
      <c r="J349" s="266" t="str">
        <f>IF(Dat_02!H348=0,"",Dat_02!H348)</f>
        <v/>
      </c>
    </row>
    <row r="350" spans="2:10">
      <c r="B350" s="250"/>
      <c r="C350" s="251" t="s">
        <v>518</v>
      </c>
      <c r="D350" s="250"/>
      <c r="E350" s="253">
        <f>Dat_02!C349</f>
        <v>107.87766753814094</v>
      </c>
      <c r="F350" s="253">
        <f>Dat_02!D349</f>
        <v>83.137557492553753</v>
      </c>
      <c r="G350" s="253">
        <f>Dat_02!E349</f>
        <v>83.137557492553753</v>
      </c>
      <c r="I350" s="254">
        <f>Dat_02!G349</f>
        <v>0</v>
      </c>
      <c r="J350" s="266" t="str">
        <f>IF(Dat_02!H349=0,"",Dat_02!H349)</f>
        <v/>
      </c>
    </row>
    <row r="351" spans="2:10">
      <c r="B351" s="250"/>
      <c r="C351" s="251" t="s">
        <v>519</v>
      </c>
      <c r="D351" s="250"/>
      <c r="E351" s="253">
        <f>Dat_02!C350</f>
        <v>169.37504266546199</v>
      </c>
      <c r="F351" s="253">
        <f>Dat_02!D350</f>
        <v>83.137557492553753</v>
      </c>
      <c r="G351" s="253">
        <f>Dat_02!E350</f>
        <v>83.137557492553753</v>
      </c>
      <c r="I351" s="254">
        <f>Dat_02!G350</f>
        <v>0</v>
      </c>
      <c r="J351" s="266" t="str">
        <f>IF(Dat_02!H350=0,"",Dat_02!H350)</f>
        <v/>
      </c>
    </row>
    <row r="352" spans="2:10">
      <c r="B352" s="250"/>
      <c r="C352" s="251" t="s">
        <v>520</v>
      </c>
      <c r="D352" s="250"/>
      <c r="E352" s="253">
        <f>Dat_02!C351</f>
        <v>178.92032890546014</v>
      </c>
      <c r="F352" s="253">
        <f>Dat_02!D351</f>
        <v>83.137557492553753</v>
      </c>
      <c r="G352" s="253">
        <f>Dat_02!E351</f>
        <v>83.137557492553753</v>
      </c>
      <c r="I352" s="254" t="str">
        <f>Dat_02!G351</f>
        <v/>
      </c>
      <c r="J352" s="266" t="str">
        <f>IF(Dat_02!H351=0,"",Dat_02!H351)</f>
        <v/>
      </c>
    </row>
    <row r="353" spans="2:10">
      <c r="B353" s="250"/>
      <c r="C353" s="251" t="s">
        <v>521</v>
      </c>
      <c r="D353" s="250"/>
      <c r="E353" s="253">
        <f>Dat_02!C352</f>
        <v>175.7299756654601</v>
      </c>
      <c r="F353" s="253">
        <f>Dat_02!D352</f>
        <v>83.137557492553753</v>
      </c>
      <c r="G353" s="253">
        <f>Dat_02!E352</f>
        <v>83.137557492553753</v>
      </c>
      <c r="I353" s="254">
        <f>Dat_02!G352</f>
        <v>83.137557492553753</v>
      </c>
      <c r="J353" s="266" t="str">
        <f>IF(Dat_02!H352=0,"",Dat_02!H352)</f>
        <v/>
      </c>
    </row>
    <row r="354" spans="2:10">
      <c r="B354" s="250"/>
      <c r="C354" s="251" t="s">
        <v>522</v>
      </c>
      <c r="D354" s="250"/>
      <c r="E354" s="253">
        <f>Dat_02!C353</f>
        <v>172.31068314546198</v>
      </c>
      <c r="F354" s="253">
        <f>Dat_02!D353</f>
        <v>83.137557492553753</v>
      </c>
      <c r="G354" s="253">
        <f>Dat_02!E353</f>
        <v>83.137557492553753</v>
      </c>
      <c r="I354" s="254">
        <f>Dat_02!G353</f>
        <v>0</v>
      </c>
      <c r="J354" s="266" t="str">
        <f>IF(Dat_02!H353=0,"",Dat_02!H353)</f>
        <v/>
      </c>
    </row>
    <row r="355" spans="2:10">
      <c r="B355" s="250"/>
      <c r="C355" s="251" t="s">
        <v>523</v>
      </c>
      <c r="D355" s="250"/>
      <c r="E355" s="253">
        <f>Dat_02!C354</f>
        <v>168.51232138546013</v>
      </c>
      <c r="F355" s="253">
        <f>Dat_02!D354</f>
        <v>83.137557492553753</v>
      </c>
      <c r="G355" s="253">
        <f>Dat_02!E354</f>
        <v>83.137557492553753</v>
      </c>
      <c r="I355" s="254">
        <f>Dat_02!G354</f>
        <v>0</v>
      </c>
      <c r="J355" s="266" t="str">
        <f>IF(Dat_02!H354=0,"",Dat_02!H354)</f>
        <v/>
      </c>
    </row>
    <row r="356" spans="2:10">
      <c r="B356" s="250"/>
      <c r="C356" s="251" t="s">
        <v>524</v>
      </c>
      <c r="D356" s="250"/>
      <c r="E356" s="253">
        <f>Dat_02!C355</f>
        <v>176.87608349546107</v>
      </c>
      <c r="F356" s="253">
        <f>Dat_02!D355</f>
        <v>83.137557492553753</v>
      </c>
      <c r="G356" s="253">
        <f>Dat_02!E355</f>
        <v>83.137557492553753</v>
      </c>
      <c r="I356" s="254">
        <f>Dat_02!G355</f>
        <v>0</v>
      </c>
      <c r="J356" s="266" t="str">
        <f>IF(Dat_02!H355=0,"",Dat_02!H355)</f>
        <v/>
      </c>
    </row>
    <row r="357" spans="2:10">
      <c r="B357" s="250"/>
      <c r="C357" s="251" t="s">
        <v>525</v>
      </c>
      <c r="D357" s="250"/>
      <c r="E357" s="253">
        <f>Dat_02!C356</f>
        <v>191.19754494546009</v>
      </c>
      <c r="F357" s="253">
        <f>Dat_02!D356</f>
        <v>83.137557492553753</v>
      </c>
      <c r="G357" s="253">
        <f>Dat_02!E356</f>
        <v>83.137557492553753</v>
      </c>
      <c r="I357" s="254">
        <f>Dat_02!G356</f>
        <v>0</v>
      </c>
      <c r="J357" s="266" t="str">
        <f>IF(Dat_02!H356=0,"",Dat_02!H356)</f>
        <v/>
      </c>
    </row>
    <row r="358" spans="2:10">
      <c r="B358" s="250"/>
      <c r="C358" s="251" t="s">
        <v>526</v>
      </c>
      <c r="D358" s="250"/>
      <c r="E358" s="253">
        <f>Dat_02!C357</f>
        <v>165.53610746046272</v>
      </c>
      <c r="F358" s="253">
        <f>Dat_02!D357</f>
        <v>83.137557492553753</v>
      </c>
      <c r="G358" s="253">
        <f>Dat_02!E357</f>
        <v>83.137557492553753</v>
      </c>
      <c r="I358" s="254">
        <f>Dat_02!G357</f>
        <v>0</v>
      </c>
      <c r="J358" s="266" t="str">
        <f>IF(Dat_02!H357=0,"",Dat_02!H357)</f>
        <v/>
      </c>
    </row>
    <row r="359" spans="2:10">
      <c r="B359" s="250"/>
      <c r="C359" s="251" t="s">
        <v>527</v>
      </c>
      <c r="D359" s="250"/>
      <c r="E359" s="253">
        <f>Dat_02!C358</f>
        <v>164.48450008046365</v>
      </c>
      <c r="F359" s="253">
        <f>Dat_02!D358</f>
        <v>83.137557492553753</v>
      </c>
      <c r="G359" s="253">
        <f>Dat_02!E358</f>
        <v>83.137557492553753</v>
      </c>
      <c r="I359" s="254">
        <f>Dat_02!G358</f>
        <v>0</v>
      </c>
      <c r="J359" s="266" t="str">
        <f>IF(Dat_02!H358=0,"",Dat_02!H358)</f>
        <v/>
      </c>
    </row>
    <row r="360" spans="2:10">
      <c r="B360" s="250"/>
      <c r="C360" s="251" t="s">
        <v>528</v>
      </c>
      <c r="D360" s="250"/>
      <c r="E360" s="253">
        <f>Dat_02!C359</f>
        <v>142.55365212046459</v>
      </c>
      <c r="F360" s="253">
        <f>Dat_02!D359</f>
        <v>83.137557492553753</v>
      </c>
      <c r="G360" s="253">
        <f>Dat_02!E359</f>
        <v>83.137557492553753</v>
      </c>
      <c r="I360" s="254">
        <f>Dat_02!G359</f>
        <v>0</v>
      </c>
      <c r="J360" s="266" t="str">
        <f>IF(Dat_02!H359=0,"",Dat_02!H359)</f>
        <v/>
      </c>
    </row>
    <row r="361" spans="2:10">
      <c r="B361" s="250"/>
      <c r="C361" s="251" t="s">
        <v>529</v>
      </c>
      <c r="D361" s="250"/>
      <c r="E361" s="253">
        <f>Dat_02!C360</f>
        <v>149.79941410046365</v>
      </c>
      <c r="F361" s="253">
        <f>Dat_02!D360</f>
        <v>83.137557492553753</v>
      </c>
      <c r="G361" s="253">
        <f>Dat_02!E360</f>
        <v>83.137557492553753</v>
      </c>
      <c r="I361" s="254">
        <f>Dat_02!G360</f>
        <v>0</v>
      </c>
      <c r="J361" s="266" t="str">
        <f>IF(Dat_02!H360=0,"",Dat_02!H360)</f>
        <v/>
      </c>
    </row>
    <row r="362" spans="2:10">
      <c r="B362" s="250"/>
      <c r="C362" s="251" t="s">
        <v>530</v>
      </c>
      <c r="D362" s="250"/>
      <c r="E362" s="253">
        <f>Dat_02!C361</f>
        <v>152.63351821046362</v>
      </c>
      <c r="F362" s="253">
        <f>Dat_02!D361</f>
        <v>83.137557492553753</v>
      </c>
      <c r="G362" s="253">
        <f>Dat_02!E361</f>
        <v>83.137557492553753</v>
      </c>
      <c r="I362" s="254">
        <f>Dat_02!G361</f>
        <v>0</v>
      </c>
      <c r="J362" s="266" t="str">
        <f>IF(Dat_02!H361=0,"",Dat_02!H361)</f>
        <v/>
      </c>
    </row>
    <row r="363" spans="2:10">
      <c r="B363" s="250"/>
      <c r="C363" s="251" t="s">
        <v>531</v>
      </c>
      <c r="D363" s="250"/>
      <c r="E363" s="253">
        <f>Dat_02!C362</f>
        <v>160.46484280046366</v>
      </c>
      <c r="F363" s="253">
        <f>Dat_02!D362</f>
        <v>83.137557492553753</v>
      </c>
      <c r="G363" s="253">
        <f>Dat_02!E362</f>
        <v>83.137557492553753</v>
      </c>
      <c r="I363" s="254">
        <f>Dat_02!G362</f>
        <v>0</v>
      </c>
      <c r="J363" s="266" t="str">
        <f>IF(Dat_02!H362=0,"",Dat_02!H362)</f>
        <v/>
      </c>
    </row>
    <row r="364" spans="2:10">
      <c r="B364" s="250"/>
      <c r="C364" s="251" t="s">
        <v>532</v>
      </c>
      <c r="D364" s="250"/>
      <c r="E364" s="253">
        <f>Dat_02!C363</f>
        <v>154.75039204046178</v>
      </c>
      <c r="F364" s="253">
        <f>Dat_02!D363</f>
        <v>83.137557492553753</v>
      </c>
      <c r="G364" s="253">
        <f>Dat_02!E363</f>
        <v>83.137557492553753</v>
      </c>
      <c r="I364" s="254">
        <f>Dat_02!G363</f>
        <v>0</v>
      </c>
      <c r="J364" s="266" t="str">
        <f>IF(Dat_02!H363=0,"",Dat_02!H363)</f>
        <v/>
      </c>
    </row>
    <row r="365" spans="2:10">
      <c r="B365" s="250"/>
      <c r="C365" s="251" t="s">
        <v>533</v>
      </c>
      <c r="D365" s="250"/>
      <c r="E365" s="253">
        <f>Dat_02!C364</f>
        <v>208.72242819452077</v>
      </c>
      <c r="F365" s="253">
        <f>Dat_02!D364</f>
        <v>83.137557492553753</v>
      </c>
      <c r="G365" s="253">
        <f>Dat_02!E364</f>
        <v>83.137557492553753</v>
      </c>
      <c r="I365" s="254">
        <f>Dat_02!G364</f>
        <v>0</v>
      </c>
      <c r="J365" s="266" t="str">
        <f>IF(Dat_02!H364=0,"",Dat_02!H364)</f>
        <v/>
      </c>
    </row>
    <row r="366" spans="2:10">
      <c r="B366" s="250"/>
      <c r="C366" s="251" t="s">
        <v>534</v>
      </c>
      <c r="D366" s="250"/>
      <c r="E366" s="253">
        <f>Dat_02!C365</f>
        <v>218.49035702451982</v>
      </c>
      <c r="F366" s="253">
        <f>Dat_02!D365</f>
        <v>83.137557492553753</v>
      </c>
      <c r="G366" s="253">
        <f>Dat_02!E365</f>
        <v>83.137557492553753</v>
      </c>
      <c r="I366" s="254">
        <f>Dat_02!G365</f>
        <v>0</v>
      </c>
      <c r="J366" s="266" t="str">
        <f>IF(Dat_02!H365=0,"",Dat_02!H365)</f>
        <v/>
      </c>
    </row>
    <row r="367" spans="2:10">
      <c r="B367" s="250"/>
      <c r="C367" s="251" t="s">
        <v>535</v>
      </c>
      <c r="D367" s="250"/>
      <c r="E367" s="253">
        <f>Dat_02!C366</f>
        <v>228.39311174451981</v>
      </c>
      <c r="F367" s="253">
        <f>Dat_02!D366</f>
        <v>83.137557492553753</v>
      </c>
      <c r="G367" s="253">
        <f>Dat_02!E366</f>
        <v>83.137557492553753</v>
      </c>
      <c r="I367" s="254">
        <f>Dat_02!G366</f>
        <v>0</v>
      </c>
      <c r="J367" s="266" t="str">
        <f>IF(Dat_02!H366=0,"",Dat_02!H366)</f>
        <v/>
      </c>
    </row>
    <row r="368" spans="2:10">
      <c r="B368" s="250"/>
      <c r="C368" s="251" t="s">
        <v>536</v>
      </c>
      <c r="D368" s="250"/>
      <c r="E368" s="253">
        <f>Dat_02!C367</f>
        <v>214.47707978452075</v>
      </c>
      <c r="F368" s="253">
        <f>Dat_02!D367</f>
        <v>83.137557492553753</v>
      </c>
      <c r="G368" s="253">
        <f>Dat_02!E367</f>
        <v>83.137557492553753</v>
      </c>
      <c r="I368" s="254">
        <f>Dat_02!G367</f>
        <v>0</v>
      </c>
      <c r="J368" s="266" t="str">
        <f>IF(Dat_02!H367=0,"",Dat_02!H367)</f>
        <v/>
      </c>
    </row>
    <row r="369" spans="2:10">
      <c r="B369" s="252" t="s">
        <v>538</v>
      </c>
      <c r="C369" s="257" t="s">
        <v>539</v>
      </c>
      <c r="D369" s="252"/>
      <c r="E369" s="253">
        <f>Dat_02!C368</f>
        <v>217.97567370451887</v>
      </c>
      <c r="F369" s="253">
        <f>Dat_02!D368</f>
        <v>104.08859355090497</v>
      </c>
      <c r="G369" s="253">
        <f>Dat_02!E368</f>
        <v>104.08859355090497</v>
      </c>
      <c r="I369" s="254">
        <f>Dat_02!G368</f>
        <v>0</v>
      </c>
      <c r="J369" s="266" t="str">
        <f>IF(Dat_02!H368=0,"",Dat_02!H368)</f>
        <v/>
      </c>
    </row>
    <row r="370" spans="2:10">
      <c r="B370" s="250"/>
      <c r="C370" s="251" t="s">
        <v>540</v>
      </c>
      <c r="D370" s="252"/>
      <c r="E370" s="253">
        <f>Dat_02!C369</f>
        <v>220.38607756452078</v>
      </c>
      <c r="F370" s="253">
        <f>Dat_02!D369</f>
        <v>104.08859355090497</v>
      </c>
      <c r="G370" s="253">
        <f>Dat_02!E369</f>
        <v>104.08859355090497</v>
      </c>
      <c r="I370" s="254">
        <f>Dat_02!G369</f>
        <v>0</v>
      </c>
      <c r="J370" s="266" t="str">
        <f>IF(Dat_02!H369=0,"",Dat_02!H369)</f>
        <v/>
      </c>
    </row>
    <row r="371" spans="2:10">
      <c r="B371" s="250"/>
      <c r="C371" s="251" t="s">
        <v>541</v>
      </c>
      <c r="D371" s="250"/>
      <c r="E371" s="253">
        <f>Dat_02!C370</f>
        <v>238.12380746452078</v>
      </c>
      <c r="F371" s="253">
        <f>Dat_02!D370</f>
        <v>104.08859355090497</v>
      </c>
      <c r="G371" s="253">
        <f>Dat_02!E370</f>
        <v>104.08859355090497</v>
      </c>
      <c r="I371" s="254">
        <f>Dat_02!G370</f>
        <v>0</v>
      </c>
      <c r="J371" s="266" t="str">
        <f>IF(Dat_02!H370=0,"",Dat_02!H370)</f>
        <v/>
      </c>
    </row>
    <row r="372" spans="2:10">
      <c r="B372" s="250"/>
      <c r="C372" s="251" t="s">
        <v>542</v>
      </c>
      <c r="D372" s="250"/>
      <c r="E372" s="253">
        <f>Dat_02!C371</f>
        <v>156.75214829175312</v>
      </c>
      <c r="F372" s="253">
        <f>Dat_02!D371</f>
        <v>104.08859355090497</v>
      </c>
      <c r="G372" s="253">
        <f>Dat_02!E371</f>
        <v>104.08859355090497</v>
      </c>
      <c r="I372" s="254">
        <f>Dat_02!G371</f>
        <v>0</v>
      </c>
      <c r="J372" s="266" t="str">
        <f>IF(Dat_02!H371=0,"",Dat_02!H371)</f>
        <v/>
      </c>
    </row>
    <row r="373" spans="2:10">
      <c r="B373" s="250"/>
      <c r="C373" s="251" t="s">
        <v>543</v>
      </c>
      <c r="D373" s="250"/>
      <c r="E373" s="253">
        <f>Dat_02!C372</f>
        <v>156.11154397175403</v>
      </c>
      <c r="F373" s="253">
        <f>Dat_02!D372</f>
        <v>104.08859355090497</v>
      </c>
      <c r="G373" s="253">
        <f>Dat_02!E372</f>
        <v>104.08859355090497</v>
      </c>
      <c r="I373" s="254">
        <f>Dat_02!G372</f>
        <v>0</v>
      </c>
      <c r="J373" s="266" t="str">
        <f>IF(Dat_02!H372=0,"",Dat_02!H372)</f>
        <v/>
      </c>
    </row>
    <row r="374" spans="2:10">
      <c r="B374" s="250"/>
      <c r="C374" s="251" t="s">
        <v>544</v>
      </c>
      <c r="D374" s="250"/>
      <c r="E374" s="253">
        <f>Dat_02!C373</f>
        <v>145.51518334175313</v>
      </c>
      <c r="F374" s="253">
        <f>Dat_02!D373</f>
        <v>104.08859355090497</v>
      </c>
      <c r="G374" s="253">
        <f>Dat_02!E373</f>
        <v>104.08859355090497</v>
      </c>
      <c r="I374" s="254">
        <f>Dat_02!G373</f>
        <v>0</v>
      </c>
      <c r="J374" s="266" t="str">
        <f>IF(Dat_02!H373=0,"",Dat_02!H373)</f>
        <v/>
      </c>
    </row>
    <row r="375" spans="2:10">
      <c r="B375" s="250"/>
      <c r="C375" s="251" t="s">
        <v>545</v>
      </c>
      <c r="D375" s="250"/>
      <c r="E375" s="253">
        <f>Dat_02!C374</f>
        <v>138.26705353175311</v>
      </c>
      <c r="F375" s="253">
        <f>Dat_02!D374</f>
        <v>104.08859355090497</v>
      </c>
      <c r="G375" s="253">
        <f>Dat_02!E374</f>
        <v>104.08859355090497</v>
      </c>
      <c r="I375" s="254">
        <f>Dat_02!G374</f>
        <v>0</v>
      </c>
      <c r="J375" s="266" t="str">
        <f>IF(Dat_02!H374=0,"",Dat_02!H374)</f>
        <v/>
      </c>
    </row>
    <row r="376" spans="2:10">
      <c r="B376" s="250"/>
      <c r="C376" s="251" t="s">
        <v>546</v>
      </c>
      <c r="D376" s="250"/>
      <c r="E376" s="253">
        <f>Dat_02!C375</f>
        <v>123.47569367175311</v>
      </c>
      <c r="F376" s="253">
        <f>Dat_02!D375</f>
        <v>104.08859355090497</v>
      </c>
      <c r="G376" s="253">
        <f>Dat_02!E375</f>
        <v>104.08859355090497</v>
      </c>
      <c r="I376" s="254">
        <f>Dat_02!G375</f>
        <v>0</v>
      </c>
      <c r="J376" s="266" t="str">
        <f>IF(Dat_02!H375=0,"",Dat_02!H375)</f>
        <v/>
      </c>
    </row>
    <row r="377" spans="2:10">
      <c r="B377" s="250"/>
      <c r="C377" s="251" t="s">
        <v>547</v>
      </c>
      <c r="D377" s="250"/>
      <c r="E377" s="253">
        <f>Dat_02!C376</f>
        <v>121.07344309175217</v>
      </c>
      <c r="F377" s="253">
        <f>Dat_02!D376</f>
        <v>104.08859355090497</v>
      </c>
      <c r="G377" s="253">
        <f>Dat_02!E376</f>
        <v>104.08859355090497</v>
      </c>
      <c r="I377" s="254">
        <f>Dat_02!G376</f>
        <v>0</v>
      </c>
      <c r="J377" s="266" t="str">
        <f>IF(Dat_02!H376=0,"",Dat_02!H376)</f>
        <v/>
      </c>
    </row>
    <row r="378" spans="2:10">
      <c r="B378" s="250"/>
      <c r="C378" s="251" t="s">
        <v>548</v>
      </c>
      <c r="D378" s="250"/>
      <c r="E378" s="253">
        <f>Dat_02!C377</f>
        <v>130.04852048375309</v>
      </c>
      <c r="F378" s="253">
        <f>Dat_02!D377</f>
        <v>104.08859355090497</v>
      </c>
      <c r="G378" s="253">
        <f>Dat_02!E377</f>
        <v>104.08859355090497</v>
      </c>
      <c r="I378" s="254">
        <f>Dat_02!G377</f>
        <v>0</v>
      </c>
      <c r="J378" s="266" t="str">
        <f>IF(Dat_02!H377=0,"",Dat_02!H377)</f>
        <v/>
      </c>
    </row>
    <row r="379" spans="2:10">
      <c r="B379" s="250"/>
      <c r="C379" s="251" t="s">
        <v>549</v>
      </c>
      <c r="D379" s="250"/>
      <c r="E379" s="253">
        <f>Dat_02!C378</f>
        <v>138.49020952671947</v>
      </c>
      <c r="F379" s="253">
        <f>Dat_02!D378</f>
        <v>104.08859355090497</v>
      </c>
      <c r="G379" s="253">
        <f>Dat_02!E378</f>
        <v>104.08859355090497</v>
      </c>
      <c r="I379" s="254">
        <f>Dat_02!G378</f>
        <v>0</v>
      </c>
      <c r="J379" s="266" t="str">
        <f>IF(Dat_02!H378=0,"",Dat_02!H378)</f>
        <v/>
      </c>
    </row>
    <row r="380" spans="2:10">
      <c r="B380" s="250"/>
      <c r="C380" s="251" t="s">
        <v>550</v>
      </c>
      <c r="D380" s="250"/>
      <c r="E380" s="253">
        <f>Dat_02!C379</f>
        <v>127.47935954672039</v>
      </c>
      <c r="F380" s="253">
        <f>Dat_02!D379</f>
        <v>104.08859355090497</v>
      </c>
      <c r="G380" s="253">
        <f>Dat_02!E379</f>
        <v>104.08859355090497</v>
      </c>
      <c r="I380" s="254">
        <f>Dat_02!G379</f>
        <v>0</v>
      </c>
      <c r="J380" s="266" t="str">
        <f>IF(Dat_02!H379=0,"",Dat_02!H379)</f>
        <v/>
      </c>
    </row>
    <row r="381" spans="2:10">
      <c r="B381" s="250"/>
      <c r="C381" s="251" t="s">
        <v>551</v>
      </c>
      <c r="D381" s="250"/>
      <c r="E381" s="253">
        <f>Dat_02!C380</f>
        <v>135.27354444671852</v>
      </c>
      <c r="F381" s="253">
        <f>Dat_02!D380</f>
        <v>104.08859355090497</v>
      </c>
      <c r="G381" s="253">
        <f>Dat_02!E380</f>
        <v>104.08859355090497</v>
      </c>
      <c r="I381" s="254">
        <f>Dat_02!G380</f>
        <v>0</v>
      </c>
      <c r="J381" s="266" t="str">
        <f>IF(Dat_02!H380=0,"",Dat_02!H380)</f>
        <v/>
      </c>
    </row>
    <row r="382" spans="2:10">
      <c r="B382" s="250"/>
      <c r="C382" s="251" t="s">
        <v>552</v>
      </c>
      <c r="D382" s="250"/>
      <c r="E382" s="253">
        <f>Dat_02!C381</f>
        <v>142.16881114671943</v>
      </c>
      <c r="F382" s="253">
        <f>Dat_02!D381</f>
        <v>104.08859355090497</v>
      </c>
      <c r="G382" s="253">
        <f>Dat_02!E381</f>
        <v>104.08859355090497</v>
      </c>
      <c r="I382" s="254">
        <f>Dat_02!G381</f>
        <v>0</v>
      </c>
      <c r="J382" s="266" t="str">
        <f>IF(Dat_02!H381=0,"",Dat_02!H381)</f>
        <v/>
      </c>
    </row>
    <row r="383" spans="2:10">
      <c r="B383" s="250"/>
      <c r="C383" s="251" t="s">
        <v>553</v>
      </c>
      <c r="D383" s="250"/>
      <c r="E383" s="253">
        <f>Dat_02!C382</f>
        <v>136.56752488672038</v>
      </c>
      <c r="F383" s="253">
        <f>Dat_02!D382</f>
        <v>104.08859355090497</v>
      </c>
      <c r="G383" s="253">
        <f>Dat_02!E382</f>
        <v>104.08859355090497</v>
      </c>
      <c r="I383" s="254">
        <f>Dat_02!G382</f>
        <v>104.08859355090497</v>
      </c>
      <c r="J383" s="266" t="str">
        <f>IF(Dat_02!H382=0,"",Dat_02!H382)</f>
        <v/>
      </c>
    </row>
    <row r="384" spans="2:10">
      <c r="B384" s="250"/>
      <c r="C384" s="251" t="s">
        <v>554</v>
      </c>
      <c r="D384" s="250"/>
      <c r="E384" s="253">
        <f>Dat_02!C383</f>
        <v>157.41493800672038</v>
      </c>
      <c r="F384" s="253">
        <f>Dat_02!D383</f>
        <v>104.08859355090497</v>
      </c>
      <c r="G384" s="253">
        <f>Dat_02!E383</f>
        <v>104.08859355090497</v>
      </c>
      <c r="I384" s="254">
        <f>Dat_02!G383</f>
        <v>0</v>
      </c>
      <c r="J384" s="266" t="str">
        <f>IF(Dat_02!H383=0,"",Dat_02!H383)</f>
        <v/>
      </c>
    </row>
    <row r="385" spans="2:10">
      <c r="B385" s="250"/>
      <c r="C385" s="251" t="s">
        <v>555</v>
      </c>
      <c r="D385" s="250"/>
      <c r="E385" s="253">
        <f>Dat_02!C384</f>
        <v>173.46827267671944</v>
      </c>
      <c r="F385" s="253">
        <f>Dat_02!D384</f>
        <v>104.08859355090497</v>
      </c>
      <c r="G385" s="253">
        <f>Dat_02!E384</f>
        <v>104.08859355090497</v>
      </c>
      <c r="I385" s="254">
        <f>Dat_02!G384</f>
        <v>0</v>
      </c>
      <c r="J385" s="266" t="str">
        <f>IF(Dat_02!H384=0,"",Dat_02!H384)</f>
        <v/>
      </c>
    </row>
    <row r="386" spans="2:10">
      <c r="B386" s="250"/>
      <c r="C386" s="251" t="s">
        <v>556</v>
      </c>
      <c r="D386" s="250"/>
      <c r="E386" s="253">
        <f>Dat_02!C385</f>
        <v>334.12964689784087</v>
      </c>
      <c r="F386" s="253">
        <f>Dat_02!D385</f>
        <v>104.08859355090497</v>
      </c>
      <c r="G386" s="253">
        <f>Dat_02!E385</f>
        <v>104.08859355090497</v>
      </c>
      <c r="I386" s="254">
        <f>Dat_02!G385</f>
        <v>0</v>
      </c>
      <c r="J386" s="266" t="str">
        <f>IF(Dat_02!H385=0,"",Dat_02!H385)</f>
        <v/>
      </c>
    </row>
    <row r="387" spans="2:10">
      <c r="B387" s="250"/>
      <c r="C387" s="251" t="s">
        <v>557</v>
      </c>
      <c r="D387" s="250"/>
      <c r="E387" s="253">
        <f>Dat_02!C386</f>
        <v>332.56385904184464</v>
      </c>
      <c r="F387" s="253">
        <f>Dat_02!D386</f>
        <v>104.08859355090497</v>
      </c>
      <c r="G387" s="253">
        <f>Dat_02!E386</f>
        <v>104.08859355090497</v>
      </c>
      <c r="I387" s="254">
        <f>Dat_02!G386</f>
        <v>0</v>
      </c>
      <c r="J387" s="266" t="str">
        <f>IF(Dat_02!H386=0,"",Dat_02!H386)</f>
        <v/>
      </c>
    </row>
    <row r="388" spans="2:10">
      <c r="B388" s="250"/>
      <c r="C388" s="251" t="s">
        <v>558</v>
      </c>
      <c r="D388" s="250"/>
      <c r="E388" s="253">
        <f>Dat_02!C387</f>
        <v>354.56233885584282</v>
      </c>
      <c r="F388" s="253">
        <f>Dat_02!D387</f>
        <v>104.08859355090497</v>
      </c>
      <c r="G388" s="253">
        <f>Dat_02!E387</f>
        <v>104.08859355090497</v>
      </c>
      <c r="I388" s="254">
        <f>Dat_02!G387</f>
        <v>0</v>
      </c>
      <c r="J388" s="266" t="str">
        <f>IF(Dat_02!H387=0,"",Dat_02!H387)</f>
        <v/>
      </c>
    </row>
    <row r="389" spans="2:10">
      <c r="B389" s="250"/>
      <c r="C389" s="251" t="s">
        <v>559</v>
      </c>
      <c r="D389" s="250"/>
      <c r="E389" s="253">
        <f>Dat_02!C388</f>
        <v>354.27874643784463</v>
      </c>
      <c r="F389" s="253">
        <f>Dat_02!D388</f>
        <v>104.08859355090497</v>
      </c>
      <c r="G389" s="253">
        <f>Dat_02!E388</f>
        <v>104.08859355090497</v>
      </c>
      <c r="I389" s="254">
        <f>Dat_02!G388</f>
        <v>0</v>
      </c>
      <c r="J389" s="266" t="str">
        <f>IF(Dat_02!H388=0,"",Dat_02!H388)</f>
        <v/>
      </c>
    </row>
    <row r="390" spans="2:10">
      <c r="B390" s="250"/>
      <c r="C390" s="251" t="s">
        <v>560</v>
      </c>
      <c r="D390" s="250"/>
      <c r="E390" s="253">
        <f>Dat_02!C389</f>
        <v>343.39449774784282</v>
      </c>
      <c r="F390" s="253">
        <f>Dat_02!D389</f>
        <v>104.08859355090497</v>
      </c>
      <c r="G390" s="253">
        <f>Dat_02!E389</f>
        <v>104.08859355090497</v>
      </c>
      <c r="I390" s="254">
        <f>Dat_02!G389</f>
        <v>0</v>
      </c>
      <c r="J390" s="266" t="str">
        <f>IF(Dat_02!H389=0,"",Dat_02!H389)</f>
        <v/>
      </c>
    </row>
    <row r="391" spans="2:10">
      <c r="B391" s="250"/>
      <c r="C391" s="251" t="s">
        <v>561</v>
      </c>
      <c r="D391" s="250"/>
      <c r="E391" s="253">
        <f>Dat_02!C390</f>
        <v>350.60836738784468</v>
      </c>
      <c r="F391" s="253">
        <f>Dat_02!D390</f>
        <v>104.08859355090497</v>
      </c>
      <c r="G391" s="253">
        <f>Dat_02!E390</f>
        <v>104.08859355090497</v>
      </c>
      <c r="I391" s="254">
        <f>Dat_02!G390</f>
        <v>0</v>
      </c>
      <c r="J391" s="266" t="str">
        <f>IF(Dat_02!H390=0,"",Dat_02!H390)</f>
        <v/>
      </c>
    </row>
    <row r="392" spans="2:10">
      <c r="B392" s="250"/>
      <c r="C392" s="251" t="s">
        <v>562</v>
      </c>
      <c r="D392" s="250"/>
      <c r="E392" s="253">
        <f>Dat_02!C391</f>
        <v>354.35816298784283</v>
      </c>
      <c r="F392" s="253">
        <f>Dat_02!D391</f>
        <v>104.08859355090497</v>
      </c>
      <c r="G392" s="253">
        <f>Dat_02!E391</f>
        <v>104.08859355090497</v>
      </c>
      <c r="I392" s="254">
        <f>Dat_02!G391</f>
        <v>0</v>
      </c>
      <c r="J392" s="266" t="str">
        <f>IF(Dat_02!H391=0,"",Dat_02!H391)</f>
        <v/>
      </c>
    </row>
    <row r="393" spans="2:10">
      <c r="B393" s="250"/>
      <c r="C393" s="251" t="s">
        <v>563</v>
      </c>
      <c r="D393" s="250"/>
      <c r="E393" s="253">
        <f>Dat_02!C392</f>
        <v>172.68689226917945</v>
      </c>
      <c r="F393" s="253">
        <f>Dat_02!D392</f>
        <v>104.08859355090497</v>
      </c>
      <c r="G393" s="253">
        <f>Dat_02!E392</f>
        <v>104.08859355090497</v>
      </c>
      <c r="I393" s="254">
        <f>Dat_02!G392</f>
        <v>0</v>
      </c>
      <c r="J393" s="266" t="str">
        <f>IF(Dat_02!H392=0,"",Dat_02!H392)</f>
        <v/>
      </c>
    </row>
    <row r="394" spans="2:10">
      <c r="B394" s="250"/>
      <c r="C394" s="251" t="s">
        <v>564</v>
      </c>
      <c r="D394" s="250"/>
      <c r="E394" s="253">
        <f>Dat_02!C393</f>
        <v>174.46318876918133</v>
      </c>
      <c r="F394" s="253">
        <f>Dat_02!D393</f>
        <v>104.08859355090497</v>
      </c>
      <c r="G394" s="253">
        <f>Dat_02!E393</f>
        <v>104.08859355090497</v>
      </c>
      <c r="I394" s="254">
        <f>Dat_02!G393</f>
        <v>0</v>
      </c>
      <c r="J394" s="266" t="str">
        <f>IF(Dat_02!H393=0,"",Dat_02!H393)</f>
        <v/>
      </c>
    </row>
    <row r="395" spans="2:10">
      <c r="B395" s="250"/>
      <c r="C395" s="251" t="s">
        <v>565</v>
      </c>
      <c r="D395" s="250"/>
      <c r="E395" s="253">
        <f>Dat_02!C394</f>
        <v>178.31420186918319</v>
      </c>
      <c r="F395" s="253">
        <f>Dat_02!D394</f>
        <v>104.08859355090497</v>
      </c>
      <c r="G395" s="253">
        <f>Dat_02!E394</f>
        <v>104.08859355090497</v>
      </c>
      <c r="I395" s="254">
        <f>Dat_02!G394</f>
        <v>0</v>
      </c>
      <c r="J395" s="266" t="str">
        <f>IF(Dat_02!H394=0,"",Dat_02!H394)</f>
        <v/>
      </c>
    </row>
    <row r="396" spans="2:10">
      <c r="B396" s="250"/>
      <c r="C396" s="251" t="s">
        <v>566</v>
      </c>
      <c r="D396" s="250"/>
      <c r="E396" s="253">
        <f>Dat_02!C395</f>
        <v>174.19467910117945</v>
      </c>
      <c r="F396" s="253">
        <f>Dat_02!D395</f>
        <v>104.08859355090497</v>
      </c>
      <c r="G396" s="253">
        <f>Dat_02!E395</f>
        <v>104.08859355090497</v>
      </c>
      <c r="I396" s="254">
        <f>Dat_02!G395</f>
        <v>0</v>
      </c>
      <c r="J396" s="266" t="str">
        <f>IF(Dat_02!H395=0,"",Dat_02!H395)</f>
        <v/>
      </c>
    </row>
    <row r="397" spans="2:10">
      <c r="B397" s="250"/>
      <c r="C397" s="251" t="s">
        <v>567</v>
      </c>
      <c r="D397" s="250"/>
      <c r="E397" s="253">
        <f>Dat_02!C396</f>
        <v>164.00843339318129</v>
      </c>
      <c r="F397" s="253">
        <f>Dat_02!D396</f>
        <v>104.08859355090497</v>
      </c>
      <c r="G397" s="253">
        <f>Dat_02!E396</f>
        <v>104.08859355090497</v>
      </c>
      <c r="I397" s="254">
        <f>Dat_02!G396</f>
        <v>0</v>
      </c>
      <c r="J397" s="266" t="str">
        <f>IF(Dat_02!H396=0,"",Dat_02!H396)</f>
        <v/>
      </c>
    </row>
    <row r="398" spans="2:10">
      <c r="B398" s="250"/>
      <c r="C398" s="251" t="s">
        <v>568</v>
      </c>
      <c r="D398" s="250"/>
      <c r="E398" s="253">
        <f>Dat_02!C397</f>
        <v>162.84888335718131</v>
      </c>
      <c r="F398" s="253">
        <f>Dat_02!D397</f>
        <v>104.08859355090497</v>
      </c>
      <c r="G398" s="253">
        <f>Dat_02!E397</f>
        <v>104.08859355090497</v>
      </c>
      <c r="I398" s="254">
        <f>Dat_02!G397</f>
        <v>0</v>
      </c>
      <c r="J398" s="266" t="str">
        <f>IF(Dat_02!H397=0,"",Dat_02!H397)</f>
        <v/>
      </c>
    </row>
    <row r="399" spans="2:10">
      <c r="B399" s="250"/>
      <c r="C399" s="251" t="s">
        <v>569</v>
      </c>
      <c r="D399" s="250"/>
      <c r="E399" s="253">
        <f>Dat_02!C398</f>
        <v>160.96440108718133</v>
      </c>
      <c r="F399" s="253">
        <f>Dat_02!D398</f>
        <v>104.08859355090497</v>
      </c>
      <c r="G399" s="253">
        <f>Dat_02!E398</f>
        <v>104.08859355090497</v>
      </c>
      <c r="I399" s="254">
        <f>Dat_02!G398</f>
        <v>0</v>
      </c>
      <c r="J399" s="266" t="str">
        <f>IF(Dat_02!H398=0,"",Dat_02!H398)</f>
        <v/>
      </c>
    </row>
    <row r="400" spans="2:10">
      <c r="B400" s="258"/>
      <c r="C400" s="259"/>
      <c r="D400" s="260"/>
      <c r="E400" s="261"/>
      <c r="F400" s="261"/>
      <c r="G400" s="261"/>
      <c r="H400" s="256"/>
      <c r="I400" s="255"/>
      <c r="J400" s="249"/>
    </row>
    <row r="401" spans="2:10">
      <c r="B401" s="256"/>
      <c r="C401" s="256"/>
      <c r="D401" s="256"/>
      <c r="E401" s="262"/>
      <c r="F401" s="262"/>
      <c r="G401" s="263"/>
      <c r="H401" s="256"/>
      <c r="I401" s="255"/>
      <c r="J401" s="249"/>
    </row>
    <row r="402" spans="2:10">
      <c r="B402" s="256"/>
      <c r="C402" s="256"/>
      <c r="D402" s="256"/>
      <c r="E402" s="262"/>
      <c r="F402" s="262"/>
      <c r="G402" s="263"/>
      <c r="H402" s="256"/>
      <c r="I402" s="255"/>
      <c r="J402" s="249"/>
    </row>
    <row r="403" spans="2:10">
      <c r="B403" s="156"/>
      <c r="C403" s="256"/>
      <c r="D403" s="256"/>
      <c r="E403" s="262"/>
      <c r="F403" s="262"/>
      <c r="G403" s="263"/>
      <c r="H403" s="156"/>
      <c r="I403" s="264"/>
      <c r="J403" s="265"/>
    </row>
    <row r="404" spans="2:10">
      <c r="B404" s="156"/>
      <c r="C404" s="256"/>
      <c r="D404" s="256"/>
      <c r="E404" s="262"/>
      <c r="F404" s="262"/>
      <c r="G404" s="263"/>
      <c r="H404" s="156"/>
      <c r="I404" s="264"/>
      <c r="J404" s="265"/>
    </row>
    <row r="405" spans="2:10">
      <c r="B405" s="156"/>
      <c r="C405" s="256"/>
      <c r="D405" s="256"/>
      <c r="E405" s="262"/>
      <c r="F405" s="262"/>
      <c r="G405" s="263"/>
      <c r="H405" s="156"/>
      <c r="I405" s="264"/>
      <c r="J405" s="265"/>
    </row>
    <row r="406" spans="2:10">
      <c r="B406" s="156"/>
      <c r="C406" s="256"/>
      <c r="D406" s="256"/>
      <c r="E406" s="262"/>
      <c r="F406" s="262"/>
      <c r="G406" s="263"/>
      <c r="H406" s="156"/>
      <c r="I406" s="264"/>
      <c r="J406" s="265"/>
    </row>
    <row r="407" spans="2:10">
      <c r="B407" s="156"/>
      <c r="C407" s="256"/>
      <c r="D407" s="256"/>
      <c r="E407" s="262"/>
      <c r="F407" s="262"/>
      <c r="G407" s="263"/>
      <c r="H407" s="156"/>
      <c r="I407" s="264"/>
      <c r="J407" s="265"/>
    </row>
    <row r="408" spans="2:10">
      <c r="B408" s="156"/>
      <c r="C408" s="256"/>
      <c r="D408" s="256"/>
      <c r="E408" s="262"/>
      <c r="F408" s="262"/>
      <c r="G408" s="263"/>
      <c r="H408" s="156"/>
      <c r="I408" s="264"/>
      <c r="J408" s="265"/>
    </row>
    <row r="409" spans="2:10">
      <c r="B409" s="156"/>
      <c r="C409" s="256"/>
      <c r="D409" s="256"/>
      <c r="E409" s="262"/>
      <c r="F409" s="262"/>
      <c r="G409" s="263"/>
      <c r="H409" s="156"/>
      <c r="I409" s="264"/>
      <c r="J409" s="265"/>
    </row>
    <row r="410" spans="2:10">
      <c r="B410" s="156"/>
      <c r="C410" s="256"/>
      <c r="D410" s="256"/>
      <c r="E410" s="262"/>
      <c r="F410" s="262"/>
      <c r="G410" s="263"/>
      <c r="H410" s="156"/>
      <c r="I410" s="264"/>
      <c r="J410" s="265"/>
    </row>
    <row r="411" spans="2:10">
      <c r="B411" s="156"/>
      <c r="C411" s="256"/>
      <c r="D411" s="256"/>
      <c r="E411" s="262"/>
      <c r="F411" s="262"/>
      <c r="G411" s="263"/>
      <c r="H411" s="156"/>
      <c r="I411" s="264"/>
      <c r="J411" s="265"/>
    </row>
    <row r="412" spans="2:10">
      <c r="B412" s="156"/>
      <c r="C412" s="256"/>
      <c r="D412" s="256"/>
      <c r="E412" s="262"/>
      <c r="F412" s="262"/>
      <c r="G412" s="263"/>
      <c r="H412" s="156"/>
      <c r="I412" s="264"/>
      <c r="J412" s="265"/>
    </row>
    <row r="413" spans="2:10">
      <c r="B413" s="156"/>
      <c r="C413" s="256"/>
      <c r="D413" s="256"/>
      <c r="E413" s="262"/>
      <c r="F413" s="262"/>
      <c r="G413" s="263"/>
      <c r="H413" s="156"/>
      <c r="I413" s="264"/>
      <c r="J413" s="265"/>
    </row>
    <row r="414" spans="2:10">
      <c r="B414" s="156"/>
      <c r="C414" s="256"/>
      <c r="D414" s="256"/>
      <c r="E414" s="262"/>
      <c r="F414" s="262"/>
      <c r="G414" s="263"/>
      <c r="H414" s="156"/>
      <c r="I414" s="264"/>
      <c r="J414" s="265"/>
    </row>
    <row r="415" spans="2:10">
      <c r="B415" s="156"/>
      <c r="C415" s="256"/>
      <c r="D415" s="256"/>
      <c r="E415" s="262"/>
      <c r="F415" s="262"/>
      <c r="G415" s="263"/>
      <c r="H415" s="156"/>
      <c r="I415" s="255"/>
      <c r="J415" s="249"/>
    </row>
    <row r="416" spans="2:10">
      <c r="B416" s="156"/>
      <c r="C416" s="256"/>
      <c r="D416" s="256"/>
      <c r="E416" s="262"/>
      <c r="F416" s="262"/>
      <c r="G416" s="263"/>
      <c r="H416" s="156"/>
      <c r="I416" s="264"/>
      <c r="J416" s="265"/>
    </row>
    <row r="417" spans="2:10">
      <c r="B417" s="156"/>
      <c r="C417" s="256"/>
      <c r="D417" s="256"/>
      <c r="E417" s="262"/>
      <c r="F417" s="262"/>
      <c r="G417" s="263"/>
      <c r="H417" s="156"/>
      <c r="I417" s="264"/>
      <c r="J417" s="265"/>
    </row>
    <row r="418" spans="2:10">
      <c r="B418" s="156"/>
      <c r="C418" s="256"/>
      <c r="D418" s="256"/>
      <c r="E418" s="262"/>
      <c r="F418" s="262"/>
      <c r="G418" s="263"/>
      <c r="H418" s="156"/>
      <c r="I418" s="264"/>
      <c r="J418" s="265"/>
    </row>
    <row r="419" spans="2:10">
      <c r="B419" s="156"/>
      <c r="C419" s="256"/>
      <c r="D419" s="256"/>
      <c r="E419" s="262"/>
      <c r="F419" s="262"/>
      <c r="G419" s="263"/>
      <c r="H419" s="156"/>
      <c r="I419" s="264"/>
      <c r="J419" s="265"/>
    </row>
    <row r="420" spans="2:10">
      <c r="B420" s="156"/>
      <c r="C420" s="256"/>
      <c r="D420" s="256"/>
      <c r="E420" s="262"/>
      <c r="F420" s="262"/>
      <c r="G420" s="263"/>
      <c r="H420" s="156"/>
      <c r="I420" s="264"/>
      <c r="J420" s="265"/>
    </row>
    <row r="421" spans="2:10">
      <c r="B421" s="156"/>
      <c r="C421" s="256"/>
      <c r="D421" s="256"/>
      <c r="E421" s="262"/>
      <c r="F421" s="262"/>
      <c r="G421" s="263"/>
      <c r="H421" s="156"/>
      <c r="I421" s="264"/>
      <c r="J421" s="265"/>
    </row>
    <row r="422" spans="2:10">
      <c r="B422" s="156"/>
      <c r="C422" s="256"/>
      <c r="D422" s="256"/>
      <c r="E422" s="262"/>
      <c r="F422" s="262"/>
      <c r="G422" s="263"/>
      <c r="H422" s="156"/>
      <c r="I422" s="264"/>
      <c r="J422" s="265"/>
    </row>
    <row r="423" spans="2:10">
      <c r="B423" s="156"/>
      <c r="C423" s="256"/>
      <c r="D423" s="256"/>
      <c r="E423" s="262"/>
      <c r="F423" s="262"/>
      <c r="G423" s="263"/>
      <c r="H423" s="156"/>
      <c r="I423" s="264"/>
      <c r="J423" s="265"/>
    </row>
    <row r="424" spans="2:10">
      <c r="B424" s="156"/>
      <c r="C424" s="256"/>
      <c r="D424" s="256"/>
      <c r="E424" s="262"/>
      <c r="F424" s="262"/>
      <c r="G424" s="263"/>
      <c r="H424" s="156"/>
      <c r="I424" s="264"/>
      <c r="J424" s="265"/>
    </row>
    <row r="425" spans="2:10">
      <c r="B425" s="156"/>
      <c r="C425" s="256"/>
      <c r="D425" s="256"/>
      <c r="E425" s="262"/>
      <c r="F425" s="262"/>
      <c r="G425" s="263"/>
      <c r="H425" s="156"/>
      <c r="I425" s="264"/>
      <c r="J425" s="265"/>
    </row>
    <row r="426" spans="2:10">
      <c r="B426" s="156"/>
      <c r="C426" s="256"/>
      <c r="D426" s="256"/>
      <c r="E426" s="262"/>
      <c r="F426" s="262"/>
      <c r="G426" s="263"/>
      <c r="H426" s="256"/>
      <c r="I426" s="255"/>
      <c r="J426" s="265"/>
    </row>
    <row r="427" spans="2:10">
      <c r="B427" s="156"/>
      <c r="C427" s="256"/>
      <c r="D427" s="256"/>
      <c r="E427" s="262"/>
      <c r="F427" s="262"/>
      <c r="G427" s="263"/>
      <c r="H427" s="256"/>
      <c r="I427" s="255"/>
      <c r="J427" s="265"/>
    </row>
    <row r="428" spans="2:10">
      <c r="B428" s="156"/>
      <c r="C428" s="256"/>
      <c r="D428" s="256"/>
      <c r="E428" s="262"/>
      <c r="F428" s="262"/>
      <c r="G428" s="263"/>
      <c r="H428" s="256"/>
      <c r="I428" s="255"/>
      <c r="J428" s="265"/>
    </row>
    <row r="429" spans="2:10">
      <c r="B429" s="156"/>
      <c r="C429" s="256"/>
      <c r="D429" s="256"/>
      <c r="E429" s="262"/>
      <c r="F429" s="262"/>
      <c r="G429" s="263"/>
      <c r="H429" s="256"/>
      <c r="I429" s="255"/>
      <c r="J429" s="265"/>
    </row>
    <row r="430" spans="2:10">
      <c r="B430" s="156"/>
      <c r="C430" s="256"/>
      <c r="D430" s="256"/>
      <c r="E430" s="262"/>
      <c r="F430" s="262"/>
      <c r="G430" s="263"/>
      <c r="H430" s="256"/>
      <c r="I430" s="255"/>
      <c r="J430" s="265"/>
    </row>
    <row r="431" spans="2:10">
      <c r="B431" s="156"/>
      <c r="C431" s="256"/>
      <c r="D431" s="256"/>
      <c r="E431" s="262"/>
      <c r="F431" s="262"/>
      <c r="G431" s="263"/>
      <c r="H431" s="256"/>
      <c r="I431" s="255"/>
      <c r="J431" s="265"/>
    </row>
    <row r="432" spans="2:10">
      <c r="C432" s="256"/>
      <c r="D432" s="256"/>
      <c r="E432" s="262"/>
      <c r="F432" s="262"/>
      <c r="G432" s="263"/>
    </row>
    <row r="433" spans="3:7">
      <c r="C433" s="256"/>
      <c r="D433" s="256"/>
      <c r="E433" s="262"/>
      <c r="F433" s="262"/>
      <c r="G433" s="263"/>
    </row>
    <row r="434" spans="3:7">
      <c r="C434" s="256"/>
      <c r="D434" s="256"/>
      <c r="E434" s="262"/>
      <c r="F434" s="262"/>
      <c r="G434" s="263"/>
    </row>
    <row r="435" spans="3:7">
      <c r="C435" s="256"/>
      <c r="D435" s="256"/>
      <c r="E435" s="262"/>
      <c r="F435" s="262"/>
      <c r="G435" s="263"/>
    </row>
    <row r="436" spans="3:7">
      <c r="C436" s="256"/>
      <c r="D436" s="256"/>
      <c r="E436" s="262"/>
      <c r="F436" s="262"/>
      <c r="G436" s="263"/>
    </row>
    <row r="437" spans="3:7">
      <c r="C437" s="256"/>
      <c r="D437" s="256"/>
      <c r="E437" s="262"/>
      <c r="F437" s="262"/>
      <c r="G437" s="263"/>
    </row>
    <row r="438" spans="3:7">
      <c r="C438" s="256"/>
      <c r="D438" s="256"/>
      <c r="E438" s="262"/>
      <c r="F438" s="262"/>
      <c r="G438" s="263"/>
    </row>
    <row r="439" spans="3:7">
      <c r="C439" s="256"/>
      <c r="D439" s="256"/>
      <c r="E439" s="262"/>
      <c r="F439" s="262"/>
      <c r="G439" s="263"/>
    </row>
    <row r="440" spans="3:7">
      <c r="C440" s="256"/>
      <c r="D440" s="256"/>
      <c r="E440" s="262"/>
      <c r="F440" s="262"/>
      <c r="G440" s="263"/>
    </row>
    <row r="441" spans="3:7">
      <c r="C441" s="256"/>
      <c r="D441" s="256"/>
      <c r="E441" s="262"/>
      <c r="F441" s="262"/>
      <c r="G441" s="263"/>
    </row>
    <row r="442" spans="3:7">
      <c r="C442" s="256"/>
      <c r="D442" s="256"/>
      <c r="E442" s="262"/>
      <c r="F442" s="262"/>
      <c r="G442" s="263"/>
    </row>
    <row r="443" spans="3:7">
      <c r="C443" s="256"/>
      <c r="D443" s="256"/>
      <c r="E443" s="262"/>
      <c r="F443" s="262"/>
      <c r="G443" s="263"/>
    </row>
    <row r="444" spans="3:7">
      <c r="C444" s="256"/>
      <c r="D444" s="256"/>
      <c r="E444" s="262"/>
      <c r="F444" s="262"/>
      <c r="G444" s="263"/>
    </row>
    <row r="445" spans="3:7">
      <c r="C445" s="256"/>
      <c r="D445" s="256"/>
      <c r="E445" s="262"/>
      <c r="F445" s="262"/>
      <c r="G445" s="263"/>
    </row>
    <row r="446" spans="3:7">
      <c r="C446" s="256"/>
      <c r="D446" s="256"/>
      <c r="E446" s="262"/>
      <c r="F446" s="262"/>
      <c r="G446" s="263"/>
    </row>
    <row r="447" spans="3:7">
      <c r="C447" s="256"/>
      <c r="D447" s="256"/>
      <c r="E447" s="262"/>
      <c r="F447" s="262"/>
      <c r="G447" s="263"/>
    </row>
    <row r="448" spans="3:7">
      <c r="C448" s="256"/>
      <c r="D448" s="256"/>
      <c r="E448" s="262"/>
      <c r="F448" s="262"/>
      <c r="G448" s="263"/>
    </row>
    <row r="449" spans="3:7">
      <c r="C449" s="256"/>
      <c r="D449" s="256"/>
      <c r="E449" s="262"/>
      <c r="F449" s="262"/>
      <c r="G449" s="2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630</v>
      </c>
    </row>
    <row r="2" spans="1:2">
      <c r="A2" t="s">
        <v>625</v>
      </c>
    </row>
    <row r="3" spans="1:2">
      <c r="A3" t="s">
        <v>628</v>
      </c>
    </row>
    <row r="4" spans="1:2">
      <c r="A4" t="s">
        <v>620</v>
      </c>
    </row>
    <row r="5" spans="1:2">
      <c r="A5" t="s">
        <v>626</v>
      </c>
    </row>
    <row r="6" spans="1:2">
      <c r="A6" t="s">
        <v>629</v>
      </c>
    </row>
    <row r="7" spans="1:2">
      <c r="A7" t="s">
        <v>627</v>
      </c>
    </row>
    <row r="8" spans="1:2">
      <c r="A8" t="s">
        <v>621</v>
      </c>
    </row>
    <row r="9" spans="1:2">
      <c r="A9" t="s">
        <v>631</v>
      </c>
    </row>
    <row r="10" spans="1:2">
      <c r="A10" t="s">
        <v>622</v>
      </c>
    </row>
    <row r="11" spans="1:2">
      <c r="A11" t="s">
        <v>623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K76"/>
  <sheetViews>
    <sheetView showGridLines="0" topLeftCell="A9" zoomScale="90" zoomScaleNormal="90" workbookViewId="0">
      <selection activeCell="J54" sqref="J54"/>
    </sheetView>
  </sheetViews>
  <sheetFormatPr baseColWidth="10" defaultColWidth="11.42578125" defaultRowHeight="11.25"/>
  <cols>
    <col min="1" max="16384" width="11.42578125" style="168"/>
  </cols>
  <sheetData>
    <row r="2" spans="2:9">
      <c r="B2" s="151" t="s">
        <v>41</v>
      </c>
    </row>
    <row r="3" spans="2:9">
      <c r="B3" s="154"/>
      <c r="C3" s="154"/>
      <c r="D3" s="155"/>
      <c r="E3" s="155" t="s">
        <v>35</v>
      </c>
      <c r="F3" s="331" t="s">
        <v>36</v>
      </c>
      <c r="G3" s="331"/>
      <c r="H3" s="331"/>
      <c r="I3" s="156"/>
    </row>
    <row r="4" spans="2:9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69</v>
      </c>
      <c r="I4" s="158" t="s">
        <v>40</v>
      </c>
    </row>
    <row r="5" spans="2:9">
      <c r="B5" s="163">
        <v>2015</v>
      </c>
      <c r="C5" s="159" t="s">
        <v>96</v>
      </c>
      <c r="D5" s="160">
        <v>8644.1745179999998</v>
      </c>
      <c r="E5" s="161">
        <v>18538.071</v>
      </c>
      <c r="F5" s="161">
        <v>13185.4</v>
      </c>
      <c r="G5" s="161">
        <v>5271.4</v>
      </c>
      <c r="H5" s="161">
        <v>9056</v>
      </c>
      <c r="I5" s="162">
        <f t="shared" ref="I5:I52" si="0">D5/E5*100</f>
        <v>46.62930958674179</v>
      </c>
    </row>
    <row r="6" spans="2:9">
      <c r="B6" s="163"/>
      <c r="C6" s="159" t="s">
        <v>97</v>
      </c>
      <c r="D6" s="160">
        <v>11227.656998</v>
      </c>
      <c r="E6" s="161">
        <v>18538.071</v>
      </c>
      <c r="F6" s="161">
        <v>13001.9</v>
      </c>
      <c r="G6" s="161">
        <v>5366.1</v>
      </c>
      <c r="H6" s="161">
        <v>10017.4</v>
      </c>
      <c r="I6" s="162">
        <f t="shared" si="0"/>
        <v>60.56540077983302</v>
      </c>
    </row>
    <row r="7" spans="2:9">
      <c r="B7" s="163"/>
      <c r="C7" s="159" t="s">
        <v>89</v>
      </c>
      <c r="D7" s="160">
        <v>12066.238818</v>
      </c>
      <c r="E7" s="161">
        <v>18538.071</v>
      </c>
      <c r="F7" s="161">
        <v>13315.6</v>
      </c>
      <c r="G7" s="161">
        <v>5433.6</v>
      </c>
      <c r="H7" s="161">
        <v>10361.5</v>
      </c>
      <c r="I7" s="162">
        <f t="shared" si="0"/>
        <v>65.088966473372551</v>
      </c>
    </row>
    <row r="8" spans="2:9">
      <c r="B8" s="163"/>
      <c r="C8" s="159" t="s">
        <v>90</v>
      </c>
      <c r="D8" s="160">
        <v>12306.055883000001</v>
      </c>
      <c r="E8" s="161">
        <v>18538.071</v>
      </c>
      <c r="F8" s="161">
        <v>13856.7</v>
      </c>
      <c r="G8" s="161">
        <v>5567.8</v>
      </c>
      <c r="H8" s="161">
        <v>10787.2</v>
      </c>
      <c r="I8" s="162">
        <f t="shared" si="0"/>
        <v>66.382612748651155</v>
      </c>
    </row>
    <row r="9" spans="2:9">
      <c r="B9" s="163"/>
      <c r="C9" s="164" t="s">
        <v>91</v>
      </c>
      <c r="D9" s="160">
        <v>13179.567322000001</v>
      </c>
      <c r="E9" s="161">
        <v>18538.071</v>
      </c>
      <c r="F9" s="161">
        <v>14018.9</v>
      </c>
      <c r="G9" s="161">
        <v>6896.6</v>
      </c>
      <c r="H9" s="161">
        <v>11295.2</v>
      </c>
      <c r="I9" s="162">
        <f t="shared" si="0"/>
        <v>71.094599443491191</v>
      </c>
    </row>
    <row r="10" spans="2:9">
      <c r="B10" s="163"/>
      <c r="C10" s="164" t="s">
        <v>90</v>
      </c>
      <c r="D10" s="160">
        <v>13577.542675000001</v>
      </c>
      <c r="E10" s="161">
        <v>18538.071</v>
      </c>
      <c r="F10" s="161">
        <v>14159.3</v>
      </c>
      <c r="G10" s="161">
        <v>6811.6</v>
      </c>
      <c r="H10" s="161">
        <v>11509.5</v>
      </c>
      <c r="I10" s="162">
        <f t="shared" si="0"/>
        <v>73.241399685004978</v>
      </c>
    </row>
    <row r="11" spans="2:9">
      <c r="B11" s="163"/>
      <c r="C11" s="164" t="s">
        <v>92</v>
      </c>
      <c r="D11" s="160">
        <v>12751.035658000001</v>
      </c>
      <c r="E11" s="161">
        <v>18538.071</v>
      </c>
      <c r="F11" s="161">
        <v>13746.6</v>
      </c>
      <c r="G11" s="161">
        <v>6354.8</v>
      </c>
      <c r="H11" s="161">
        <v>10990.1</v>
      </c>
      <c r="I11" s="162">
        <f t="shared" si="0"/>
        <v>68.782969155744425</v>
      </c>
    </row>
    <row r="12" spans="2:9">
      <c r="B12" s="163"/>
      <c r="C12" s="164" t="s">
        <v>92</v>
      </c>
      <c r="D12" s="160">
        <v>11400.747851</v>
      </c>
      <c r="E12" s="161">
        <v>18538.071</v>
      </c>
      <c r="F12" s="161">
        <v>12254.4</v>
      </c>
      <c r="G12" s="161">
        <v>5493.3</v>
      </c>
      <c r="H12" s="161">
        <v>9894.2000000000007</v>
      </c>
      <c r="I12" s="162">
        <f t="shared" si="0"/>
        <v>61.499105548792002</v>
      </c>
    </row>
    <row r="13" spans="2:9">
      <c r="B13" s="163"/>
      <c r="C13" s="164" t="s">
        <v>91</v>
      </c>
      <c r="D13" s="160">
        <v>9726.8527639999993</v>
      </c>
      <c r="E13" s="161">
        <v>18538.071</v>
      </c>
      <c r="F13" s="161">
        <v>10936.9</v>
      </c>
      <c r="G13" s="161">
        <v>4803.8</v>
      </c>
      <c r="H13" s="161">
        <v>8861.6</v>
      </c>
      <c r="I13" s="162">
        <f t="shared" si="0"/>
        <v>52.469605731901659</v>
      </c>
    </row>
    <row r="14" spans="2:9">
      <c r="B14" s="163"/>
      <c r="C14" s="164" t="s">
        <v>93</v>
      </c>
      <c r="D14" s="160">
        <v>8542.9985949999991</v>
      </c>
      <c r="E14" s="161">
        <v>18538.071</v>
      </c>
      <c r="F14" s="161">
        <v>10062.1</v>
      </c>
      <c r="G14" s="161">
        <v>4577.6000000000004</v>
      </c>
      <c r="H14" s="161">
        <v>8141.4</v>
      </c>
      <c r="I14" s="162">
        <f t="shared" si="0"/>
        <v>46.083535849010396</v>
      </c>
    </row>
    <row r="15" spans="2:9">
      <c r="B15" s="163"/>
      <c r="C15" s="164" t="s">
        <v>94</v>
      </c>
      <c r="D15" s="160">
        <v>7639.5428579999998</v>
      </c>
      <c r="E15" s="161">
        <v>18538.071</v>
      </c>
      <c r="F15" s="161">
        <v>9669.2000000000007</v>
      </c>
      <c r="G15" s="161">
        <v>4301.2</v>
      </c>
      <c r="H15" s="161">
        <v>8029.9</v>
      </c>
      <c r="I15" s="162">
        <f t="shared" si="0"/>
        <v>41.210020492423396</v>
      </c>
    </row>
    <row r="16" spans="2:9">
      <c r="B16" s="163"/>
      <c r="C16" s="164" t="s">
        <v>95</v>
      </c>
      <c r="D16" s="160">
        <v>7737.8927560000002</v>
      </c>
      <c r="E16" s="161">
        <v>18538.071</v>
      </c>
      <c r="F16" s="161">
        <v>11022.8</v>
      </c>
      <c r="G16" s="161">
        <v>4697.8</v>
      </c>
      <c r="H16" s="161">
        <v>8512.7999999999993</v>
      </c>
      <c r="I16" s="162">
        <f t="shared" si="0"/>
        <v>41.740549790752226</v>
      </c>
    </row>
    <row r="17" spans="2:9">
      <c r="B17" s="163">
        <v>2016</v>
      </c>
      <c r="C17" s="164" t="s">
        <v>96</v>
      </c>
      <c r="D17" s="160">
        <v>7271.9042060000002</v>
      </c>
      <c r="E17" s="161">
        <v>18538.071</v>
      </c>
      <c r="F17" s="161">
        <v>13351.2</v>
      </c>
      <c r="G17" s="161">
        <v>5303.9</v>
      </c>
      <c r="H17" s="161">
        <v>9210</v>
      </c>
      <c r="I17" s="162">
        <f t="shared" si="0"/>
        <v>39.226865653929153</v>
      </c>
    </row>
    <row r="18" spans="2:9">
      <c r="B18" s="163"/>
      <c r="C18" s="164" t="s">
        <v>97</v>
      </c>
      <c r="D18" s="160">
        <v>6352.3982489999999</v>
      </c>
      <c r="E18" s="161">
        <v>18538.071</v>
      </c>
      <c r="F18" s="161">
        <v>13008.6</v>
      </c>
      <c r="G18" s="161">
        <v>5403.4</v>
      </c>
      <c r="H18" s="161">
        <v>10035.6</v>
      </c>
      <c r="I18" s="162">
        <f t="shared" si="0"/>
        <v>34.266770523211392</v>
      </c>
    </row>
    <row r="19" spans="2:9">
      <c r="B19" s="163"/>
      <c r="C19" s="164" t="s">
        <v>89</v>
      </c>
      <c r="D19" s="160">
        <v>8201.5317109999996</v>
      </c>
      <c r="E19" s="161">
        <v>18538.071</v>
      </c>
      <c r="F19" s="161">
        <v>13281.7</v>
      </c>
      <c r="G19" s="161">
        <v>5478.9</v>
      </c>
      <c r="H19" s="161">
        <v>10426.700000000001</v>
      </c>
      <c r="I19" s="162">
        <f t="shared" si="0"/>
        <v>44.241559496670391</v>
      </c>
    </row>
    <row r="20" spans="2:9">
      <c r="B20" s="163"/>
      <c r="C20" s="164" t="s">
        <v>90</v>
      </c>
      <c r="D20" s="160">
        <v>8171.2895820000003</v>
      </c>
      <c r="E20" s="161">
        <v>18538.071</v>
      </c>
      <c r="F20" s="161">
        <v>13801.4</v>
      </c>
      <c r="G20" s="161">
        <v>5631.6</v>
      </c>
      <c r="H20" s="161">
        <v>10863.8</v>
      </c>
      <c r="I20" s="162">
        <f t="shared" si="0"/>
        <v>44.078424243816954</v>
      </c>
    </row>
    <row r="21" spans="2:9">
      <c r="B21" s="163"/>
      <c r="C21" s="164" t="s">
        <v>91</v>
      </c>
      <c r="D21" s="160">
        <v>8002.4783509999997</v>
      </c>
      <c r="E21" s="161">
        <v>18538.071</v>
      </c>
      <c r="F21" s="161">
        <v>13963.7</v>
      </c>
      <c r="G21" s="161">
        <v>6949.4</v>
      </c>
      <c r="H21" s="161">
        <v>11392.9</v>
      </c>
      <c r="I21" s="162">
        <f t="shared" si="0"/>
        <v>43.167805059113221</v>
      </c>
    </row>
    <row r="22" spans="2:9">
      <c r="B22" s="163"/>
      <c r="C22" s="164" t="s">
        <v>90</v>
      </c>
      <c r="D22" s="160">
        <v>8068.3502509999998</v>
      </c>
      <c r="E22" s="161">
        <v>18538.071</v>
      </c>
      <c r="F22" s="161">
        <v>14131.5</v>
      </c>
      <c r="G22" s="161">
        <v>6888.8</v>
      </c>
      <c r="H22" s="161">
        <v>11608.8</v>
      </c>
      <c r="I22" s="162">
        <f t="shared" si="0"/>
        <v>43.523138146358377</v>
      </c>
    </row>
    <row r="23" spans="2:9">
      <c r="B23" s="163"/>
      <c r="C23" s="164" t="s">
        <v>92</v>
      </c>
      <c r="D23" s="160">
        <v>7504.6737370000001</v>
      </c>
      <c r="E23" s="161">
        <v>18538.071</v>
      </c>
      <c r="F23" s="161">
        <v>13746.7</v>
      </c>
      <c r="G23" s="161">
        <v>6417.2</v>
      </c>
      <c r="H23" s="161">
        <v>11080.9</v>
      </c>
      <c r="I23" s="162">
        <f t="shared" si="0"/>
        <v>40.482495384767923</v>
      </c>
    </row>
    <row r="24" spans="2:9">
      <c r="B24" s="163"/>
      <c r="C24" s="164" t="s">
        <v>92</v>
      </c>
      <c r="D24" s="160">
        <v>6868.7604899999997</v>
      </c>
      <c r="E24" s="161">
        <v>18538.071</v>
      </c>
      <c r="F24" s="161">
        <v>12256.4</v>
      </c>
      <c r="G24" s="161">
        <v>5554.7</v>
      </c>
      <c r="H24" s="161">
        <v>9976.6</v>
      </c>
      <c r="I24" s="162">
        <f t="shared" si="0"/>
        <v>37.05218568857569</v>
      </c>
    </row>
    <row r="25" spans="2:9">
      <c r="B25" s="163"/>
      <c r="C25" s="164" t="s">
        <v>91</v>
      </c>
      <c r="D25" s="160">
        <v>6036.3040380000002</v>
      </c>
      <c r="E25" s="161">
        <v>18538.071</v>
      </c>
      <c r="F25" s="161">
        <v>10936.1</v>
      </c>
      <c r="G25" s="161">
        <v>4856.8999999999996</v>
      </c>
      <c r="H25" s="161">
        <v>8897.1</v>
      </c>
      <c r="I25" s="162">
        <f t="shared" si="0"/>
        <v>32.561662095263308</v>
      </c>
    </row>
    <row r="26" spans="2:9">
      <c r="B26" s="163"/>
      <c r="C26" s="165" t="s">
        <v>93</v>
      </c>
      <c r="D26" s="160">
        <v>5135.5098319999997</v>
      </c>
      <c r="E26" s="161">
        <v>18538.071</v>
      </c>
      <c r="F26" s="161">
        <v>10089.799999999999</v>
      </c>
      <c r="G26" s="161">
        <v>4619.6000000000004</v>
      </c>
      <c r="H26" s="161">
        <v>8164.3</v>
      </c>
      <c r="I26" s="162">
        <f t="shared" si="0"/>
        <v>27.702503847352833</v>
      </c>
    </row>
    <row r="27" spans="2:9">
      <c r="B27" s="163"/>
      <c r="C27" s="164" t="s">
        <v>94</v>
      </c>
      <c r="D27" s="160">
        <v>4708.038114</v>
      </c>
      <c r="E27" s="161">
        <v>18538.071</v>
      </c>
      <c r="F27" s="161">
        <v>9703.2000000000007</v>
      </c>
      <c r="G27" s="161">
        <v>4371.6000000000004</v>
      </c>
      <c r="H27" s="161">
        <v>8040.8</v>
      </c>
      <c r="I27" s="162">
        <f t="shared" si="0"/>
        <v>25.396591231094106</v>
      </c>
    </row>
    <row r="28" spans="2:9">
      <c r="B28" s="163"/>
      <c r="C28" s="164" t="s">
        <v>95</v>
      </c>
      <c r="D28" s="160">
        <v>4403.8701209999999</v>
      </c>
      <c r="E28" s="161">
        <v>18538.071</v>
      </c>
      <c r="F28" s="161">
        <v>11121.6</v>
      </c>
      <c r="G28" s="161">
        <v>4788.3</v>
      </c>
      <c r="H28" s="161">
        <v>8517.9</v>
      </c>
      <c r="I28" s="162">
        <f t="shared" si="0"/>
        <v>23.755816454689381</v>
      </c>
    </row>
    <row r="29" spans="2:9">
      <c r="B29" s="163">
        <v>2017</v>
      </c>
      <c r="C29" s="164" t="s">
        <v>96</v>
      </c>
      <c r="D29" s="160">
        <v>4883.4119860000001</v>
      </c>
      <c r="E29" s="161">
        <v>18538.071</v>
      </c>
      <c r="F29" s="161">
        <v>13517</v>
      </c>
      <c r="G29" s="161">
        <v>5336.3</v>
      </c>
      <c r="H29" s="161">
        <v>9077</v>
      </c>
      <c r="I29" s="162">
        <f t="shared" si="0"/>
        <v>26.342611299740948</v>
      </c>
    </row>
    <row r="30" spans="2:9">
      <c r="B30" s="163"/>
      <c r="C30" s="164" t="s">
        <v>97</v>
      </c>
      <c r="D30" s="160">
        <v>5398.2220399999997</v>
      </c>
      <c r="E30" s="161">
        <v>18538.071</v>
      </c>
      <c r="F30" s="161">
        <v>13015.3</v>
      </c>
      <c r="G30" s="161">
        <v>5440.7</v>
      </c>
      <c r="H30" s="161">
        <v>9768.7999999999993</v>
      </c>
      <c r="I30" s="162">
        <f t="shared" si="0"/>
        <v>29.11965349577094</v>
      </c>
    </row>
    <row r="31" spans="2:9">
      <c r="B31" s="163"/>
      <c r="C31" s="164" t="s">
        <v>89</v>
      </c>
      <c r="D31" s="160">
        <v>5616.4103269999996</v>
      </c>
      <c r="E31" s="161">
        <v>18538.071</v>
      </c>
      <c r="F31" s="161">
        <v>13247.7</v>
      </c>
      <c r="G31" s="161">
        <v>5524.0950000000003</v>
      </c>
      <c r="H31" s="161">
        <v>10246.200000000001</v>
      </c>
      <c r="I31" s="162">
        <f t="shared" si="0"/>
        <v>30.296627556340678</v>
      </c>
    </row>
    <row r="32" spans="2:9">
      <c r="B32" s="163"/>
      <c r="C32" s="164" t="s">
        <v>90</v>
      </c>
      <c r="D32" s="160">
        <v>9699.4711430000007</v>
      </c>
      <c r="E32" s="161">
        <v>18538.071</v>
      </c>
      <c r="F32" s="161">
        <v>13746</v>
      </c>
      <c r="G32" s="161">
        <v>5695.4</v>
      </c>
      <c r="H32" s="161">
        <v>10704.1</v>
      </c>
      <c r="I32" s="162">
        <f t="shared" si="0"/>
        <v>52.321900930253207</v>
      </c>
    </row>
    <row r="33" spans="2:9">
      <c r="B33" s="163"/>
      <c r="C33" s="164" t="s">
        <v>91</v>
      </c>
      <c r="D33" s="160">
        <v>11897.527652999999</v>
      </c>
      <c r="E33" s="161">
        <v>18538.071</v>
      </c>
      <c r="F33" s="161">
        <v>13908.5</v>
      </c>
      <c r="G33" s="161">
        <v>7002.3</v>
      </c>
      <c r="H33" s="161">
        <v>11260.6</v>
      </c>
      <c r="I33" s="162">
        <f t="shared" si="0"/>
        <v>64.178887075143905</v>
      </c>
    </row>
    <row r="34" spans="2:9">
      <c r="B34" s="163"/>
      <c r="C34" s="164" t="s">
        <v>90</v>
      </c>
      <c r="D34" s="160">
        <v>12095.723247</v>
      </c>
      <c r="E34" s="161">
        <v>18538.071</v>
      </c>
      <c r="F34" s="161">
        <v>14103.7</v>
      </c>
      <c r="G34" s="161">
        <v>6966.1</v>
      </c>
      <c r="H34" s="161">
        <v>11479.8</v>
      </c>
      <c r="I34" s="162">
        <f t="shared" si="0"/>
        <v>65.248014461698844</v>
      </c>
    </row>
    <row r="35" spans="2:9">
      <c r="B35" s="163"/>
      <c r="C35" s="164" t="s">
        <v>92</v>
      </c>
      <c r="D35" s="160">
        <v>11876.304858</v>
      </c>
      <c r="E35" s="161">
        <v>18538.071</v>
      </c>
      <c r="F35" s="161">
        <v>13746.7</v>
      </c>
      <c r="G35" s="161">
        <v>6477.8</v>
      </c>
      <c r="H35" s="161">
        <v>10910.4</v>
      </c>
      <c r="I35" s="162">
        <f t="shared" si="0"/>
        <v>64.064404856362884</v>
      </c>
    </row>
    <row r="36" spans="2:9">
      <c r="B36" s="163"/>
      <c r="C36" s="164" t="s">
        <v>92</v>
      </c>
      <c r="D36" s="160">
        <v>10246.502908</v>
      </c>
      <c r="E36" s="161">
        <v>18538.071</v>
      </c>
      <c r="F36" s="161">
        <v>12258.4</v>
      </c>
      <c r="G36" s="161">
        <v>5616.1</v>
      </c>
      <c r="H36" s="161">
        <v>9805.5</v>
      </c>
      <c r="I36" s="162">
        <f t="shared" si="0"/>
        <v>55.272756847246953</v>
      </c>
    </row>
    <row r="37" spans="2:9">
      <c r="B37" s="163"/>
      <c r="C37" s="164" t="s">
        <v>91</v>
      </c>
      <c r="D37" s="160">
        <v>9315.071518714738</v>
      </c>
      <c r="E37" s="161">
        <v>18538.071</v>
      </c>
      <c r="F37" s="161">
        <v>10935.4</v>
      </c>
      <c r="G37" s="161">
        <v>4910</v>
      </c>
      <c r="H37" s="161">
        <v>8722.1</v>
      </c>
      <c r="I37" s="162">
        <f t="shared" si="0"/>
        <v>50.24833230337039</v>
      </c>
    </row>
    <row r="38" spans="2:9">
      <c r="B38" s="163"/>
      <c r="C38" s="165" t="s">
        <v>93</v>
      </c>
      <c r="D38" s="160">
        <v>8192.9385726801847</v>
      </c>
      <c r="E38" s="161">
        <v>18538.071</v>
      </c>
      <c r="F38" s="161">
        <v>10117.5</v>
      </c>
      <c r="G38" s="161">
        <v>4649.6000000000004</v>
      </c>
      <c r="H38" s="161">
        <v>7980</v>
      </c>
      <c r="I38" s="162">
        <f t="shared" si="0"/>
        <v>44.195205491877687</v>
      </c>
    </row>
    <row r="39" spans="2:9">
      <c r="B39" s="156"/>
      <c r="C39" s="165" t="s">
        <v>94</v>
      </c>
      <c r="D39" s="160">
        <v>7628.6385403221575</v>
      </c>
      <c r="E39" s="161">
        <v>18538.071</v>
      </c>
      <c r="F39" s="161">
        <v>9737.2663309</v>
      </c>
      <c r="G39" s="161">
        <v>4395.4606318624037</v>
      </c>
      <c r="H39" s="161">
        <v>7851.3065504312008</v>
      </c>
      <c r="I39" s="162">
        <f t="shared" si="0"/>
        <v>41.151199282396519</v>
      </c>
    </row>
    <row r="40" spans="2:9">
      <c r="B40" s="156"/>
      <c r="C40" s="165" t="s">
        <v>95</v>
      </c>
      <c r="D40" s="160">
        <v>8008.98</v>
      </c>
      <c r="E40" s="161">
        <v>18538.071</v>
      </c>
      <c r="F40" s="161">
        <v>11146.955049999997</v>
      </c>
      <c r="G40" s="161">
        <v>4794.2765906499999</v>
      </c>
      <c r="H40" s="161">
        <v>8185.911173848619</v>
      </c>
      <c r="I40" s="162">
        <f t="shared" si="0"/>
        <v>43.20287693363565</v>
      </c>
    </row>
    <row r="41" spans="2:9">
      <c r="B41" s="156">
        <v>2018</v>
      </c>
      <c r="C41" s="165" t="s">
        <v>96</v>
      </c>
      <c r="D41" s="160">
        <v>8172.2198288975142</v>
      </c>
      <c r="E41" s="161">
        <v>18538.071</v>
      </c>
      <c r="F41" s="161">
        <v>13456.058434449991</v>
      </c>
      <c r="G41" s="161">
        <v>5331.3250531999984</v>
      </c>
      <c r="H41" s="161">
        <v>8645.3592049681756</v>
      </c>
      <c r="I41" s="162">
        <f t="shared" si="0"/>
        <v>44.083442278851528</v>
      </c>
    </row>
    <row r="42" spans="2:9">
      <c r="B42" s="156"/>
      <c r="C42" s="165" t="s">
        <v>97</v>
      </c>
      <c r="D42" s="160">
        <v>8071.161100088786</v>
      </c>
      <c r="E42" s="161">
        <v>18538.071</v>
      </c>
      <c r="F42" s="161">
        <v>13020.290870750003</v>
      </c>
      <c r="G42" s="161">
        <v>5449.8113076999989</v>
      </c>
      <c r="H42" s="161">
        <v>9388.9296029958969</v>
      </c>
      <c r="I42" s="162">
        <f t="shared" si="0"/>
        <v>43.538300722274641</v>
      </c>
    </row>
    <row r="43" spans="2:9">
      <c r="B43" s="163"/>
      <c r="C43" s="165" t="s">
        <v>89</v>
      </c>
      <c r="D43" s="160">
        <v>8866.4553178436945</v>
      </c>
      <c r="E43" s="161">
        <v>18538.071</v>
      </c>
      <c r="F43" s="161">
        <v>13213.723010049996</v>
      </c>
      <c r="G43" s="161">
        <v>5542.2838559499978</v>
      </c>
      <c r="H43" s="161">
        <v>9889.1240943879329</v>
      </c>
      <c r="I43" s="263">
        <f t="shared" si="0"/>
        <v>47.828359907801058</v>
      </c>
    </row>
    <row r="44" spans="2:9">
      <c r="B44" s="163"/>
      <c r="C44" s="165" t="s">
        <v>90</v>
      </c>
      <c r="D44" s="160">
        <v>8992.1477604144093</v>
      </c>
      <c r="E44" s="161">
        <v>18538.071</v>
      </c>
      <c r="F44" s="161">
        <v>13690.625142599998</v>
      </c>
      <c r="G44" s="161">
        <v>5759.1679040999989</v>
      </c>
      <c r="H44" s="161">
        <v>10570.14772097053</v>
      </c>
      <c r="I44" s="263">
        <f t="shared" si="0"/>
        <v>48.506383217619621</v>
      </c>
    </row>
    <row r="45" spans="2:9">
      <c r="B45" s="163"/>
      <c r="C45" s="165" t="s">
        <v>91</v>
      </c>
      <c r="D45" s="160">
        <v>9541.0680132165635</v>
      </c>
      <c r="E45" s="161">
        <v>18538.071</v>
      </c>
      <c r="F45" s="161">
        <v>13853.30312085</v>
      </c>
      <c r="G45" s="161">
        <v>7055.2102049999985</v>
      </c>
      <c r="H45" s="161">
        <v>11183.148309133439</v>
      </c>
      <c r="I45" s="263">
        <f t="shared" si="0"/>
        <v>51.467426212881392</v>
      </c>
    </row>
    <row r="46" spans="2:9">
      <c r="B46" s="163"/>
      <c r="C46" s="165" t="s">
        <v>90</v>
      </c>
      <c r="D46" s="160">
        <v>9882.0064054258182</v>
      </c>
      <c r="E46" s="161">
        <v>18538.071</v>
      </c>
      <c r="F46" s="161">
        <v>14075.916087449999</v>
      </c>
      <c r="G46" s="161">
        <v>7043.3783189999976</v>
      </c>
      <c r="H46" s="161">
        <v>11397.034267874862</v>
      </c>
      <c r="I46" s="263">
        <f t="shared" si="0"/>
        <v>53.306551719571139</v>
      </c>
    </row>
    <row r="47" spans="2:9">
      <c r="B47" s="163"/>
      <c r="C47" s="165" t="s">
        <v>92</v>
      </c>
      <c r="D47" s="160">
        <v>9327.5746473861582</v>
      </c>
      <c r="E47" s="161">
        <v>18538.071</v>
      </c>
      <c r="F47" s="161">
        <v>13746.724281450002</v>
      </c>
      <c r="G47" s="161">
        <v>6538.4545967989416</v>
      </c>
      <c r="H47" s="161">
        <v>10842.690741399472</v>
      </c>
      <c r="I47" s="263">
        <f t="shared" si="0"/>
        <v>50.31577798675039</v>
      </c>
    </row>
    <row r="48" spans="2:9">
      <c r="B48" s="163"/>
      <c r="C48" s="165" t="s">
        <v>92</v>
      </c>
      <c r="D48" s="160">
        <v>8160.8349135743274</v>
      </c>
      <c r="E48" s="161">
        <v>18538.071</v>
      </c>
      <c r="F48" s="161">
        <v>12260.387398049996</v>
      </c>
      <c r="G48" s="161">
        <v>5677.4335971347564</v>
      </c>
      <c r="H48" s="161">
        <v>9738.8161322836859</v>
      </c>
      <c r="I48" s="263">
        <f t="shared" si="0"/>
        <v>44.022028578778922</v>
      </c>
    </row>
    <row r="49" spans="2:11">
      <c r="B49" s="163"/>
      <c r="C49" s="165" t="s">
        <v>91</v>
      </c>
      <c r="D49" s="160">
        <v>7263.6708853984701</v>
      </c>
      <c r="E49" s="161">
        <v>18538.071</v>
      </c>
      <c r="F49" s="161">
        <v>10934.703078450004</v>
      </c>
      <c r="G49" s="161">
        <v>4963.102723832124</v>
      </c>
      <c r="H49" s="161">
        <v>8674.1946441437685</v>
      </c>
      <c r="I49" s="263">
        <f t="shared" si="0"/>
        <v>39.182452615476933</v>
      </c>
    </row>
    <row r="50" spans="2:11">
      <c r="B50" s="163"/>
      <c r="C50" s="165" t="s">
        <v>93</v>
      </c>
      <c r="D50" s="160">
        <v>6466.33274064748</v>
      </c>
      <c r="E50" s="161">
        <v>18538.071</v>
      </c>
      <c r="F50" s="161">
        <v>10145.245921199999</v>
      </c>
      <c r="G50" s="161">
        <v>4679.6100847773832</v>
      </c>
      <c r="H50" s="161">
        <v>7914.693031672703</v>
      </c>
      <c r="I50" s="263">
        <f t="shared" si="0"/>
        <v>34.881367865337658</v>
      </c>
    </row>
    <row r="51" spans="2:11">
      <c r="B51" s="163"/>
      <c r="C51" s="165" t="s">
        <v>94</v>
      </c>
      <c r="D51" s="160">
        <v>6358.0428308198152</v>
      </c>
      <c r="E51" s="161">
        <v>18538.071</v>
      </c>
      <c r="F51" s="161">
        <v>9771.2920444499996</v>
      </c>
      <c r="G51" s="161">
        <v>4419.3227575624023</v>
      </c>
      <c r="H51" s="161">
        <v>7790.0287429473083</v>
      </c>
      <c r="I51" s="263">
        <f t="shared" si="0"/>
        <v>34.297219116378479</v>
      </c>
    </row>
    <row r="52" spans="2:11">
      <c r="B52" s="163"/>
      <c r="C52" s="165" t="s">
        <v>95</v>
      </c>
      <c r="D52" s="160">
        <v>7808.1870513850999</v>
      </c>
      <c r="E52" s="161">
        <v>18538.071</v>
      </c>
      <c r="F52" s="161">
        <v>11172.260412899997</v>
      </c>
      <c r="G52" s="161">
        <v>4800.2412517000002</v>
      </c>
      <c r="H52" s="161">
        <v>8146.8772984649422</v>
      </c>
      <c r="I52" s="263">
        <f t="shared" si="0"/>
        <v>42.119738625367766</v>
      </c>
    </row>
    <row r="53" spans="2:11">
      <c r="B53" s="156">
        <v>2019</v>
      </c>
      <c r="C53" s="165" t="s">
        <v>96</v>
      </c>
      <c r="D53" s="160">
        <v>9451.9329261671392</v>
      </c>
      <c r="E53" s="161">
        <v>18538.071</v>
      </c>
      <c r="F53" s="161">
        <v>13395.083468899993</v>
      </c>
      <c r="G53" s="161">
        <v>5326.3089624999975</v>
      </c>
      <c r="H53" s="161">
        <v>8613.6806204130498</v>
      </c>
      <c r="I53" s="263">
        <f t="shared" ref="I53" si="1">D53/E53*100</f>
        <v>50.986604410821059</v>
      </c>
      <c r="J53" s="289">
        <f>I53-I41</f>
        <v>6.9031621319695304</v>
      </c>
      <c r="K53" s="289">
        <f>I53-I52</f>
        <v>8.8668657854532924</v>
      </c>
    </row>
    <row r="54" spans="2:11">
      <c r="B54" s="163"/>
      <c r="C54" s="164"/>
      <c r="D54" s="160"/>
      <c r="E54" s="161"/>
      <c r="F54" s="161"/>
      <c r="G54" s="161"/>
      <c r="H54" s="161"/>
      <c r="I54" s="162"/>
    </row>
    <row r="55" spans="2:11">
      <c r="B55" s="163"/>
      <c r="C55" s="164"/>
      <c r="D55" s="160"/>
      <c r="E55" s="161"/>
      <c r="F55" s="161"/>
      <c r="G55" s="161"/>
      <c r="H55" s="161"/>
      <c r="I55" s="162"/>
    </row>
    <row r="56" spans="2:11">
      <c r="B56" s="163"/>
      <c r="C56" s="164"/>
      <c r="D56" s="160"/>
      <c r="E56" s="161"/>
      <c r="F56" s="161"/>
      <c r="G56" s="161"/>
      <c r="H56" s="161"/>
      <c r="I56" s="162"/>
    </row>
    <row r="57" spans="2:11">
      <c r="B57" s="163"/>
      <c r="C57" s="164"/>
      <c r="D57" s="160"/>
      <c r="E57" s="161"/>
      <c r="F57" s="161"/>
      <c r="G57" s="161"/>
      <c r="H57" s="161"/>
      <c r="I57" s="162"/>
    </row>
    <row r="58" spans="2:11">
      <c r="B58" s="163"/>
      <c r="C58" s="164"/>
      <c r="D58" s="160"/>
      <c r="E58" s="161"/>
      <c r="F58" s="161"/>
      <c r="G58" s="161"/>
      <c r="H58" s="161"/>
      <c r="I58" s="162"/>
    </row>
    <row r="59" spans="2:11">
      <c r="B59" s="163"/>
      <c r="C59" s="165"/>
      <c r="D59" s="160"/>
      <c r="E59" s="161"/>
      <c r="F59" s="161"/>
      <c r="G59" s="161"/>
      <c r="H59" s="161"/>
      <c r="I59" s="162"/>
    </row>
    <row r="60" spans="2:11">
      <c r="B60" s="163"/>
      <c r="C60" s="164"/>
      <c r="D60" s="160"/>
      <c r="E60" s="161"/>
      <c r="F60" s="161"/>
      <c r="G60" s="161"/>
      <c r="H60" s="161"/>
      <c r="I60" s="162"/>
    </row>
    <row r="61" spans="2:11">
      <c r="B61" s="163"/>
      <c r="C61" s="164"/>
      <c r="D61" s="161"/>
      <c r="E61" s="161"/>
      <c r="F61" s="161"/>
      <c r="G61" s="161"/>
      <c r="H61" s="161"/>
      <c r="I61" s="162"/>
    </row>
    <row r="62" spans="2:11">
      <c r="B62" s="163"/>
      <c r="C62" s="164"/>
      <c r="D62" s="161"/>
      <c r="E62" s="161"/>
      <c r="F62" s="161"/>
      <c r="G62" s="161"/>
      <c r="H62" s="161"/>
      <c r="I62" s="162"/>
    </row>
    <row r="63" spans="2:11">
      <c r="B63" s="163"/>
      <c r="C63" s="164"/>
      <c r="D63" s="161"/>
      <c r="E63" s="161"/>
      <c r="F63" s="161"/>
      <c r="G63" s="161"/>
      <c r="H63" s="161"/>
      <c r="I63" s="162"/>
    </row>
    <row r="64" spans="2:11">
      <c r="B64" s="163"/>
      <c r="C64" s="164"/>
      <c r="D64" s="161"/>
      <c r="E64" s="161"/>
      <c r="F64" s="161"/>
      <c r="G64" s="161"/>
      <c r="H64" s="161"/>
      <c r="I64" s="162"/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71" t="s">
        <v>632</v>
      </c>
      <c r="C67" s="272"/>
      <c r="D67" s="272"/>
      <c r="E67" s="272"/>
      <c r="F67" s="272"/>
      <c r="G67" s="120"/>
      <c r="H67" s="120"/>
      <c r="I67" s="121"/>
      <c r="J67" s="121"/>
    </row>
    <row r="68" spans="2:11">
      <c r="B68" s="122"/>
      <c r="C68" s="330" t="s">
        <v>53</v>
      </c>
      <c r="D68" s="330" t="s">
        <v>53</v>
      </c>
      <c r="E68" s="122"/>
      <c r="F68" s="330" t="s">
        <v>42</v>
      </c>
      <c r="G68" s="330"/>
      <c r="H68" s="330" t="s">
        <v>43</v>
      </c>
      <c r="I68" s="330"/>
      <c r="J68" s="330" t="s">
        <v>44</v>
      </c>
      <c r="K68" s="330"/>
    </row>
    <row r="69" spans="2:11">
      <c r="B69" s="123"/>
      <c r="C69" s="124" t="s">
        <v>42</v>
      </c>
      <c r="D69" s="124" t="s">
        <v>43</v>
      </c>
      <c r="E69" s="124" t="s">
        <v>81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3">
        <v>5204.4719067636097</v>
      </c>
      <c r="F70" s="274">
        <f>G70/C70</f>
        <v>0.80168972121999527</v>
      </c>
      <c r="G70" s="273">
        <v>2041.7578124180661</v>
      </c>
      <c r="H70" s="274">
        <f t="shared" ref="H70:H76" si="2">I70/D70</f>
        <v>1.0000000000000018</v>
      </c>
      <c r="I70" s="273">
        <v>909.47600000000159</v>
      </c>
      <c r="J70" s="152">
        <f>K70/SUM(C70:D70)</f>
        <v>0.85387233042619282</v>
      </c>
      <c r="K70" s="127">
        <f t="shared" ref="K70:K75" si="3">SUM(G70,I70)</f>
        <v>2951.2338124180678</v>
      </c>
    </row>
    <row r="71" spans="2:11">
      <c r="B71" s="126" t="s">
        <v>47</v>
      </c>
      <c r="C71" s="127">
        <v>1681</v>
      </c>
      <c r="D71" s="127">
        <v>3120.6</v>
      </c>
      <c r="E71" s="273">
        <v>3968.2132952293318</v>
      </c>
      <c r="F71" s="274">
        <f>G71/C71</f>
        <v>0.82984154004764465</v>
      </c>
      <c r="G71" s="273">
        <v>1394.9636288200907</v>
      </c>
      <c r="H71" s="274">
        <f t="shared" si="2"/>
        <v>0.40860120587350607</v>
      </c>
      <c r="I71" s="273">
        <v>1275.080923048863</v>
      </c>
      <c r="J71" s="152">
        <f t="shared" ref="J71:J76" si="4">K71/SUM(C71:D71)</f>
        <v>0.55607392366481045</v>
      </c>
      <c r="K71" s="127">
        <f t="shared" si="3"/>
        <v>2670.0445518689539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3">
        <v>3618.5651686053225</v>
      </c>
      <c r="F72" s="274">
        <f>G72/C72</f>
        <v>0.32355974822348033</v>
      </c>
      <c r="G72" s="273">
        <v>784.60747534132656</v>
      </c>
      <c r="H72" s="274">
        <f t="shared" si="2"/>
        <v>0.22193007486678126</v>
      </c>
      <c r="I72" s="273">
        <v>841.53043684525153</v>
      </c>
      <c r="J72" s="152">
        <f t="shared" si="4"/>
        <v>0.26157174431303881</v>
      </c>
      <c r="K72" s="127">
        <f t="shared" si="3"/>
        <v>1626.137912186578</v>
      </c>
    </row>
    <row r="73" spans="2:11">
      <c r="B73" s="126" t="s">
        <v>49</v>
      </c>
      <c r="C73" s="127"/>
      <c r="D73" s="127">
        <v>835.14400000000001</v>
      </c>
      <c r="E73" s="273">
        <v>241.15919611927043</v>
      </c>
      <c r="F73" s="274" t="s">
        <v>18</v>
      </c>
      <c r="G73" s="273" t="s">
        <v>18</v>
      </c>
      <c r="H73" s="274">
        <f t="shared" si="2"/>
        <v>0.23107837966434891</v>
      </c>
      <c r="I73" s="273">
        <v>192.983722306403</v>
      </c>
      <c r="J73" s="152">
        <f t="shared" si="4"/>
        <v>0.23107837966434891</v>
      </c>
      <c r="K73" s="127">
        <f t="shared" si="3"/>
        <v>192.983722306403</v>
      </c>
    </row>
    <row r="74" spans="2:11">
      <c r="B74" s="126" t="s">
        <v>50</v>
      </c>
      <c r="C74" s="127">
        <v>180.3</v>
      </c>
      <c r="D74" s="127">
        <v>669.1</v>
      </c>
      <c r="E74" s="273">
        <v>569.24482711132248</v>
      </c>
      <c r="F74" s="274">
        <f>G74/C74</f>
        <v>0.77177097002200767</v>
      </c>
      <c r="G74" s="273">
        <v>139.150305894968</v>
      </c>
      <c r="H74" s="274">
        <f t="shared" si="2"/>
        <v>0.37433156104712195</v>
      </c>
      <c r="I74" s="273">
        <v>250.4652474966293</v>
      </c>
      <c r="J74" s="152">
        <f t="shared" si="4"/>
        <v>0.45869502400706058</v>
      </c>
      <c r="K74" s="127">
        <f t="shared" si="3"/>
        <v>389.6155533915973</v>
      </c>
    </row>
    <row r="75" spans="2:11">
      <c r="B75" s="126" t="s">
        <v>51</v>
      </c>
      <c r="C75" s="127">
        <v>2133.8380000000002</v>
      </c>
      <c r="D75" s="127">
        <v>245</v>
      </c>
      <c r="E75" s="273">
        <v>3445.1482361711401</v>
      </c>
      <c r="F75" s="274">
        <f>G75/C75</f>
        <v>0.71928825350915848</v>
      </c>
      <c r="G75" s="273">
        <v>1534.8446082914759</v>
      </c>
      <c r="H75" s="274">
        <f t="shared" si="2"/>
        <v>0.35539904369004194</v>
      </c>
      <c r="I75" s="273">
        <v>87.072765704060274</v>
      </c>
      <c r="J75" s="152">
        <f t="shared" si="4"/>
        <v>0.68181077231637288</v>
      </c>
      <c r="K75" s="127">
        <f t="shared" si="3"/>
        <v>1621.9173739955361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6">
        <f>G76/C76+0.0001</f>
        <v>0.65755549045168638</v>
      </c>
      <c r="G76" s="275">
        <f>SUM(G70:G75)</f>
        <v>5895.3238307659276</v>
      </c>
      <c r="H76" s="276">
        <f t="shared" si="2"/>
        <v>0.37159520939515245</v>
      </c>
      <c r="I76" s="275">
        <f>SUM(I70:I75)</f>
        <v>3556.6090954012084</v>
      </c>
      <c r="J76" s="153">
        <f t="shared" si="4"/>
        <v>0.50986604410821024</v>
      </c>
      <c r="K76" s="128">
        <f>SUM(K70:K75)</f>
        <v>9451.9329261671355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49"/>
  <sheetViews>
    <sheetView showGridLines="0" showRowColHeaders="0" showOutlineSymbols="0" zoomScale="90" zoomScaleNormal="90" workbookViewId="0">
      <selection activeCell="M19" sqref="M19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8.14062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Diciembre 2019</v>
      </c>
    </row>
    <row r="4" spans="1:19" s="7" customFormat="1" ht="20.25" customHeight="1">
      <c r="B4" s="8"/>
      <c r="C4" s="102" t="s">
        <v>68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4" t="s">
        <v>63</v>
      </c>
      <c r="D7" s="12"/>
      <c r="E7" s="13"/>
      <c r="F7" s="305" t="str">
        <f>K3</f>
        <v>Diciembre 2019</v>
      </c>
      <c r="G7" s="306"/>
      <c r="H7" s="307" t="s">
        <v>64</v>
      </c>
      <c r="I7" s="307"/>
      <c r="J7" s="307" t="s">
        <v>72</v>
      </c>
      <c r="K7" s="307"/>
      <c r="L7" s="9"/>
    </row>
    <row r="8" spans="1:19" ht="12.75" customHeight="1">
      <c r="A8" s="7"/>
      <c r="B8" s="8"/>
      <c r="C8" s="304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4626.2222297759999</v>
      </c>
      <c r="G9" s="92">
        <f>VLOOKUP("Hidráulica",Dat_01!$A$8:$J$29,4,FALSE)*100</f>
        <v>86.058903799999996</v>
      </c>
      <c r="H9" s="91">
        <f>VLOOKUP("Hidráulica",Dat_01!$A$8:$J$29,5,FALSE)/1000</f>
        <v>24691.660856512</v>
      </c>
      <c r="I9" s="92">
        <f>VLOOKUP("Hidráulica",Dat_01!$A$8:$J$29,7,FALSE)*100</f>
        <v>-27.620077539999997</v>
      </c>
      <c r="J9" s="91">
        <f>VLOOKUP("Hidráulica",Dat_01!$A$8:$J$29,8,FALSE)/1000</f>
        <v>24691.660856512</v>
      </c>
      <c r="K9" s="92">
        <f>VLOOKUP("Hidráulica",Dat_01!$A$8:$J$29,10,FALSE)*100</f>
        <v>-27.620077539999997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5394.242784</v>
      </c>
      <c r="G10" s="92">
        <f>VLOOKUP("Eólica",Dat_01!$A$8:$J$29,4,FALSE)*100</f>
        <v>24.894677100000003</v>
      </c>
      <c r="H10" s="91">
        <f>VLOOKUP("Eólica",Dat_01!$A$8:$J$29,5,FALSE)/1000</f>
        <v>53067.815395999998</v>
      </c>
      <c r="I10" s="92">
        <f>VLOOKUP("Eólica",Dat_01!$A$8:$J$29,7,FALSE)*100</f>
        <v>8.3996593700000002</v>
      </c>
      <c r="J10" s="91">
        <f>VLOOKUP("Eólica",Dat_01!$A$8:$J$29,8,FALSE)/1000</f>
        <v>53067.815395999998</v>
      </c>
      <c r="K10" s="92">
        <f>VLOOKUP("Eólica",Dat_01!$A$8:$J$29,10,FALSE)*100</f>
        <v>8.3996593700000002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487.55590599999999</v>
      </c>
      <c r="G11" s="92">
        <f>VLOOKUP("Solar fotovoltaica",Dat_01!$A$8:$J$29,4,FALSE)*100</f>
        <v>20.463845540000001</v>
      </c>
      <c r="H11" s="91">
        <f>VLOOKUP("Solar fotovoltaica",Dat_01!$A$8:$J$29,5,FALSE)/1000</f>
        <v>8823.7721339999989</v>
      </c>
      <c r="I11" s="92">
        <f>VLOOKUP("Solar fotovoltaica",Dat_01!$A$8:$J$29,7,FALSE)*100</f>
        <v>19.55443734</v>
      </c>
      <c r="J11" s="91">
        <f>VLOOKUP("Solar fotovoltaica",Dat_01!$A$8:$J$29,8,FALSE)/1000</f>
        <v>8823.7721339999989</v>
      </c>
      <c r="K11" s="92">
        <f>VLOOKUP("Solar fotovoltaica",Dat_01!$A$8:$J$29,10,FALSE)*100</f>
        <v>19.55443734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68.978293000000008</v>
      </c>
      <c r="G12" s="92">
        <f>VLOOKUP("Solar térmica",Dat_01!$A$8:$J$29,4,FALSE)*100</f>
        <v>-37.049169679999999</v>
      </c>
      <c r="H12" s="91">
        <f>VLOOKUP("Solar térmica",Dat_01!$A$8:$J$29,5,FALSE)/1000</f>
        <v>5166.4312630000004</v>
      </c>
      <c r="I12" s="92">
        <f>VLOOKUP("Solar térmica",Dat_01!$A$8:$J$29,7,FALSE)*100</f>
        <v>16.77327747</v>
      </c>
      <c r="J12" s="91">
        <f>VLOOKUP("Solar térmica",Dat_01!$A$8:$J$29,8,FALSE)/1000</f>
        <v>5166.4312630000004</v>
      </c>
      <c r="K12" s="92">
        <f>VLOOKUP("Solar térmica",Dat_01!$A$8:$J$29,10,FALSE)*100</f>
        <v>16.77327747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583</v>
      </c>
      <c r="F13" s="91">
        <f>VLOOKUP("Otras renovables",Dat_01!$A$8:$J$29,2,FALSE)/1000</f>
        <v>299.682208</v>
      </c>
      <c r="G13" s="92">
        <f>VLOOKUP("Otras renovables",Dat_01!$A$8:$J$29,4,FALSE)*100</f>
        <v>8.9008690000000001E-2</v>
      </c>
      <c r="H13" s="91">
        <f>VLOOKUP("Otras renovables",Dat_01!$A$8:$J$29,5,FALSE)/1000</f>
        <v>3605.3266919999996</v>
      </c>
      <c r="I13" s="92">
        <f>VLOOKUP("Otras renovables",Dat_01!$A$8:$J$29,7,FALSE)*100</f>
        <v>1.6393827600000002</v>
      </c>
      <c r="J13" s="91">
        <f>VLOOKUP("Otras renovables",Dat_01!$A$8:$J$29,8,FALSE)/1000</f>
        <v>3605.3266919999996</v>
      </c>
      <c r="K13" s="92">
        <f>VLOOKUP("Otras renovables",Dat_01!$A$8:$J$29,10,FALSE)*100</f>
        <v>1.6393827600000002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83</v>
      </c>
      <c r="F14" s="91">
        <f>VLOOKUP("Residuos renovables",Dat_01!$A$8:$J$29,2,FALSE)/1000</f>
        <v>65.337529000000004</v>
      </c>
      <c r="G14" s="92">
        <f>VLOOKUP("Residuos renovables",Dat_01!$A$8:$J$29,4,FALSE)*100</f>
        <v>-6.5443178599999996</v>
      </c>
      <c r="H14" s="91">
        <f>VLOOKUP("Residuos renovables",Dat_01!$A$8:$J$29,5,FALSE)/1000</f>
        <v>738.95349049999993</v>
      </c>
      <c r="I14" s="92">
        <f>VLOOKUP("Residuos renovables",Dat_01!$A$8:$J$29,7,FALSE)*100</f>
        <v>0.81624399000000003</v>
      </c>
      <c r="J14" s="91">
        <f>VLOOKUP("Residuos renovables",Dat_01!$A$8:$J$29,8,FALSE)/1000</f>
        <v>738.95349049999993</v>
      </c>
      <c r="K14" s="92">
        <f>VLOOKUP("Residuos renovables",Dat_01!$A$8:$J$29,10,FALSE)*100</f>
        <v>0.81624399000000003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581</v>
      </c>
      <c r="F15" s="94">
        <f>SUM(F9:F14)</f>
        <v>10942.018949776</v>
      </c>
      <c r="G15" s="95">
        <f>((SUM(Dat_01!B8,Dat_01!B14:B17,Dat_01!B19)/SUM(Dat_01!C8,Dat_01!C14:C17,Dat_01!C19))-1)*100</f>
        <v>42.305628981362055</v>
      </c>
      <c r="H15" s="94">
        <f>SUM(H9:H14)</f>
        <v>96093.959832012013</v>
      </c>
      <c r="I15" s="95">
        <f>((SUM(Dat_01!E8,Dat_01!E14:E17,Dat_01!E19)/SUM(Dat_01!F8,Dat_01!F14:F17,Dat_01!F19))-1)*100</f>
        <v>-3.0868206174372359</v>
      </c>
      <c r="J15" s="94">
        <f>SUM(J9:J14)</f>
        <v>96093.959832012013</v>
      </c>
      <c r="K15" s="95">
        <f>((SUM(Dat_01!H8,Dat_01!H14:H17,Dat_01!H19)/SUM(Dat_01!I8,Dat_01!I14:I17,Dat_01!I19))-1)*100</f>
        <v>-3.0868206174372359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585</v>
      </c>
      <c r="F16" s="91">
        <f>VLOOKUP("Turbinación bombeo",Dat_01!$A$8:$J$29,2,FALSE)/1000</f>
        <v>318.75078227400002</v>
      </c>
      <c r="G16" s="92">
        <f>VLOOKUP("Turbinación bombeo",Dat_01!$A$8:$J$29,4,FALSE)*100</f>
        <v>140.60555434</v>
      </c>
      <c r="H16" s="91">
        <f>VLOOKUP("Turbinación bombeo",Dat_01!$A$8:$J$29,5,FALSE)/1000</f>
        <v>1642.3149513419999</v>
      </c>
      <c r="I16" s="92">
        <f>VLOOKUP("Turbinación bombeo",Dat_01!$A$8:$J$29,7,FALSE)*100</f>
        <v>-17.636999060000001</v>
      </c>
      <c r="J16" s="91">
        <f>VLOOKUP("Turbinación bombeo",Dat_01!$A$8:$J$29,8,FALSE)/1000</f>
        <v>1642.3149513419999</v>
      </c>
      <c r="K16" s="92">
        <f>VLOOKUP("Turbinación bombeo",Dat_01!$A$8:$J$29,10,FALSE)*100</f>
        <v>-17.636999060000001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4350.070831</v>
      </c>
      <c r="G17" s="92">
        <f>VLOOKUP("Nuclear",Dat_01!$A$8:$J$29,4,FALSE)*100</f>
        <v>1.47687638</v>
      </c>
      <c r="H17" s="91">
        <f>VLOOKUP("Nuclear",Dat_01!$A$8:$J$29,5,FALSE)/1000</f>
        <v>55824.407393000001</v>
      </c>
      <c r="I17" s="92">
        <f>VLOOKUP("Nuclear",Dat_01!$A$8:$J$29,7,FALSE)*100</f>
        <v>4.9377962599999998</v>
      </c>
      <c r="J17" s="91">
        <f>VLOOKUP("Nuclear",Dat_01!$A$8:$J$29,8,FALSE)/1000</f>
        <v>55824.407393000001</v>
      </c>
      <c r="K17" s="92">
        <f>VLOOKUP("Nuclear",Dat_01!$A$8:$J$29,10,FALSE)*100</f>
        <v>4.9377962599999998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587</v>
      </c>
      <c r="F18" s="91">
        <f>VLOOKUP("Ciclo combinado",Dat_01!$A$8:$J$29,2,FALSE)/1000</f>
        <v>2755.641838</v>
      </c>
      <c r="G18" s="92">
        <f>VLOOKUP("Ciclo combinado",Dat_01!$A$8:$J$29,4,FALSE)*100</f>
        <v>-4.8693175800000006</v>
      </c>
      <c r="H18" s="91">
        <f>VLOOKUP("Ciclo combinado",Dat_01!$A$8:$J$29,5,FALSE)/1000</f>
        <v>51140.356400999997</v>
      </c>
      <c r="I18" s="92">
        <f>VLOOKUP("Ciclo combinado",Dat_01!$A$8:$J$29,7,FALSE)*100</f>
        <v>93.692025189999995</v>
      </c>
      <c r="J18" s="91">
        <f>VLOOKUP("Ciclo combinado",Dat_01!$A$8:$J$29,8,FALSE)/1000</f>
        <v>51140.356400999997</v>
      </c>
      <c r="K18" s="92">
        <f>VLOOKUP("Ciclo combinado",Dat_01!$A$8:$J$29,10,FALSE)*100</f>
        <v>93.692025189999995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374.11575099999999</v>
      </c>
      <c r="G19" s="92">
        <f>VLOOKUP("Carbón",Dat_01!$A$8:$J$29,4,FALSE)*100</f>
        <v>-86.851033819999998</v>
      </c>
      <c r="H19" s="91">
        <f>VLOOKUP("Carbón",Dat_01!$A$8:$J$29,5,FALSE)/1000</f>
        <v>10672.816887999999</v>
      </c>
      <c r="I19" s="92">
        <f>VLOOKUP("Carbón",Dat_01!$A$8:$J$29,7,FALSE)*100</f>
        <v>-69.402235469999994</v>
      </c>
      <c r="J19" s="91">
        <f>VLOOKUP("Carbón",Dat_01!$A$8:$J$29,8,FALSE)/1000</f>
        <v>10672.816887999999</v>
      </c>
      <c r="K19" s="92">
        <f>VLOOKUP("Carbón",Dat_01!$A$8:$J$29,10,FALSE)*100</f>
        <v>-69.402235469999994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65.337529000000004</v>
      </c>
      <c r="D20" s="12"/>
      <c r="E20" s="90" t="s">
        <v>9</v>
      </c>
      <c r="F20" s="91">
        <f>VLOOKUP("Cogeneración",Dat_01!$A$8:$J$29,2,FALSE)/1000</f>
        <v>2334.6439070000001</v>
      </c>
      <c r="G20" s="92">
        <f>VLOOKUP("Cogeneración",Dat_01!$A$8:$J$29,4,FALSE)*100</f>
        <v>-7.7194444500000001</v>
      </c>
      <c r="H20" s="91">
        <f>VLOOKUP("Cogeneración",Dat_01!$A$8:$J$29,5,FALSE)/1000</f>
        <v>29556.26728</v>
      </c>
      <c r="I20" s="92">
        <f>VLOOKUP("Cogeneración",Dat_01!$A$8:$J$29,7,FALSE)*100</f>
        <v>2.01742672</v>
      </c>
      <c r="J20" s="91">
        <f>VLOOKUP("Cogeneración",Dat_01!$A$8:$J$29,8,FALSE)/1000</f>
        <v>29556.26728</v>
      </c>
      <c r="K20" s="92">
        <f>VLOOKUP("Cogeneración",Dat_01!$A$8:$J$29,10,FALSE)*100</f>
        <v>2.01742672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71</v>
      </c>
      <c r="F21" s="91">
        <f>VLOOKUP("Residuos no renovables",Dat_01!$A$8:$J$29,2,FALSE)/1000</f>
        <v>160.99247</v>
      </c>
      <c r="G21" s="92">
        <f>VLOOKUP("Residuos no renovables",Dat_01!$A$8:$J$29,4,FALSE)*100</f>
        <v>-15.60506281</v>
      </c>
      <c r="H21" s="91">
        <f>VLOOKUP("Residuos no renovables",Dat_01!$A$8:$J$29,5,FALSE)/1000</f>
        <v>2071.6308595</v>
      </c>
      <c r="I21" s="92">
        <f>VLOOKUP("Residuos no renovables",Dat_01!$A$8:$J$29,7,FALSE)*100</f>
        <v>-9.6879285199999998</v>
      </c>
      <c r="J21" s="91">
        <f>VLOOKUP("Residuos no renovables",Dat_01!$A$8:$J$29,8,FALSE)/1000</f>
        <v>2071.6308595</v>
      </c>
      <c r="K21" s="92">
        <f>VLOOKUP("Residuos no renovables",Dat_01!$A$8:$J$29,10,FALSE)*100</f>
        <v>-9.6879285199999998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582</v>
      </c>
      <c r="F22" s="94">
        <f>SUM(F16:F21)</f>
        <v>10294.215579274</v>
      </c>
      <c r="G22" s="95">
        <f>((SUM(Dat_01!B9:B13,Dat_01!B18,Dat_01!B20)/SUM(Dat_01!C9:C13,Dat_01!C18,Dat_01!C20))-1)*100</f>
        <v>-20.087398685656556</v>
      </c>
      <c r="H22" s="94">
        <f>SUM(H16:H21)</f>
        <v>150907.79377284201</v>
      </c>
      <c r="I22" s="95">
        <f>((SUM(Dat_01!E9:E13,Dat_01!E18,Dat_01!E20)/SUM(Dat_01!F9:F13,Dat_01!F18,Dat_01!F20))-1)*100</f>
        <v>2.143329836410901</v>
      </c>
      <c r="J22" s="94">
        <f>SUM(J16:J21)</f>
        <v>150907.79377284201</v>
      </c>
      <c r="K22" s="95">
        <f>((SUM(Dat_01!H9:H13,Dat_01!H18,Dat_01!H20)/SUM(Dat_01!I9:I13,Dat_01!I18,Dat_01!I20))-1)*100</f>
        <v>2.143329836410901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-700.75410199999999</v>
      </c>
      <c r="G23" s="92">
        <f>VLOOKUP("Consumo de bombeo",Dat_01!$A$8:$J$29,4,FALSE)*100</f>
        <v>214.13450667000001</v>
      </c>
      <c r="H23" s="91">
        <f>VLOOKUP("Consumo de bombeo",Dat_01!$A$8:$J$29,5,FALSE)/1000</f>
        <v>-3024.9688152459998</v>
      </c>
      <c r="I23" s="92">
        <f>VLOOKUP("Consumo de bombeo",Dat_01!$A$8:$J$29,7,FALSE)*100</f>
        <v>-5.4233931899999996</v>
      </c>
      <c r="J23" s="91">
        <f>VLOOKUP("Consumo de bombeo",Dat_01!$A$8:$J$29,8,FALSE)/1000</f>
        <v>-3024.9688152459998</v>
      </c>
      <c r="K23" s="92">
        <f>VLOOKUP("Consumo de bombeo",Dat_01!$A$8:$J$29,10,FALSE)*100</f>
        <v>-5.4233931899999996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76</v>
      </c>
      <c r="F24" s="91">
        <f>VLOOKUP("Enlace Península-Baleares",Dat_01!$A$8:$J$29,2,FALSE)/1000</f>
        <v>-119.614278</v>
      </c>
      <c r="G24" s="92">
        <f>VLOOKUP("Enlace Península-Baleares",Dat_01!$A$8:$J$29,4,FALSE)*100</f>
        <v>6.2525511199999997</v>
      </c>
      <c r="H24" s="91">
        <f>VLOOKUP("Enlace Península-Baleares",Dat_01!$A$8:$J$29,5,FALSE)/1000</f>
        <v>-1694.8405220000002</v>
      </c>
      <c r="I24" s="92">
        <f>VLOOKUP("Enlace Península-Baleares",Dat_01!$A$8:$J$29,7,FALSE)*100</f>
        <v>37.41673763</v>
      </c>
      <c r="J24" s="91">
        <f>VLOOKUP("Enlace Península-Baleares",Dat_01!$A$8:$J$29,8,FALSE)/1000</f>
        <v>-1694.8405220000002</v>
      </c>
      <c r="K24" s="92">
        <f>VLOOKUP("Enlace Península-Baleares",Dat_01!$A$8:$J$29,10,FALSE)*100</f>
        <v>37.41673763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77</v>
      </c>
      <c r="F25" s="97">
        <f>VLOOKUP("Saldos intercambios internacionales",Dat_01!$A$8:$J$29,2,FALSE)/1000</f>
        <v>448.80726199999998</v>
      </c>
      <c r="G25" s="98">
        <f>VLOOKUP("Saldos intercambios internacionales",Dat_01!$A$8:$J$29,4,FALSE)*100</f>
        <v>-52.213165130000007</v>
      </c>
      <c r="H25" s="97">
        <f>VLOOKUP("Saldos intercambios internacionales",Dat_01!$A$8:$J$29,5,FALSE)/1000</f>
        <v>6862.325049</v>
      </c>
      <c r="I25" s="98">
        <f>VLOOKUP("Saldos intercambios internacionales",Dat_01!$A$8:$J$29,7,FALSE)*100</f>
        <v>-38.190121329999997</v>
      </c>
      <c r="J25" s="97">
        <f>VLOOKUP("Saldos intercambios internacionales",Dat_01!$A$8:$J$29,8,FALSE)/1000</f>
        <v>6862.325049</v>
      </c>
      <c r="K25" s="98">
        <f>VLOOKUP("Saldos intercambios internacionales",Dat_01!$A$8:$J$29,10,FALSE)*100</f>
        <v>-38.190121329999997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20864.67341105</v>
      </c>
      <c r="G26" s="101">
        <f>VLOOKUP("Demanda transporte (b.c.)",Dat_01!$A$8:$J$29,4,FALSE)*100</f>
        <v>-1.46309665</v>
      </c>
      <c r="H26" s="100">
        <f>VLOOKUP("Demanda transporte (b.c.)",Dat_01!$A$8:$J$29,5,FALSE)/1000</f>
        <v>249144.26931560799</v>
      </c>
      <c r="I26" s="101">
        <f>VLOOKUP("Demanda transporte (b.c.)",Dat_01!$A$8:$J$29,7,FALSE)*100</f>
        <v>-1.7439812200000002</v>
      </c>
      <c r="J26" s="100">
        <f>VLOOKUP("Demanda transporte (b.c.)",Dat_01!$A$8:$J$29,8,FALSE)/1000</f>
        <v>249144.26931560799</v>
      </c>
      <c r="K26" s="101">
        <f>VLOOKUP("Demanda transporte (b.c.)",Dat_01!$A$8:$J$29,10,FALSE)*100</f>
        <v>-1.7439812200000002</v>
      </c>
      <c r="L26" s="19"/>
    </row>
    <row r="27" spans="1:19" ht="16.899999999999999" customHeight="1">
      <c r="E27" s="310" t="s">
        <v>84</v>
      </c>
      <c r="F27" s="310"/>
      <c r="G27" s="310"/>
      <c r="H27" s="310"/>
      <c r="I27" s="310"/>
      <c r="J27" s="310"/>
      <c r="K27" s="310"/>
      <c r="L27" s="16"/>
      <c r="M27" s="309"/>
      <c r="N27" s="309"/>
      <c r="O27" s="309"/>
      <c r="P27" s="309"/>
      <c r="Q27" s="309"/>
      <c r="R27" s="309"/>
      <c r="S27" s="309"/>
    </row>
    <row r="28" spans="1:19" ht="12.75" customHeight="1">
      <c r="E28" s="309" t="s">
        <v>54</v>
      </c>
      <c r="F28" s="309"/>
      <c r="G28" s="309"/>
      <c r="H28" s="309"/>
      <c r="I28" s="309"/>
      <c r="J28" s="309"/>
      <c r="K28" s="309"/>
      <c r="L28" s="16"/>
    </row>
    <row r="29" spans="1:19" ht="12.75" customHeight="1">
      <c r="E29" s="309" t="s">
        <v>73</v>
      </c>
      <c r="F29" s="309"/>
      <c r="G29" s="309"/>
      <c r="H29" s="309"/>
      <c r="I29" s="309"/>
      <c r="J29" s="309"/>
      <c r="K29" s="309"/>
      <c r="L29" s="16"/>
    </row>
    <row r="30" spans="1:19" ht="12.75" customHeight="1">
      <c r="E30" s="309" t="s">
        <v>584</v>
      </c>
      <c r="F30" s="309"/>
      <c r="G30" s="309"/>
      <c r="H30" s="309"/>
      <c r="I30" s="309"/>
      <c r="J30" s="309"/>
      <c r="K30" s="309"/>
      <c r="L30" s="16"/>
    </row>
    <row r="31" spans="1:19" ht="12.75" customHeight="1">
      <c r="E31" s="308" t="s">
        <v>586</v>
      </c>
      <c r="F31" s="308"/>
      <c r="G31" s="308"/>
      <c r="H31" s="308"/>
      <c r="I31" s="308"/>
      <c r="J31" s="308"/>
      <c r="K31" s="308"/>
      <c r="L31" s="16"/>
    </row>
    <row r="32" spans="1:19" ht="12.75" customHeight="1">
      <c r="E32" s="309" t="s">
        <v>588</v>
      </c>
      <c r="F32" s="309"/>
      <c r="G32" s="309"/>
      <c r="H32" s="309"/>
      <c r="I32" s="309"/>
      <c r="J32" s="309"/>
      <c r="K32" s="309"/>
      <c r="L32" s="16"/>
    </row>
    <row r="33" spans="5:11" ht="15" customHeight="1">
      <c r="E33" s="308" t="s">
        <v>75</v>
      </c>
      <c r="F33" s="308"/>
      <c r="G33" s="308"/>
      <c r="H33" s="308"/>
      <c r="I33" s="308"/>
      <c r="J33" s="308"/>
      <c r="K33" s="308"/>
    </row>
    <row r="34" spans="5:11" ht="24" customHeight="1">
      <c r="E34" s="308" t="s">
        <v>80</v>
      </c>
      <c r="F34" s="308"/>
      <c r="G34" s="308"/>
      <c r="H34" s="308"/>
      <c r="I34" s="308"/>
      <c r="J34" s="308"/>
      <c r="K34" s="308"/>
    </row>
    <row r="35" spans="5:11">
      <c r="F35" s="284"/>
      <c r="G35" s="284"/>
      <c r="H35" s="284"/>
      <c r="I35" s="284"/>
      <c r="J35" s="284"/>
      <c r="K35" s="284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3">
    <mergeCell ref="M27:S27"/>
    <mergeCell ref="E33:K33"/>
    <mergeCell ref="E28:K28"/>
    <mergeCell ref="E29:K29"/>
    <mergeCell ref="E30:K30"/>
    <mergeCell ref="E31:K31"/>
    <mergeCell ref="E27:K27"/>
    <mergeCell ref="E32:K32"/>
    <mergeCell ref="C7:C8"/>
    <mergeCell ref="F7:G7"/>
    <mergeCell ref="H7:I7"/>
    <mergeCell ref="J7:K7"/>
    <mergeCell ref="E34:K3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Diciembre 2019</v>
      </c>
    </row>
    <row r="4" spans="2:7" s="29" customFormat="1" ht="20.25" customHeight="1">
      <c r="B4" s="28"/>
      <c r="C4" s="102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11" t="s">
        <v>58</v>
      </c>
      <c r="D7" s="32"/>
      <c r="E7" s="39"/>
    </row>
    <row r="8" spans="2:7" s="29" customFormat="1" ht="12.75" customHeight="1">
      <c r="B8" s="28"/>
      <c r="C8" s="311"/>
      <c r="D8" s="32"/>
      <c r="E8" s="39"/>
      <c r="F8" s="33"/>
    </row>
    <row r="9" spans="2:7" s="29" customFormat="1" ht="12.75" customHeight="1">
      <c r="B9" s="28"/>
      <c r="C9" s="300"/>
      <c r="D9" s="32"/>
      <c r="E9" s="39"/>
      <c r="F9" s="268"/>
      <c r="G9" s="269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1" t="s">
        <v>60</v>
      </c>
      <c r="E23" s="41"/>
    </row>
    <row r="24" spans="2:6" ht="12.75" customHeight="1">
      <c r="C24" s="311"/>
      <c r="E24" s="37"/>
    </row>
    <row r="25" spans="2:6" ht="12.75" customHeight="1">
      <c r="C25" s="311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34" sqref="G34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Diciembre 2019</v>
      </c>
    </row>
    <row r="4" spans="2:7" s="29" customFormat="1" ht="20.25" customHeight="1">
      <c r="B4" s="28"/>
      <c r="C4" s="102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2" t="s">
        <v>74</v>
      </c>
      <c r="D7" s="32"/>
      <c r="E7" s="39"/>
      <c r="F7" s="32"/>
    </row>
    <row r="8" spans="2:7" s="29" customFormat="1" ht="12.75" customHeight="1">
      <c r="B8" s="28"/>
      <c r="C8" s="312"/>
      <c r="D8" s="32"/>
      <c r="E8" s="39"/>
      <c r="F8" s="32"/>
    </row>
    <row r="9" spans="2:7" s="29" customFormat="1" ht="12.75" customHeight="1">
      <c r="B9" s="28"/>
      <c r="C9" s="312"/>
      <c r="D9" s="32"/>
      <c r="E9" s="39"/>
      <c r="F9" s="32"/>
    </row>
    <row r="10" spans="2:7" s="29" customFormat="1" ht="12.75" customHeight="1">
      <c r="B10" s="28"/>
      <c r="C10" s="312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30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G19" sqref="G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62</v>
      </c>
      <c r="E7" s="4"/>
    </row>
    <row r="8" spans="3:25">
      <c r="C8" s="312"/>
      <c r="E8" s="4"/>
    </row>
    <row r="9" spans="3:25">
      <c r="C9" s="312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J17" sqref="J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12" t="s">
        <v>614</v>
      </c>
      <c r="E7" s="4"/>
    </row>
    <row r="8" spans="3:25">
      <c r="C8" s="312"/>
      <c r="E8" s="4"/>
    </row>
    <row r="9" spans="3:25">
      <c r="C9" s="312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55</v>
      </c>
      <c r="E7" s="4"/>
    </row>
    <row r="8" spans="3:25">
      <c r="C8" s="312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61</v>
      </c>
      <c r="E7" s="4"/>
    </row>
    <row r="8" spans="3:25">
      <c r="C8" s="312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2020-01-24T10:00:36Z</dcterms:modified>
</cp:coreProperties>
</file>