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AGO\INF_ELABORADA\"/>
    </mc:Choice>
  </mc:AlternateContent>
  <xr:revisionPtr revIDLastSave="0" documentId="13_ncr:1_{5A5AD328-FEF2-416A-B22A-FBB1284C6AF4}" xr6:coauthVersionLast="45" xr6:coauthVersionMax="45" xr10:uidLastSave="{00000000-0000-0000-0000-000000000000}"/>
  <bookViews>
    <workbookView xWindow="-120" yWindow="-120" windowWidth="29040" windowHeight="15840" tabRatio="763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OFFSET(Dat_01!$K$220,0,0,COUNT(Dat_01!$I$220:$I$245),1)</definedName>
    <definedName name="H_Gen" localSheetId="11">OFFSET([3]Dat_01!$Q$220,0,0,COUNT([3]Dat_01!$P$220:$P$245),1)</definedName>
    <definedName name="H_Gen">OFFSET(Dat_01!$R$220,0,0,COUNT(Dat_01!$P$220:$P$245),1)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Potencia_instalada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Dat_01!$L$4:$M$20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62" i="44" l="1"/>
  <c r="O158" i="44"/>
  <c r="J59" i="43" l="1"/>
  <c r="J60" i="43"/>
  <c r="G229" i="47" l="1"/>
  <c r="B41" i="44" l="1"/>
  <c r="B34" i="44"/>
  <c r="B35" i="44"/>
  <c r="B36" i="44"/>
  <c r="B37" i="44"/>
  <c r="B38" i="44"/>
  <c r="B39" i="44"/>
  <c r="B40" i="44"/>
  <c r="B42" i="44"/>
  <c r="B43" i="44"/>
  <c r="B44" i="44"/>
  <c r="B45" i="44"/>
  <c r="B33" i="44"/>
  <c r="B46" i="44" l="1"/>
  <c r="C33" i="44" s="1"/>
  <c r="I19" i="49" l="1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70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3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4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00" i="49"/>
  <c r="F70" i="43" l="1"/>
  <c r="C399" i="49" l="1"/>
  <c r="F399" i="49" l="1"/>
  <c r="E399" i="49" l="1"/>
  <c r="E398" i="47"/>
  <c r="G399" i="49" s="1"/>
  <c r="H211" i="44" l="1"/>
  <c r="I211" i="44"/>
  <c r="E396" i="59" l="1"/>
  <c r="C18" i="48" l="1"/>
  <c r="E398" i="49" l="1"/>
  <c r="C398" i="49"/>
  <c r="E397" i="47" l="1"/>
  <c r="G398" i="49" s="1"/>
  <c r="F398" i="49"/>
  <c r="F72" i="43"/>
  <c r="V180" i="44" l="1"/>
  <c r="H96" i="44" l="1"/>
  <c r="B96" i="44"/>
  <c r="I25" i="6" l="1"/>
  <c r="K70" i="43"/>
  <c r="K71" i="43"/>
  <c r="K72" i="43"/>
  <c r="K73" i="43"/>
  <c r="K74" i="43"/>
  <c r="K75" i="43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V220" i="44" l="1"/>
  <c r="V221" i="44"/>
  <c r="V181" i="44"/>
  <c r="W181" i="44"/>
  <c r="V182" i="44"/>
  <c r="W182" i="44"/>
  <c r="V183" i="44"/>
  <c r="W183" i="44"/>
  <c r="V184" i="44"/>
  <c r="W184" i="44"/>
  <c r="V185" i="44"/>
  <c r="W185" i="44"/>
  <c r="V186" i="44"/>
  <c r="W186" i="44"/>
  <c r="V187" i="44"/>
  <c r="W187" i="44"/>
  <c r="V188" i="44"/>
  <c r="W188" i="44"/>
  <c r="V189" i="44"/>
  <c r="W189" i="44"/>
  <c r="V190" i="44"/>
  <c r="W190" i="44"/>
  <c r="V191" i="44"/>
  <c r="W191" i="44"/>
  <c r="V192" i="44"/>
  <c r="W192" i="44"/>
  <c r="V193" i="44"/>
  <c r="W193" i="44"/>
  <c r="V194" i="44"/>
  <c r="W194" i="44"/>
  <c r="V195" i="44"/>
  <c r="W195" i="44"/>
  <c r="V196" i="44"/>
  <c r="W196" i="44"/>
  <c r="V197" i="44"/>
  <c r="W197" i="44"/>
  <c r="V198" i="44"/>
  <c r="W198" i="44"/>
  <c r="V199" i="44"/>
  <c r="W199" i="44"/>
  <c r="V200" i="44"/>
  <c r="W200" i="44"/>
  <c r="V201" i="44"/>
  <c r="W201" i="44"/>
  <c r="V202" i="44"/>
  <c r="W202" i="44"/>
  <c r="V203" i="44"/>
  <c r="W203" i="44"/>
  <c r="V204" i="44"/>
  <c r="W204" i="44"/>
  <c r="V205" i="44"/>
  <c r="W205" i="44"/>
  <c r="V206" i="44"/>
  <c r="W206" i="44"/>
  <c r="V207" i="44"/>
  <c r="W207" i="44"/>
  <c r="V208" i="44"/>
  <c r="W208" i="44"/>
  <c r="V209" i="44"/>
  <c r="W209" i="44"/>
  <c r="V210" i="44"/>
  <c r="W210" i="44"/>
  <c r="W180" i="44"/>
  <c r="V244" i="44" l="1"/>
  <c r="V245" i="44"/>
  <c r="V246" i="44"/>
  <c r="V222" i="44"/>
  <c r="V223" i="44"/>
  <c r="V224" i="44"/>
  <c r="V225" i="44"/>
  <c r="V226" i="44"/>
  <c r="V227" i="44"/>
  <c r="V228" i="44"/>
  <c r="V229" i="44"/>
  <c r="V230" i="44"/>
  <c r="V231" i="44"/>
  <c r="V232" i="44"/>
  <c r="V233" i="44"/>
  <c r="V234" i="44"/>
  <c r="V235" i="44"/>
  <c r="V236" i="44"/>
  <c r="V237" i="44"/>
  <c r="V238" i="44"/>
  <c r="V239" i="44"/>
  <c r="V240" i="44"/>
  <c r="V241" i="44"/>
  <c r="V242" i="44"/>
  <c r="V243" i="44"/>
  <c r="B67" i="43" l="1"/>
  <c r="B80" i="43"/>
  <c r="B79" i="43"/>
  <c r="B105" i="44" l="1"/>
  <c r="B104" i="44"/>
  <c r="B103" i="44"/>
  <c r="B102" i="44"/>
  <c r="B101" i="44"/>
  <c r="B100" i="44"/>
  <c r="B99" i="44"/>
  <c r="B98" i="44"/>
  <c r="B97" i="44"/>
  <c r="C39" i="48"/>
  <c r="B95" i="44"/>
  <c r="B94" i="44"/>
  <c r="B106" i="44" l="1"/>
  <c r="F400" i="47" l="1"/>
  <c r="F399" i="47" l="1"/>
  <c r="H94" i="44" l="1"/>
  <c r="H97" i="44"/>
  <c r="H98" i="44"/>
  <c r="H99" i="44"/>
  <c r="H100" i="44"/>
  <c r="H101" i="44"/>
  <c r="H102" i="44"/>
  <c r="H103" i="44"/>
  <c r="H104" i="44"/>
  <c r="H105" i="44"/>
  <c r="H95" i="44"/>
  <c r="E18" i="40" l="1"/>
  <c r="I54" i="43" l="1"/>
  <c r="I55" i="43"/>
  <c r="I56" i="43"/>
  <c r="I57" i="43"/>
  <c r="I58" i="43"/>
  <c r="I59" i="43"/>
  <c r="I60" i="43"/>
  <c r="I61" i="43"/>
  <c r="I62" i="43"/>
  <c r="I63" i="43"/>
  <c r="I64" i="43"/>
  <c r="B50" i="44" l="1"/>
  <c r="G3" i="59" l="1"/>
  <c r="G4" i="59"/>
  <c r="G6" i="59"/>
  <c r="G8" i="59"/>
  <c r="G10" i="59"/>
  <c r="G11" i="59"/>
  <c r="G12" i="59"/>
  <c r="G14" i="59"/>
  <c r="G18" i="59"/>
  <c r="G19" i="59"/>
  <c r="G28" i="59"/>
  <c r="G31" i="59"/>
  <c r="G32" i="59"/>
  <c r="G35" i="59"/>
  <c r="G36" i="59"/>
  <c r="G40" i="59"/>
  <c r="G43" i="59"/>
  <c r="G51" i="59"/>
  <c r="G52" i="59"/>
  <c r="G55" i="59"/>
  <c r="G56" i="59"/>
  <c r="G59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G236" i="59"/>
  <c r="G239" i="59"/>
  <c r="G256" i="59"/>
  <c r="F277" i="59"/>
  <c r="G283" i="59"/>
  <c r="G288" i="59"/>
  <c r="G311" i="59"/>
  <c r="G319" i="59"/>
  <c r="G327" i="59"/>
  <c r="G332" i="59"/>
  <c r="G335" i="59"/>
  <c r="F2" i="59"/>
  <c r="C4" i="49"/>
  <c r="G23" i="59"/>
  <c r="G24" i="59"/>
  <c r="G27" i="59"/>
  <c r="G39" i="59"/>
  <c r="G44" i="59"/>
  <c r="G47" i="59"/>
  <c r="G7" i="59"/>
  <c r="G15" i="59"/>
  <c r="G63" i="59" l="1"/>
  <c r="H393" i="59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N141" i="44" l="1"/>
  <c r="G76" i="43" l="1"/>
  <c r="E76" i="43" l="1"/>
  <c r="E19" i="40" l="1"/>
  <c r="B91" i="44" l="1"/>
  <c r="I53" i="43" l="1"/>
  <c r="G15" i="6" l="1"/>
  <c r="E3" i="47" l="1"/>
  <c r="C20" i="49" l="1"/>
  <c r="C23" i="49"/>
  <c r="C24" i="49"/>
  <c r="C25" i="49"/>
  <c r="C26" i="49"/>
  <c r="C27" i="49"/>
  <c r="C28" i="49"/>
  <c r="C31" i="49"/>
  <c r="C32" i="49"/>
  <c r="C33" i="49"/>
  <c r="C34" i="49"/>
  <c r="C36" i="49"/>
  <c r="C39" i="49"/>
  <c r="C40" i="49"/>
  <c r="C41" i="49"/>
  <c r="C42" i="49"/>
  <c r="C43" i="49"/>
  <c r="C44" i="49"/>
  <c r="C46" i="49"/>
  <c r="C49" i="49"/>
  <c r="C50" i="49"/>
  <c r="C51" i="49"/>
  <c r="C52" i="49"/>
  <c r="C55" i="49"/>
  <c r="C56" i="49"/>
  <c r="C57" i="49"/>
  <c r="C58" i="49"/>
  <c r="C59" i="49"/>
  <c r="C60" i="49"/>
  <c r="C63" i="49"/>
  <c r="C64" i="49"/>
  <c r="C65" i="49"/>
  <c r="C66" i="49"/>
  <c r="C67" i="49"/>
  <c r="C68" i="49"/>
  <c r="C71" i="49"/>
  <c r="C72" i="49"/>
  <c r="C73" i="49"/>
  <c r="C74" i="49"/>
  <c r="C75" i="49"/>
  <c r="C76" i="49"/>
  <c r="C77" i="49"/>
  <c r="C79" i="49"/>
  <c r="C81" i="49"/>
  <c r="C82" i="49"/>
  <c r="C83" i="49"/>
  <c r="C84" i="49"/>
  <c r="C87" i="49"/>
  <c r="C88" i="49"/>
  <c r="C89" i="49"/>
  <c r="C90" i="49"/>
  <c r="C91" i="49"/>
  <c r="C92" i="49"/>
  <c r="C95" i="49"/>
  <c r="C96" i="49"/>
  <c r="C97" i="49"/>
  <c r="C98" i="49"/>
  <c r="C99" i="49"/>
  <c r="C100" i="49"/>
  <c r="C103" i="49"/>
  <c r="C104" i="49"/>
  <c r="C105" i="49"/>
  <c r="C106" i="49"/>
  <c r="C107" i="49"/>
  <c r="C108" i="49"/>
  <c r="C110" i="49"/>
  <c r="C111" i="49"/>
  <c r="C112" i="49"/>
  <c r="C113" i="49"/>
  <c r="C114" i="49"/>
  <c r="C115" i="49"/>
  <c r="C116" i="49"/>
  <c r="C119" i="49"/>
  <c r="C120" i="49"/>
  <c r="C121" i="49"/>
  <c r="C122" i="49"/>
  <c r="C123" i="49"/>
  <c r="C124" i="49"/>
  <c r="C127" i="49"/>
  <c r="C128" i="49"/>
  <c r="C129" i="49"/>
  <c r="C130" i="49"/>
  <c r="C131" i="49"/>
  <c r="C132" i="49"/>
  <c r="C135" i="49"/>
  <c r="C136" i="49"/>
  <c r="C137" i="49"/>
  <c r="C138" i="49"/>
  <c r="C143" i="49"/>
  <c r="C144" i="49"/>
  <c r="C145" i="49"/>
  <c r="C146" i="49"/>
  <c r="C147" i="49"/>
  <c r="C148" i="49"/>
  <c r="C151" i="49"/>
  <c r="C152" i="49"/>
  <c r="C153" i="49"/>
  <c r="C154" i="49"/>
  <c r="C155" i="49"/>
  <c r="C156" i="49"/>
  <c r="C159" i="49"/>
  <c r="C160" i="49"/>
  <c r="C161" i="49"/>
  <c r="C162" i="49"/>
  <c r="C163" i="49"/>
  <c r="C164" i="49"/>
  <c r="C167" i="49"/>
  <c r="C168" i="49"/>
  <c r="C170" i="49"/>
  <c r="C172" i="49"/>
  <c r="C175" i="49"/>
  <c r="C176" i="49"/>
  <c r="C177" i="49"/>
  <c r="C179" i="49"/>
  <c r="C180" i="49"/>
  <c r="C181" i="49"/>
  <c r="C183" i="49"/>
  <c r="C184" i="49"/>
  <c r="C185" i="49"/>
  <c r="C187" i="49"/>
  <c r="C188" i="49"/>
  <c r="C189" i="49"/>
  <c r="C191" i="49"/>
  <c r="C192" i="49"/>
  <c r="C193" i="49"/>
  <c r="C195" i="49"/>
  <c r="C196" i="49"/>
  <c r="C197" i="49"/>
  <c r="C199" i="49"/>
  <c r="C203" i="49"/>
  <c r="C204" i="49"/>
  <c r="C205" i="49"/>
  <c r="C207" i="49"/>
  <c r="C208" i="49"/>
  <c r="C209" i="49"/>
  <c r="C211" i="49"/>
  <c r="C212" i="49"/>
  <c r="C213" i="49"/>
  <c r="C215" i="49"/>
  <c r="C216" i="49"/>
  <c r="C217" i="49"/>
  <c r="C219" i="49"/>
  <c r="C220" i="49"/>
  <c r="C221" i="49"/>
  <c r="C223" i="49"/>
  <c r="C224" i="49"/>
  <c r="C225" i="49"/>
  <c r="C227" i="49"/>
  <c r="C228" i="49"/>
  <c r="C229" i="49"/>
  <c r="C230" i="49"/>
  <c r="C235" i="49"/>
  <c r="C238" i="49"/>
  <c r="C241" i="49"/>
  <c r="C243" i="49"/>
  <c r="C246" i="49"/>
  <c r="C249" i="49"/>
  <c r="C251" i="49"/>
  <c r="C254" i="49"/>
  <c r="C257" i="49"/>
  <c r="C259" i="49"/>
  <c r="C260" i="49"/>
  <c r="G261" i="47"/>
  <c r="I262" i="49" s="1"/>
  <c r="C321" i="49"/>
  <c r="C323" i="49"/>
  <c r="C329" i="49"/>
  <c r="C330" i="49"/>
  <c r="C331" i="49"/>
  <c r="C332" i="49"/>
  <c r="C333" i="49"/>
  <c r="C334" i="49"/>
  <c r="C335" i="49"/>
  <c r="C336" i="49"/>
  <c r="C337" i="49"/>
  <c r="C338" i="49"/>
  <c r="C339" i="49"/>
  <c r="C340" i="49"/>
  <c r="C341" i="49"/>
  <c r="C342" i="49"/>
  <c r="C343" i="49"/>
  <c r="C344" i="49"/>
  <c r="C345" i="49"/>
  <c r="C346" i="49"/>
  <c r="C347" i="49"/>
  <c r="C348" i="49"/>
  <c r="C349" i="49"/>
  <c r="C350" i="49"/>
  <c r="C351" i="49"/>
  <c r="C354" i="49"/>
  <c r="C356" i="49"/>
  <c r="C357" i="49"/>
  <c r="C358" i="49"/>
  <c r="C359" i="49"/>
  <c r="C360" i="49"/>
  <c r="C361" i="49"/>
  <c r="C362" i="49"/>
  <c r="C363" i="49"/>
  <c r="C364" i="49"/>
  <c r="C365" i="49"/>
  <c r="C366" i="49"/>
  <c r="C374" i="49"/>
  <c r="C390" i="49"/>
  <c r="C7" i="49"/>
  <c r="C8" i="49"/>
  <c r="C9" i="49"/>
  <c r="C10" i="49"/>
  <c r="C11" i="49"/>
  <c r="C12" i="49"/>
  <c r="C15" i="49"/>
  <c r="C16" i="49"/>
  <c r="C17" i="49"/>
  <c r="C18" i="49"/>
  <c r="C19" i="49"/>
  <c r="C233" i="49" l="1"/>
  <c r="F232" i="47"/>
  <c r="C80" i="49"/>
  <c r="F79" i="47"/>
  <c r="C294" i="49"/>
  <c r="C141" i="49"/>
  <c r="C384" i="49"/>
  <c r="G383" i="47"/>
  <c r="I384" i="49" s="1"/>
  <c r="C383" i="49"/>
  <c r="C355" i="49"/>
  <c r="G354" i="47"/>
  <c r="I355" i="49" s="1"/>
  <c r="C353" i="49"/>
  <c r="C324" i="49"/>
  <c r="G323" i="47"/>
  <c r="I324" i="49" s="1"/>
  <c r="C322" i="49"/>
  <c r="C293" i="49"/>
  <c r="G292" i="47"/>
  <c r="I293" i="49" s="1"/>
  <c r="C292" i="49"/>
  <c r="C263" i="49"/>
  <c r="C261" i="49"/>
  <c r="C232" i="49"/>
  <c r="C231" i="49"/>
  <c r="G230" i="47"/>
  <c r="I231" i="49" s="1"/>
  <c r="C202" i="49"/>
  <c r="C200" i="49"/>
  <c r="G199" i="47"/>
  <c r="I200" i="49" s="1"/>
  <c r="C171" i="49"/>
  <c r="C169" i="49"/>
  <c r="G168" i="47"/>
  <c r="I169" i="49" s="1"/>
  <c r="C140" i="49"/>
  <c r="C139" i="49"/>
  <c r="G138" i="47"/>
  <c r="I139" i="49" s="1"/>
  <c r="C78" i="49"/>
  <c r="G77" i="47"/>
  <c r="I78" i="49" s="1"/>
  <c r="C47" i="49"/>
  <c r="G46" i="47"/>
  <c r="I47" i="49" s="1"/>
  <c r="C262" i="49"/>
  <c r="C201" i="49"/>
  <c r="C109" i="49"/>
  <c r="G108" i="47"/>
  <c r="I109" i="49" s="1"/>
  <c r="C352" i="49"/>
  <c r="C48" i="49"/>
  <c r="C6" i="49"/>
  <c r="C317" i="49"/>
  <c r="C277" i="49"/>
  <c r="C395" i="49"/>
  <c r="C387" i="49"/>
  <c r="C379" i="49"/>
  <c r="C371" i="49"/>
  <c r="C315" i="49"/>
  <c r="C307" i="49"/>
  <c r="C299" i="49"/>
  <c r="C291" i="49"/>
  <c r="C283" i="49"/>
  <c r="C275" i="49"/>
  <c r="C267" i="49"/>
  <c r="C35" i="49"/>
  <c r="C373" i="49"/>
  <c r="C325" i="49"/>
  <c r="C285" i="49"/>
  <c r="C394" i="49"/>
  <c r="C386" i="49"/>
  <c r="C378" i="49"/>
  <c r="C370" i="49"/>
  <c r="C314" i="49"/>
  <c r="C306" i="49"/>
  <c r="C298" i="49"/>
  <c r="C290" i="49"/>
  <c r="C282" i="49"/>
  <c r="C274" i="49"/>
  <c r="C266" i="49"/>
  <c r="C258" i="49"/>
  <c r="C250" i="49"/>
  <c r="C242" i="49"/>
  <c r="C234" i="49"/>
  <c r="C226" i="49"/>
  <c r="C218" i="49"/>
  <c r="C210" i="49"/>
  <c r="C194" i="49"/>
  <c r="C186" i="49"/>
  <c r="C178" i="49"/>
  <c r="C14" i="49"/>
  <c r="C389" i="49"/>
  <c r="C301" i="49"/>
  <c r="C245" i="49"/>
  <c r="C393" i="49"/>
  <c r="C385" i="49"/>
  <c r="C377" i="49"/>
  <c r="C369" i="49"/>
  <c r="C313" i="49"/>
  <c r="C305" i="49"/>
  <c r="C297" i="49"/>
  <c r="C289" i="49"/>
  <c r="C281" i="49"/>
  <c r="C273" i="49"/>
  <c r="C265" i="49"/>
  <c r="C391" i="49"/>
  <c r="C382" i="49"/>
  <c r="C381" i="49"/>
  <c r="C253" i="49"/>
  <c r="C392" i="49"/>
  <c r="C376" i="49"/>
  <c r="C368" i="49"/>
  <c r="C328" i="49"/>
  <c r="C320" i="49"/>
  <c r="C312" i="49"/>
  <c r="C304" i="49"/>
  <c r="C296" i="49"/>
  <c r="C288" i="49"/>
  <c r="C280" i="49"/>
  <c r="C272" i="49"/>
  <c r="C264" i="49"/>
  <c r="C256" i="49"/>
  <c r="C248" i="49"/>
  <c r="C240" i="49"/>
  <c r="C375" i="49"/>
  <c r="C367" i="49"/>
  <c r="C327" i="49"/>
  <c r="C319" i="49"/>
  <c r="C311" i="49"/>
  <c r="C303" i="49"/>
  <c r="C295" i="49"/>
  <c r="C287" i="49"/>
  <c r="C279" i="49"/>
  <c r="C271" i="49"/>
  <c r="C255" i="49"/>
  <c r="C247" i="49"/>
  <c r="C239" i="49"/>
  <c r="C5" i="49"/>
  <c r="C326" i="49"/>
  <c r="C318" i="49"/>
  <c r="C310" i="49"/>
  <c r="C302" i="49"/>
  <c r="C286" i="49"/>
  <c r="C278" i="49"/>
  <c r="C270" i="49"/>
  <c r="C222" i="49"/>
  <c r="C214" i="49"/>
  <c r="C206" i="49"/>
  <c r="C198" i="49"/>
  <c r="C190" i="49"/>
  <c r="C182" i="49"/>
  <c r="C174" i="49"/>
  <c r="C166" i="49"/>
  <c r="C158" i="49"/>
  <c r="C150" i="49"/>
  <c r="C142" i="49"/>
  <c r="C134" i="49"/>
  <c r="C126" i="49"/>
  <c r="C118" i="49"/>
  <c r="C102" i="49"/>
  <c r="C94" i="49"/>
  <c r="C86" i="49"/>
  <c r="C70" i="49"/>
  <c r="C62" i="49"/>
  <c r="C54" i="49"/>
  <c r="C38" i="49"/>
  <c r="C30" i="49"/>
  <c r="C22" i="49"/>
  <c r="C237" i="49"/>
  <c r="C173" i="49"/>
  <c r="C165" i="49"/>
  <c r="C157" i="49"/>
  <c r="C149" i="49"/>
  <c r="C133" i="49"/>
  <c r="C125" i="49"/>
  <c r="C117" i="49"/>
  <c r="C101" i="49"/>
  <c r="C93" i="49"/>
  <c r="C85" i="49"/>
  <c r="C69" i="49"/>
  <c r="C61" i="49"/>
  <c r="C53" i="49"/>
  <c r="C45" i="49"/>
  <c r="C37" i="49"/>
  <c r="C29" i="49"/>
  <c r="C21" i="49"/>
  <c r="C13" i="49"/>
  <c r="E397" i="49"/>
  <c r="C397" i="49"/>
  <c r="C309" i="49"/>
  <c r="C269" i="49"/>
  <c r="C396" i="49"/>
  <c r="C388" i="49"/>
  <c r="C380" i="49"/>
  <c r="C372" i="49"/>
  <c r="C316" i="49"/>
  <c r="C308" i="49"/>
  <c r="C300" i="49"/>
  <c r="C284" i="49"/>
  <c r="C276" i="49"/>
  <c r="C268" i="49"/>
  <c r="C252" i="49"/>
  <c r="C244" i="49"/>
  <c r="C236" i="49"/>
  <c r="F17" i="47"/>
  <c r="F78" i="47"/>
  <c r="F230" i="47"/>
  <c r="F352" i="47"/>
  <c r="F291" i="47"/>
  <c r="F139" i="47"/>
  <c r="F200" i="47"/>
  <c r="F47" i="47"/>
  <c r="F261" i="47"/>
  <c r="F108" i="47"/>
  <c r="G262" i="47"/>
  <c r="I263" i="49" s="1"/>
  <c r="G109" i="47"/>
  <c r="I110" i="49" s="1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I353" i="49" s="1"/>
  <c r="G260" i="47"/>
  <c r="I261" i="49" s="1"/>
  <c r="G170" i="47"/>
  <c r="I171" i="49" s="1"/>
  <c r="G78" i="47"/>
  <c r="I79" i="49" s="1"/>
  <c r="G351" i="47"/>
  <c r="I352" i="49" s="1"/>
  <c r="G290" i="47"/>
  <c r="I291" i="49" s="1"/>
  <c r="G321" i="47"/>
  <c r="I322" i="49" s="1"/>
  <c r="G293" i="47"/>
  <c r="I294" i="49" s="1"/>
  <c r="G140" i="47"/>
  <c r="I141" i="49" s="1"/>
  <c r="G232" i="47"/>
  <c r="I233" i="49" s="1"/>
  <c r="G200" i="47"/>
  <c r="I201" i="49" s="1"/>
  <c r="G48" i="47"/>
  <c r="I49" i="49" s="1"/>
  <c r="G201" i="47"/>
  <c r="I202" i="49" s="1"/>
  <c r="G17" i="47"/>
  <c r="I18" i="49" s="1"/>
  <c r="G231" i="47"/>
  <c r="I232" i="49" s="1"/>
  <c r="G139" i="47"/>
  <c r="I140" i="49" s="1"/>
  <c r="G107" i="47"/>
  <c r="I108" i="49" s="1"/>
  <c r="G79" i="47"/>
  <c r="I80" i="49" s="1"/>
  <c r="G47" i="47"/>
  <c r="I48" i="49" s="1"/>
  <c r="G291" i="47"/>
  <c r="I292" i="49" s="1"/>
  <c r="F397" i="49"/>
  <c r="G382" i="47"/>
  <c r="I383" i="49" s="1"/>
  <c r="F398" i="47" l="1"/>
  <c r="F397" i="47"/>
  <c r="F396" i="47"/>
  <c r="E396" i="47"/>
  <c r="G397" i="49" s="1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C42" i="44" l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44" i="44"/>
  <c r="C35" i="44"/>
  <c r="C43" i="44"/>
  <c r="C37" i="44"/>
  <c r="C38" i="44"/>
  <c r="C34" i="44"/>
  <c r="C41" i="44"/>
  <c r="C45" i="44"/>
  <c r="C39" i="44"/>
  <c r="C40" i="44"/>
  <c r="D46" i="44"/>
  <c r="F34" i="44" l="1"/>
  <c r="F33" i="44"/>
  <c r="I76" i="43" l="1"/>
  <c r="J70" i="43" l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6" i="49" l="1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O135" i="48" l="1"/>
  <c r="N78" i="48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N146" i="48" l="1"/>
  <c r="M135" i="48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M88" i="48"/>
  <c r="M99" i="48"/>
  <c r="M126" i="48"/>
  <c r="J140" i="44"/>
  <c r="K157" i="44"/>
  <c r="I141" i="44"/>
  <c r="K154" i="44"/>
  <c r="L82" i="48" s="1"/>
  <c r="K156" i="44"/>
  <c r="N148" i="48" l="1"/>
  <c r="N149" i="48" s="1"/>
  <c r="M91" i="48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I148" i="48" l="1"/>
  <c r="I149" i="48" s="1"/>
  <c r="H91" i="48"/>
  <c r="H92" i="48" s="1"/>
  <c r="H119" i="48"/>
  <c r="H118" i="48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H121" i="48" l="1"/>
  <c r="H122" i="48" s="1"/>
  <c r="G91" i="48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F91" i="48" l="1"/>
  <c r="F92" i="48" s="1"/>
  <c r="G121" i="48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B157" i="44"/>
  <c r="B156" i="44"/>
  <c r="B154" i="44"/>
  <c r="B158" i="44" s="1"/>
  <c r="E148" i="48" l="1"/>
  <c r="E149" i="48" s="1"/>
  <c r="D146" i="48"/>
  <c r="D91" i="48"/>
  <c r="D92" i="48" s="1"/>
  <c r="D118" i="48"/>
  <c r="D121" i="48" s="1"/>
  <c r="D122" i="48" s="1"/>
  <c r="C108" i="48"/>
  <c r="C127" i="48"/>
  <c r="C82" i="48"/>
  <c r="C112" i="48" s="1"/>
  <c r="B166" i="44"/>
  <c r="O166" i="44" s="1"/>
  <c r="C89" i="48"/>
  <c r="B159" i="44"/>
  <c r="B167" i="44"/>
  <c r="C102" i="48"/>
  <c r="C129" i="48"/>
  <c r="C99" i="48"/>
  <c r="C126" i="48"/>
  <c r="C88" i="48"/>
  <c r="D145" i="48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D148" i="48" l="1"/>
  <c r="D149" i="48" s="1"/>
  <c r="C91" i="48"/>
  <c r="C92" i="48" s="1"/>
  <c r="C118" i="48"/>
  <c r="C139" i="48"/>
  <c r="C119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7" i="48" l="1"/>
  <c r="D18" i="48" s="1"/>
  <c r="C148" i="48"/>
  <c r="C149" i="48" s="1"/>
  <c r="C121" i="48"/>
  <c r="C122" i="48" s="1"/>
  <c r="C55" i="44"/>
  <c r="C54" i="44"/>
  <c r="C56" i="44"/>
  <c r="C61" i="44"/>
  <c r="C51" i="44"/>
  <c r="C60" i="44"/>
  <c r="C59" i="44"/>
  <c r="C53" i="44"/>
  <c r="C58" i="44"/>
  <c r="C52" i="44"/>
  <c r="C57" i="44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D17" i="48" l="1"/>
  <c r="G6" i="48"/>
  <c r="G22" i="48"/>
  <c r="G21" i="48"/>
  <c r="C46" i="44"/>
  <c r="C62" i="44"/>
  <c r="G5" i="48" l="1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<sst xmlns="http://schemas.openxmlformats.org/spreadsheetml/2006/main" count="2360" uniqueCount="250">
  <si>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</si>
  <si>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</si>
  <si>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</si>
  <si>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</si>
  <si>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</si>
  <si>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</si>
  <si>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</si>
  <si>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</si>
  <si>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</si>
  <si>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</si>
  <si>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</si>
  <si>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</si>
  <si>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</si>
  <si>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</si>
  <si>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</si>
  <si>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</si>
  <si>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</si>
  <si>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</si>
  <si>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</si>
  <si>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</si>
  <si>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</si>
  <si>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</si>
  <si>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</si>
  <si>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</si>
  <si>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</si>
  <si>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</si>
  <si>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</si>
  <si>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</si>
  <si>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</si>
  <si>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</si>
  <si>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</si>
  <si>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</si>
  <si>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</si>
  <si>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</si>
  <si>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</si>
  <si>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</si>
  <si>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</si>
  <si>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</si>
  <si>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</si>
  <si>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</si>
  <si>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</si>
  <si>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</si>
  <si>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</si>
  <si>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</si>
  <si>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</si>
  <si>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</si>
  <si>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</si>
  <si>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</si>
  <si>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</si>
  <si>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</si>
  <si>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</si>
  <si>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</si>
  <si>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</si>
  <si>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</si>
  <si>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</si>
  <si>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</si>
  <si>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</si>
  <si>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</si>
  <si>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</si>
  <si>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</si>
  <si>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</si>
  <si>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</si>
  <si>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</si>
  <si>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</si>
  <si>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</si>
  <si>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</si>
  <si>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</si>
  <si>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</si>
  <si>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</si>
  <si>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</si>
  <si>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</si>
  <si>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</si>
  <si>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</si>
  <si>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</si>
  <si>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</si>
  <si>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</si>
  <si>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</si>
  <si>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</si>
  <si>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</si>
  <si>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</si>
  <si>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</si>
  <si>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</si>
  <si>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</si>
  <si>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</si>
  <si>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</si>
  <si>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</si>
  <si>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</si>
  <si>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</si>
  <si>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</si>
  <si>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</si>
  <si>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</si>
  <si>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</si>
  <si>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</si>
  <si>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</si>
  <si>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</si>
  <si>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</si>
  <si>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</si>
  <si>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</si>
  <si>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</si>
  <si>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</si>
  <si>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</si>
  <si>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</si>
  <si>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</si>
  <si>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</si>
  <si>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</si>
  <si>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</si>
  <si>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</si>
  <si>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</si>
  <si>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</si>
  <si>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</si>
  <si>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</si>
  <si>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</si>
  <si>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</si>
  <si>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</si>
  <si>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</si>
  <si>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</si>
  <si>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</si>
  <si>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</si>
  <si>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</si>
  <si>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</si>
  <si>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</si>
  <si>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</si>
  <si>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Consumo de bombeo</t>
  </si>
  <si>
    <t>Saldos intercambios internacionales</t>
  </si>
  <si>
    <t>Demanda transporte (b.c.)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</si>
  <si>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</si>
  <si>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</si>
  <si>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</si>
  <si>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</si>
  <si>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</si>
  <si>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</si>
  <si>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</si>
  <si>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</si>
  <si>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</si>
  <si>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</si>
  <si>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</si>
  <si>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</si>
  <si>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</si>
  <si>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</si>
  <si>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</si>
  <si>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</si>
  <si>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</si>
  <si>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</si>
  <si>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</si>
  <si>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</si>
  <si>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</si>
  <si>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</si>
  <si>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</si>
  <si>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Estructura de generacion mensual de energía eléctrica peninsular 18/08/2018</t>
  </si>
  <si>
    <t/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</si>
  <si>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</si>
  <si>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</si>
  <si>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</si>
  <si>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</si>
  <si>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</si>
  <si>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</si>
  <si>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</si>
  <si>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</si>
  <si>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</si>
  <si>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</si>
  <si>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</si>
  <si>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</si>
  <si>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</si>
  <si>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</si>
  <si>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</si>
  <si>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</si>
  <si>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</si>
  <si>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</si>
  <si>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</si>
  <si>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</si>
  <si>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</si>
  <si>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</si>
  <si>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</si>
  <si>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</si>
  <si>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</si>
  <si>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</si>
  <si>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</si>
  <si>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</si>
  <si>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</si>
  <si>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</si>
  <si>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</si>
  <si>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</si>
  <si>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</si>
  <si>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</si>
  <si>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</si>
  <si>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</si>
  <si>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</si>
  <si>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</si>
  <si>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</si>
  <si>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</si>
  <si>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</si>
  <si>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</si>
  <si>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</si>
  <si>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</si>
  <si>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</si>
  <si>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</si>
  <si>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</si>
  <si>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</si>
  <si>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</si>
  <si>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</si>
  <si>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</si>
  <si>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</si>
  <si>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Lunes 28/12/2020 (14:28 h)</t>
  </si>
  <si>
    <t>Enero 2021</t>
  </si>
  <si>
    <t>30/01/2021</t>
  </si>
  <si>
    <t>Febrero 2021</t>
  </si>
  <si>
    <t>Marzo 2021</t>
  </si>
  <si>
    <t>Fuel/Gas</t>
  </si>
  <si>
    <t>Abril 2021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</si>
  <si>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dvis=""&gt;&lt;ci ps="BI" srv="apcpr64b" prj="BDEbi" prjid="D066E1C611E6257C10D00080EF253B44" li="FUEPERRO" am="s" /&gt;&lt;lu ut="04/14/2021 14:11:36" si="2.00000001e7322de59dbe47c5dd6e847ade3ea82a493b66dc4cda0a8370f700ac221939a0e4a6fd40375cb0329405f00476b439bc5e0b1efc2aa30b2db5ccf42da0b51ad16121c0efe25b5144447a9c19aa6ed230cb7ef16049ccad059c080f5b774939ba37b55bdeaef9a77c75d32046ab12cd70dbd72cf41f322275b3dea8f690cd3168b1a6a75a0abc94310bd283aae6a86d0dac8d7fcfd9c5a25b6c57f8aecb70.p.3082.0.1.Europe/Madrid.upriv*_1*_pidn2*_33*_session*-lat*_1.000000017bd8c834feb80effa70a797e0418805eb5ee3e722c4b2b1b2c93507fb025f50b5ddd4345d54ea99da9346e5ebda7d38880758092.00000001fe23ced489f5264275500cf086fc5718b5ee3e72d869a63a89f7574131e6523f604c4f8cc91d793fd9bcb40aed13e045287e8a81.0.1.1.BDEbi.D066E1C611E6257C10D00080EF253B44.0-3082.1.1_-0.1.0_-3082.1.1_5.5.0.*0.000000016273e873392ec7fdbebfa49f7e6c016ac911585a4567a469c6152f0dfc64b2a059818258.0.23.11*.2*.0400*.31152J.e.00000001aefcda6e890fcb1afff167ec4799c06ac911585a778fe9f7f007ed84525cc7c257f1ff9f.0.10*.131*.122*.122.0.0" msgID="26F599CD11EB9D2ABA3A0080EF656668"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cols="46" /&gt;&lt;esdo ews="" ece="" ptn="" /&gt;&lt;/excel&gt;&lt;pgs&gt;&lt;pg rows="23" cols="45" nrr="552" nrc="9180"&gt;&lt;pg /&gt;&lt;bls&gt;&lt;bl sr="1" sc="1" rfetch="23" cfetch="45" posid="1" darows="0" dacols="1"&gt;&lt;excel&gt;&lt;epo ews="Dat_04 CONSEJO" ece="A1" enr="MSTR.Balance_B.C._Mensual_Sistema_eléctrico" ptn="" qtn="" rows="27" cols="46" /&gt;&lt;esdo ews="" ece="" ptn="" /&gt;&lt;/excel&gt;&lt;gridRng&gt;&lt;sect id="TITLE_AREA" rngprop="1:1:4:1" /&gt;&lt;sect id="ROWHEADERS_AREA" rngprop="5:1:23:1" /&gt;&lt;sect id="COLUMNHEADERS_AREA" rngprop="1:2:4:45" /&gt;&lt;sect id="DATA_AREA" rngprop="5:2:23:45" /&gt;&lt;/gridRng&gt;&lt;shapes /&gt;&lt;/bl&gt;&lt;/bls&gt;&lt;/pg&gt;&lt;/pgs&gt;&lt;/rptloc&gt;&lt;/mi&gt;</t>
  </si>
  <si>
    <t>2020 Mayo</t>
  </si>
  <si>
    <t>2020 Junio</t>
  </si>
  <si>
    <t>2020 Julio</t>
  </si>
  <si>
    <t>2020 Agosto</t>
  </si>
  <si>
    <t>2020 Septiembre</t>
  </si>
  <si>
    <t>2020 Octubre</t>
  </si>
  <si>
    <t>2020 Noviembre</t>
  </si>
  <si>
    <t>2020 Diciembre</t>
  </si>
  <si>
    <t>2021 Enero</t>
  </si>
  <si>
    <t>2021 Febrero</t>
  </si>
  <si>
    <t>2021 Marzo</t>
  </si>
  <si>
    <t>2021 Abril</t>
  </si>
  <si>
    <t>Mayo 2021</t>
  </si>
  <si>
    <t>2021 Mayo</t>
  </si>
  <si>
    <t>Junio 2021</t>
  </si>
  <si>
    <t>Residuos no Renovables</t>
  </si>
  <si>
    <t>Potencia instalada CIL</t>
  </si>
  <si>
    <t>Combustible</t>
  </si>
  <si>
    <t>&lt;mi app="e" ver="22"&gt;&lt;rptloc guid="1b9a0e5e10694d6eaae94800df45e5e3" rank="0" ds="1"&gt;&lt;ri hasPG="1" name="Potencia instalada" id="21A6D4B8449A52DF01C82DA3575DFFD4" path="Objetos públicos\Informes\Liquidaciones\Potencia instalada\Potencia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li="FUEPERRO" am="s" /&gt;&lt;lu ut="07/14/2021 14:43:58" si="2.00000001dc7683ff568cde542aa4cad127e184f3407f44cada7f4c616fff86cea85333f0d758e34b29227ee9dc97a79727c0bc623574b78e95cb993620b11ce12f0924481d8493b1df3b6f362296ffef3a9591b1e9fd7a0fa3402ea53f2abec47d9cf76df8af8f8ed40fa6c7190aa3664099ee4c2e4225bf62a4f71f0ffed79f61646e1b997b2aef7a7a2d0222ee432188dab06e4702e6098648735d3cfa754b7005.p.3082.0.1.Europe/Madrid.upriv*_1*_pidn2*_1*_session*-lat*_1.00000001cd2fce1b1620b572f3abd5cae7b20955b5ee3e727abd2f8e3a3829ed395e0041aa1b2b49bc149e71f5c8276b554f7bce5924925b.00000001cab9cc90902d3ee1527732191152b04bb5ee3e72120a8d7d6341d9abd5bbb1b79b13f71c00b11e757634ac21e6f4dc52bc4280f8.0.1.1.SIOSbi.A04572404A6ABF2446090B938515E87E.0-3082.1.1_-0.1.0_-3082.1.1_5.5.0.*0.0000000164196a6267f594708ee23935de38189ec911585a729bc5fb4b751b1a90f064912f71f246.0.23.11*.2*.0400*.31152J.e.000000014615ece4d47347fe811a5e29491d293cc911585ac6409c728e53690fbe3cb2b766bd73c7.0.10*.131*.122*.122.0.0" msgID="E7D40C3711EBE4B12CEF0080EFA5846A"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/&gt;&lt;/do&gt;&lt;pgs&gt;&lt;pg rows="18" cols="1" nrr="18" nrc="1"&gt;&lt;pg&gt;&lt;attEl aeid="DB:771DC27940DB47705168CFB03E3D5ADD:1" aedn="Total" aen="Sistema Extrapeninsular" /&gt;&lt;attEl aeid="DF:27DA67CB4B1BB6BB3A2DD99722F9B689:1" aedn="Total" aen="Comunidad Autónoma" /&gt;&lt;attEl aeid="DB:095676F74D2E96A1626319BDD6137878:1" aedn="Total" aen="Isla" /&gt;&lt;/pg&gt;&lt;bls&gt;&lt;bl sr="1" sc="1" rfetch="18" cfetch="1" posid="1" darows="3" dacols="1"&gt;&lt;excel&gt;&lt;epo ews="Potencia instalada" ece="A1" enr="MSTR.Potencia_instalada" ptn="" qtn="" rows="24"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</si>
  <si>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Fuel+gas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</si>
  <si>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dvis=""&gt;&lt;ans&gt;&lt;pan pk="B7C3BF0D4428274429E8B8B9E552B212@0@10" aid="" /&gt;&lt;pan pk="86BA8826468B4BC44041DF8DC3E31322@0@10" aid="" /&gt;&lt;/ans&gt;&lt;ci ps="BI" srv="apcpr64b" prj="BDEbi" prjid="D066E1C611E6257C10D00080EF253B44" li="SEVPENMA" am="s" /&gt;&lt;lu ut="07/15/2021 06:55:20" si="2.0000000114199a85e6fb015b56ed8d907bb8f93948eca4d6c3c2393ab9b269e7f1490fa29749f66a5d26fe4402c1edc6b534bf15ee1bdc504ff7f20fa252a733563fbf758338ea787c2513fe4cd77dab2fce29a68531a987c8c954c2f6210a06a088d3be616d8c20d33b1d9329ef3002f0b166cd33be01378cb28747be96131a214e72fe417e428c8c3ccae7c272aca3c21ea06245c6cfa81cd2bb737ccb8d32a529.p.3082.0.1.Europe/Madrid.upriv*_1*_pidn2*_1*_session*-lat*_1.00000001f93df1788ad53cadf540453a2597eec2bc6025e0448d91da5e4cd48178d8646aae88c1417bca32bd6b1f72263e2bf6b8059187e3.00000001bd688fcfcb0eaef4283c3662153ff776bc6025e03499c8e997a03c213db5acbc5e20fb012f4e66a7e7bfb19abbbe815d91594acc.0.1.1.BDEbi.D066E1C611E6257C10D00080EF253B44.0-3082.1.1_-0.1.0_-3082.1.1_5.5.0.*0.0000000178d8ca71092a85f676808be4c7a4bd72c911585a17ffadf9e71990199e242234edfdc09b.0.23.11*.2*.0400*.31152J.e.000000011981d710431461336f8b3207034c12f3c911585a6b2e06e7baa327fde6edf36be27c15c0.0.10*.131*.122*.122.0.0" msgID="8F01FEF011EBE539432A0080EF95A3A1"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rows="14" cols="15" /&gt;&lt;esdo ews="" ece="" ptn="" /&gt;&lt;/excel&gt;&lt;pgs&gt;&lt;pg rows="11" cols="13" nrr="286" nrc="301"&gt;&lt;pg /&gt;&lt;bls&gt;&lt;bl sr="1" sc="1" rfetch="11" cfetch="13" posid="1" darows="0" dacols="1"&gt;&lt;excel&gt;&lt;epo ews="Dat_04 CONSEJO" ece="A30" enr="MSTR.Emisiones_CO2" ptn="" qtn="" rows="14" cols="15" /&gt;&lt;esdo ews="" ece="" ptn="" /&gt;&lt;/excel&gt;&lt;gridRng&gt;&lt;sect id="TITLE_AREA" rngprop="1:1:3:2" /&gt;&lt;sect id="ROWHEADERS_AREA" rngprop="4:1:11:2" /&gt;&lt;sect id="COLUMNHEADERS_AREA" rngprop="1:3:3:13" /&gt;&lt;sect id="DATA_AREA" rngprop="4:3:11:13" /&gt;&lt;/gridRng&gt;&lt;shapes /&gt;&lt;/bl&gt;&lt;/bls&gt;&lt;/pg&gt;&lt;/pgs&gt;&lt;/rptloc&gt;&lt;/mi&gt;</t>
  </si>
  <si>
    <t>Julio 2021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</si>
  <si>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10:17:39" si="2.0000000150c21c63be4eb06675233565d0d09a7d13ec42cd2482cba7c1b41f136094dba806ce9aaeed93c8c5e2e5ab158ad96e63a756ad475d35e9d7a4027fa5c39a36768590600c0973ec8ab622636efaa14d7a45a30eb4a540edd6c368c7e22c60a32cda8ab37b99d42e2cb0e2dd172c4711d1153b11bd84a90006884744f65c1116305675b2620e5e62554b6e0eaed29a9099defe31af122eba42f18508ae5742.p.3082.0.1.Europe/Madrid.upriv*_1*_pidn2*_15*_session*-lat*_1.00000001537bd4e23268a3ea04dfc97f97c8f1eeb5ee3e72c712723a51dc4d4c1ff81c2536d427664db8febd50c612f8b3dc0c117da99629.0000000184b9127eabf5bfc3afa692f09d1b35bab5ee3e7201c69928a11e91041f0626119b5fb3a7a54dbd915569b73609d352d067eaa8ec.0.1.1.BDEbi.D066E1C611E6257C10D00080EF253B44.0-3082.1.1_-0.1.0_-3082.1.1_5.5.0.*0.00000001ef10ae9950cc4cc6235cf9a0d37545c1c911585af6766338221ad3f96fa6ba71163d54b9.0.23.11*.2*.0400*.31152J.e.00000001fc87bd32435cf109bf0707dd106d5fe2c911585a447e7fbf3a6a405cd9a83c2f79a586b5.0.10*.131*.122*.122.0.0" msgID="92DCB3EE11EBFE7A432A0080EF95A19D"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nrr="1020" nrc="56"&gt;&lt;pg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</si>
  <si>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Agosto 2021</t>
  </si>
  <si>
    <t>31/08/2021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</si>
  <si>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07:52:45"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msgID="8F2E00EC11EC1467432A0080EF25C29E"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</si>
  <si>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08:20:41"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msgID="B63112A611EC1467432A0080EFF5629D"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nrr="1098" nrc="780"&gt;&lt;pg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</si>
  <si>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guid="0e5b8ea87ce4487cbb5232ebfd78df86"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ut="09/13/2021 08:32:16"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msgID="7EEF3AFD11EC146C432A0080EF25C3A0"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nrr="1038" nrc="57"&gt;&lt;pg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</si>
  <si>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17/08/2021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</si>
  <si>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08:32:41"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msgID="234C5A6211EC146D432A0080EFB5E19D"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nrr="986" nrc="55"&gt;&lt;pg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</si>
  <si>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ut="09/13/2021 08:37:06"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msgID="372B433611EC146D432A0080EFE5439F"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nrr="1022" nrc="1400"&gt;&lt;pg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</si>
  <si>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08:38:00"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msgID="D6266F4C11EC146D432A0080EFF5629D"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rows="36" cols="19" /&gt;&lt;esdo ews="" ece="" ptn="" /&gt;&lt;/excel&gt;&lt;pgs&gt;&lt;pg rows="31" cols="18" nrr="1748" nrc="1927"&gt;&lt;pg /&gt;&lt;bls&gt;&lt;bl sr="1" sc="1" rfetch="31" cfetch="18" posid="1" darows="0" dacols="1"&gt;&lt;excel&gt;&lt;epo ews="Dat_01" ece="A175" enr="MSTR.Balance_B.C._Diario_Peninsular" ptn="" qtn="" rows="36" cols="19" /&gt;&lt;esdo ews="" ece="" ptn="" /&gt;&lt;/excel&gt;&lt;gridRng&gt;&lt;sect id="TITLE_AREA" rngprop="1:1:5:1" /&gt;&lt;sect id="ROWHEADERS_AREA" rngprop="6:1:31:1" /&gt;&lt;sect id="COLUMNHEADERS_AREA" rngprop="1:2:5:18" /&gt;&lt;sect id="DATA_AREA" rngprop="6:2:31:18"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</si>
  <si>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08:38:54"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msgID="03C7DE2211EC146E432A0080EFE5429D"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nrr="1449" nrc="1111"&gt;&lt;pg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</si>
  <si>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TERN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</si>
  <si>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08:40:05" si="2.0000000115187e16cee5293681c02f1887d46e9c868508f5cb6bdd3fa79a6b0886169feb1aa5be752e0e794146f3b86172b7b20fe19806d3cc40974e9f29b573dce03d83d5a731acd9ba8d30ae61b4c4f4beb9dbc1590ea7149f69ddbbebf545e8e19d68e35c36502ab7ad89f46d0c50a19f9019010eb6a6ebc755ff86bd25a599ed3ac86f7c9b5243b44fe5f944c3aa8dd14d4bd87530dc5d2a015f36c7c66e102b.p.3082.0.1.Europe/Madrid.upriv*_1*_pidn2*_15*_session*-lat*_1.000000019a5ab7b8d9a096213d9f550e8a44aed8b5ee3e7228a833c1ce61d244564c0fe1927bc215a446f51ecc703445068d4b7ff1a5cd62.000000016fe926490005865293552bae9f3dce49b5ee3e724688635299274ff0c5518b931a56380a178fa8ff7abadd986babb1938c3ea5c4.0.1.1.BDEbi.D066E1C611E6257C10D00080EF253B44.0-3082.1.1_-0.1.0_-3082.1.1_5.5.0.*0.00000001cf7da68fe2c8dcf94911b3a17ceb5bd1c911585a722752387b53f6416d1e56163264ee4a.0.23.11*.2*.0400*.31152J.e.00000001b38beb506bd5cb46654e459cbbe28648c911585a248d1d1db838149b2a78bbfbe7cc05d1.0.10*.131*.122*.122.0.0" msgID="184CC32711EC146E432A0080EF55229E"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nrr="394" nrc="410"&gt;&lt;pg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</si>
  <si>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2021 Agosto</t>
  </si>
  <si>
    <t>c462d0d00c5f4dcc9a214709cefe6bdb</t>
  </si>
  <si>
    <t>&lt;mi app="e" ver="22"&gt;&lt;rptloc guid="5b83d63ba9314e82b555f84bc06c4937" rank="0" ds="1"&gt;&lt;ri hasPG="0" name="Potencia instalada" id="CCCD6AEF49D88879CD2CE99555E139E4" path="Objetos públicos\Informes\Informes Específicos\Estadística\INFORMES MACROS\NUEVO BOLETIN ELECTRONICO\Potencia instalada" cf="0" prompt="1" ve="0" vm="0" flashpth="C:\Users\FUEPERRO\AppData\Local\Temp\" fimagepth="C:\Users\FUEPERRO\AppData\Local\Temp\" swfn="DashboardViewer.swf" fvars="" dvis=""&gt;&lt;ans /&gt;&lt;ci ps="BI" srv="apcpr64b" prj="SIOSbi" prjid="A04572404A6ABF2446090B938515E87E" li="FUEPERRO" am="s" /&gt;&lt;lu ut="09/13/2021 08:48:32" si="2.00000001c5ac8ad21d4654d2bb31879633e45880dc265ce3ef0744c201d11cb835a12a9102512a3a149c0ff9895e7435dbdef44e2ae187f636683b3772c79325f3a0fc3b07b7cadbf5c0f85b0c6ffd643f950135b13af984e42050211baa8b98f6cc52cd4eb2a81483ca77fb9fd30e42da24ab3dd3324f52cab0753933c913a42ac5aec95b625d12620dc04087db80efe8a9de9b93710a2b4f723e48a8fafe0f8e1e.p.3082.0.1.Europe/Madrid.upriv*_1*_pidn2*_57*_session*-lat*_1.0000000159dbf4d1c2e8185d607598d3a9e64351b5ee3e7221af1218ab779650e8c05c56718eee3ca46671f0dc8448b592979cf0c1c3eeca.0000000154120b40fce3f0c5f4aadbc16df5dd24b5ee3e7252fa3d220d937c9f24f249a47088f92ed6c544815f00a7badaca3902e14b892f.0.1.1.SIOSbi.A04572404A6ABF2446090B938515E87E.0-3082.1.1_-0.1.0_-3082.1.1_5.5.0.*0.0000000122a3437411a5942e9b5d76c2485c5299c911585a70db75a0ec6b3470444a7ee382bea379.0.23.11*.2*.0400*.31152J.e.00000001e7d6c805e50ab1627b5d869410ec8395c911585a1afa1e04e6655feb6169320acf969a2d.0.10*.131*.122*.122.0.0" msgID="5C085F8E11EC146F432A0080EFA5C3A1"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ece="L4" enr="MSTR.Potencia_instalada.1" ptn="" qtn="" rows="17" cols="2" /&gt;&lt;esdo ews="" ece="" ptn="" /&gt;&lt;/excel&gt;&lt;pgs&gt;&lt;pg rows="14" cols="1" nrr="70" nrc="5"&gt;&lt;pg /&gt;&lt;bls&gt;&lt;bl sr="1" sc="1" rfetch="14" cfetch="1" posid="1" darows="0" dacols="1"&gt;&lt;excel&gt;&lt;epo ews="Dat_01" ece="L4" enr="MSTR.Potencia_instalada.1" ptn="" qtn="" rows="17" cols="2" /&gt;&lt;esdo ews="" ece="" ptn="" /&gt;&lt;/excel&gt;&lt;gridRng&gt;&lt;sect id="TITLE_AREA" rngprop="1:1:3:1" /&gt;&lt;sect id="ROWHEADERS_AREA" rngprop="4:1:14:1" /&gt;&lt;sect id="COLUMNHEADERS_AREA" rngprop="1:2:3:1" /&gt;&lt;sect id="DATA_AREA" rngprop="4:2:14:1" /&gt;&lt;/gridRng&gt;&lt;shapes /&gt;&lt;/bl&gt;&lt;/bls&gt;&lt;/pg&gt;&lt;/pgs&gt;&lt;/rptloc&gt;&lt;/mi&gt;</t>
  </si>
  <si>
    <t>Martes 24/08/2021 (00:28 h)</t>
  </si>
  <si>
    <t>Martes 24/08/2021 (00:54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</si>
</sst>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7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  <font>
      <sz val="8"/>
      <name val="Geneva"/>
    </font>
    <font>
      <sz val="8"/>
      <color theme="1"/>
      <name val="Arial"/>
      <family val="2"/>
    </font>
    <font>
      <b/>
      <sz val="8"/>
      <color rgb="FF0B428E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  <fill>
      <patternFill patternType="solid">
        <fgColor rgb="FFDFDFDF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53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  <xf numFmtId="165" fontId="71" fillId="14" borderId="13">
      <alignment vertical="center" wrapText="1"/>
    </xf>
    <xf numFmtId="165" fontId="71" fillId="13" borderId="13">
      <alignment horizontal="left" vertical="center"/>
    </xf>
    <xf numFmtId="165" fontId="71" fillId="14" borderId="13">
      <alignment horizontal="center" wrapText="1"/>
    </xf>
    <xf numFmtId="168" fontId="71" fillId="13" borderId="13">
      <alignment horizontal="right" vertical="center"/>
    </xf>
  </cellStyleXfs>
  <cellXfs count="349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71" fontId="16" fillId="2" borderId="7" xfId="0" applyNumberFormat="1" applyFont="1" applyFill="1" applyBorder="1"/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1" fontId="16" fillId="0" borderId="0" xfId="3" applyNumberFormat="1" applyFont="1" applyFill="1" applyBorder="1"/>
    <xf numFmtId="1" fontId="70" fillId="0" borderId="0" xfId="3" applyNumberFormat="1" applyFont="1" applyFill="1" applyBorder="1"/>
    <xf numFmtId="165" fontId="71" fillId="14" borderId="13" xfId="49" applyAlignment="1">
      <alignment vertical="center"/>
    </xf>
    <xf numFmtId="165" fontId="71" fillId="14" borderId="13" xfId="51" quotePrefix="1" applyAlignment="1">
      <alignment horizontal="center"/>
    </xf>
    <xf numFmtId="165" fontId="71" fillId="14" borderId="13" xfId="51" applyAlignment="1">
      <alignment horizontal="center"/>
    </xf>
    <xf numFmtId="168" fontId="17" fillId="4" borderId="13" xfId="46" applyAlignment="1">
      <alignment horizontal="right" vertical="center"/>
    </xf>
    <xf numFmtId="165" fontId="71" fillId="13" borderId="13" xfId="50" quotePrefix="1" applyAlignment="1">
      <alignment horizontal="left" vertical="center"/>
    </xf>
    <xf numFmtId="168" fontId="71" fillId="13" borderId="13" xfId="52" applyAlignment="1">
      <alignment horizontal="right" vertical="center"/>
    </xf>
    <xf numFmtId="165" fontId="46" fillId="6" borderId="13" xfId="29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53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_e153042f-707e-470f-9ae6-b2261dc537dd" xfId="49" xr:uid="{0C089A2F-1D42-4871-B3A0-B3855D13E552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03c312d0-6154-48f1-b89c-a4374d2ac33b" xfId="51" xr:uid="{6BBFE342-F0F2-48F2-9896-0157F62CAB84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MSTRStyle.Todos.cEF9EF78311EBE4B100000080EFC544CB_941934bb-17c9-4476-9644-f6ead735be79" xfId="50" xr:uid="{76DD4D36-5A03-4E73-B3A4-6DA9693F0638}"/>
    <cellStyle name="MSTRStyle.Todos.cEF9EFC7911EBE4B100000080EFC544CB_fada1520-e799-4241-8aee-b007ed03b5f8" xfId="52" xr:uid="{267C298B-0156-4CEE-9019-4AEB8EB4CEAB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FA7A3"/>
      <color rgb="FF44B114"/>
      <color rgb="FF385723"/>
      <color rgb="FFED7D31"/>
      <color rgb="FF004563"/>
      <color rgb="FFDAACA8"/>
      <color rgb="FFD6AD84"/>
      <color rgb="FFF5F5F5"/>
      <color rgb="FFD6ADA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Pt>
            <c:idx val="12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DEA1-4204-95F8-0C8E2B877CE9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21788617886178849"/>
                  <c:y val="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5609756097560976"/>
                  <c:y val="0.135947712418300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29593495934959352"/>
                  <c:y val="0.129486696515876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dLbl>
              <c:idx val="12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DEA1-4204-95F8-0C8E2B877C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Dat_01!$A$33:$A$45</c:f>
              <c:strCache>
                <c:ptCount val="13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Fuel+gas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Hidráulica</c:v>
                </c:pt>
                <c:pt idx="10">
                  <c:v>Solar fotovoltaica</c:v>
                </c:pt>
                <c:pt idx="11">
                  <c:v>Solar térmica</c:v>
                </c:pt>
                <c:pt idx="12">
                  <c:v>Otras renovables</c:v>
                </c:pt>
              </c:strCache>
            </c:strRef>
          </c:cat>
          <c:val>
            <c:numRef>
              <c:f>Dat_01!$C$33:$C$45</c:f>
              <c:numCache>
                <c:formatCode>#,##0.0</c:formatCode>
                <c:ptCount val="13"/>
                <c:pt idx="0">
                  <c:v>3.1205017811158409</c:v>
                </c:pt>
                <c:pt idx="1">
                  <c:v>6.6667215350056912</c:v>
                </c:pt>
                <c:pt idx="2">
                  <c:v>4.3486150946620059</c:v>
                </c:pt>
                <c:pt idx="3">
                  <c:v>23.006928339434236</c:v>
                </c:pt>
                <c:pt idx="4">
                  <c:v>5.2652538284469799</c:v>
                </c:pt>
                <c:pt idx="5">
                  <c:v>7.446715843150307E-3</c:v>
                </c:pt>
                <c:pt idx="6">
                  <c:v>0.37690357955488929</c:v>
                </c:pt>
                <c:pt idx="7">
                  <c:v>0.12329466536405875</c:v>
                </c:pt>
                <c:pt idx="8">
                  <c:v>25.718777304076497</c:v>
                </c:pt>
                <c:pt idx="9">
                  <c:v>16.009646647905008</c:v>
                </c:pt>
                <c:pt idx="10">
                  <c:v>12.181644375782064</c:v>
                </c:pt>
                <c:pt idx="11">
                  <c:v>2.158154730808084</c:v>
                </c:pt>
                <c:pt idx="12">
                  <c:v>1.0161114020014852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158.85512120000001</c:v>
                </c:pt>
                <c:pt idx="1">
                  <c:v>187.668031348</c:v>
                </c:pt>
                <c:pt idx="2">
                  <c:v>229.96202238999999</c:v>
                </c:pt>
                <c:pt idx="3">
                  <c:v>205.997806862</c:v>
                </c:pt>
                <c:pt idx="4">
                  <c:v>320.93024189800002</c:v>
                </c:pt>
                <c:pt idx="5">
                  <c:v>320.51078940799999</c:v>
                </c:pt>
                <c:pt idx="6">
                  <c:v>401.29321896599998</c:v>
                </c:pt>
                <c:pt idx="7">
                  <c:v>330.80630354200002</c:v>
                </c:pt>
                <c:pt idx="8">
                  <c:v>153.67971897199999</c:v>
                </c:pt>
                <c:pt idx="9">
                  <c:v>238.70894406400001</c:v>
                </c:pt>
                <c:pt idx="10">
                  <c:v>105.70565758799999</c:v>
                </c:pt>
                <c:pt idx="11">
                  <c:v>115.790175512</c:v>
                </c:pt>
                <c:pt idx="12">
                  <c:v>159.086738274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5151.9174220000004</c:v>
                </c:pt>
                <c:pt idx="1">
                  <c:v>4871.2094020000004</c:v>
                </c:pt>
                <c:pt idx="2">
                  <c:v>4528.3442359999999</c:v>
                </c:pt>
                <c:pt idx="3">
                  <c:v>4639.755709</c:v>
                </c:pt>
                <c:pt idx="4">
                  <c:v>5270.8108380000003</c:v>
                </c:pt>
                <c:pt idx="5">
                  <c:v>5199.7405159999998</c:v>
                </c:pt>
                <c:pt idx="6">
                  <c:v>4358.5151070000002</c:v>
                </c:pt>
                <c:pt idx="7">
                  <c:v>4833.1364599999997</c:v>
                </c:pt>
                <c:pt idx="8">
                  <c:v>4197.3329299999996</c:v>
                </c:pt>
                <c:pt idx="9">
                  <c:v>4373.2508939999998</c:v>
                </c:pt>
                <c:pt idx="10">
                  <c:v>3684.3838430000001</c:v>
                </c:pt>
                <c:pt idx="11">
                  <c:v>5119.3959809999997</c:v>
                </c:pt>
                <c:pt idx="12">
                  <c:v>5150.2640140000003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338.34884299999999</c:v>
                </c:pt>
                <c:pt idx="1">
                  <c:v>282.55493999999999</c:v>
                </c:pt>
                <c:pt idx="2">
                  <c:v>235.11278300000001</c:v>
                </c:pt>
                <c:pt idx="3">
                  <c:v>336.18096000000003</c:v>
                </c:pt>
                <c:pt idx="4">
                  <c:v>222.17338899999999</c:v>
                </c:pt>
                <c:pt idx="5">
                  <c:v>558.54747499999996</c:v>
                </c:pt>
                <c:pt idx="6">
                  <c:v>177.073452</c:v>
                </c:pt>
                <c:pt idx="7">
                  <c:v>242.90618799999999</c:v>
                </c:pt>
                <c:pt idx="8">
                  <c:v>270.940157</c:v>
                </c:pt>
                <c:pt idx="9">
                  <c:v>333.46570800000001</c:v>
                </c:pt>
                <c:pt idx="10">
                  <c:v>431.99096700000001</c:v>
                </c:pt>
                <c:pt idx="11">
                  <c:v>302.41718100000003</c:v>
                </c:pt>
                <c:pt idx="12">
                  <c:v>320.34443199999998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5051.1759519999996</c:v>
                </c:pt>
                <c:pt idx="1">
                  <c:v>4546.4757390000004</c:v>
                </c:pt>
                <c:pt idx="2">
                  <c:v>2791.0383710000001</c:v>
                </c:pt>
                <c:pt idx="3">
                  <c:v>3221.3084140000001</c:v>
                </c:pt>
                <c:pt idx="4">
                  <c:v>2564.8316060000002</c:v>
                </c:pt>
                <c:pt idx="5">
                  <c:v>2188.3044850000001</c:v>
                </c:pt>
                <c:pt idx="6">
                  <c:v>1086.83896</c:v>
                </c:pt>
                <c:pt idx="7">
                  <c:v>1649.419373</c:v>
                </c:pt>
                <c:pt idx="8">
                  <c:v>2865.8610100000001</c:v>
                </c:pt>
                <c:pt idx="9">
                  <c:v>2004.7769000000001</c:v>
                </c:pt>
                <c:pt idx="10">
                  <c:v>3136.247484</c:v>
                </c:pt>
                <c:pt idx="11">
                  <c:v>3024.8909399999998</c:v>
                </c:pt>
                <c:pt idx="12">
                  <c:v>3325.1988150000002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2191.606194</c:v>
                </c:pt>
                <c:pt idx="1">
                  <c:v>2304.531516</c:v>
                </c:pt>
                <c:pt idx="2">
                  <c:v>2351.3923199999999</c:v>
                </c:pt>
                <c:pt idx="3">
                  <c:v>2386.903992</c:v>
                </c:pt>
                <c:pt idx="4">
                  <c:v>2339.665661</c:v>
                </c:pt>
                <c:pt idx="5">
                  <c:v>2400.83545</c:v>
                </c:pt>
                <c:pt idx="6">
                  <c:v>1835.7706760000001</c:v>
                </c:pt>
                <c:pt idx="7">
                  <c:v>2247.9164740000001</c:v>
                </c:pt>
                <c:pt idx="8">
                  <c:v>2187.7371330000001</c:v>
                </c:pt>
                <c:pt idx="9">
                  <c:v>2200.0301570000001</c:v>
                </c:pt>
                <c:pt idx="10">
                  <c:v>2158.3921679999999</c:v>
                </c:pt>
                <c:pt idx="11">
                  <c:v>2239.4408100000001</c:v>
                </c:pt>
                <c:pt idx="12">
                  <c:v>2097.6266230000001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178.96316150000001</c:v>
                </c:pt>
                <c:pt idx="1">
                  <c:v>173.89508950000001</c:v>
                </c:pt>
                <c:pt idx="2">
                  <c:v>156.50662750000001</c:v>
                </c:pt>
                <c:pt idx="3">
                  <c:v>180.74303649999999</c:v>
                </c:pt>
                <c:pt idx="4">
                  <c:v>180.31613300000001</c:v>
                </c:pt>
                <c:pt idx="5">
                  <c:v>175.14184499999999</c:v>
                </c:pt>
                <c:pt idx="6">
                  <c:v>161.44275200000001</c:v>
                </c:pt>
                <c:pt idx="7">
                  <c:v>171.48853299999999</c:v>
                </c:pt>
                <c:pt idx="8">
                  <c:v>167.72491149999999</c:v>
                </c:pt>
                <c:pt idx="9">
                  <c:v>170.74740800000001</c:v>
                </c:pt>
                <c:pt idx="10">
                  <c:v>182.05203750000001</c:v>
                </c:pt>
                <c:pt idx="11">
                  <c:v>193.13370449999999</c:v>
                </c:pt>
                <c:pt idx="12">
                  <c:v>198.40012300000001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FBE1-4447-9B95-6E000051BCCC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6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C8E6-4771-8112-A943A5618A71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059D-47D1-ACBC-CCEF7EE67987}"/>
              </c:ext>
            </c:extLst>
          </c:dPt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99.080189000000004</c:v>
                </c:pt>
                <c:pt idx="1">
                  <c:v>65.453987999999995</c:v>
                </c:pt>
                <c:pt idx="2">
                  <c:v>81.134425000000007</c:v>
                </c:pt>
                <c:pt idx="3">
                  <c:v>117.793466</c:v>
                </c:pt>
                <c:pt idx="4">
                  <c:v>126.17005400000001</c:v>
                </c:pt>
                <c:pt idx="5">
                  <c:v>136.271041</c:v>
                </c:pt>
                <c:pt idx="6">
                  <c:v>161.55767399999999</c:v>
                </c:pt>
                <c:pt idx="7">
                  <c:v>90.908063999999996</c:v>
                </c:pt>
                <c:pt idx="8">
                  <c:v>83.165186000000006</c:v>
                </c:pt>
                <c:pt idx="9">
                  <c:v>63.679190999999996</c:v>
                </c:pt>
                <c:pt idx="10">
                  <c:v>70.815056999999996</c:v>
                </c:pt>
                <c:pt idx="11">
                  <c:v>105.12150199999999</c:v>
                </c:pt>
                <c:pt idx="12">
                  <c:v>77.876881999999995</c:v>
                </c:pt>
                <c:pt idx="13">
                  <c:v>88.148835999999989</c:v>
                </c:pt>
                <c:pt idx="14">
                  <c:v>133.480705</c:v>
                </c:pt>
                <c:pt idx="15">
                  <c:v>227.307514</c:v>
                </c:pt>
                <c:pt idx="16">
                  <c:v>246.26017000000002</c:v>
                </c:pt>
                <c:pt idx="17">
                  <c:v>188.531339</c:v>
                </c:pt>
                <c:pt idx="18">
                  <c:v>100.552685</c:v>
                </c:pt>
                <c:pt idx="19">
                  <c:v>70.082198000000005</c:v>
                </c:pt>
                <c:pt idx="20">
                  <c:v>75.086461</c:v>
                </c:pt>
                <c:pt idx="21">
                  <c:v>135.55831599999999</c:v>
                </c:pt>
                <c:pt idx="22">
                  <c:v>225.24938399999999</c:v>
                </c:pt>
                <c:pt idx="23">
                  <c:v>199.96490800000001</c:v>
                </c:pt>
                <c:pt idx="24">
                  <c:v>84.560846999999995</c:v>
                </c:pt>
                <c:pt idx="25">
                  <c:v>43.339232000000003</c:v>
                </c:pt>
                <c:pt idx="26">
                  <c:v>80.722676000000007</c:v>
                </c:pt>
                <c:pt idx="27">
                  <c:v>162.17687799999999</c:v>
                </c:pt>
                <c:pt idx="28">
                  <c:v>106.96474099999999</c:v>
                </c:pt>
                <c:pt idx="29">
                  <c:v>70.593452999999997</c:v>
                </c:pt>
                <c:pt idx="30">
                  <c:v>79.501626999999999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1"/>
                <c:pt idx="0">
                  <c:v>17.110398429482085</c:v>
                </c:pt>
                <c:pt idx="1">
                  <c:v>10.710024305870245</c:v>
                </c:pt>
                <c:pt idx="2">
                  <c:v>12.788111332955191</c:v>
                </c:pt>
                <c:pt idx="3">
                  <c:v>17.337851141480197</c:v>
                </c:pt>
                <c:pt idx="4">
                  <c:v>19.241685307826813</c:v>
                </c:pt>
                <c:pt idx="5">
                  <c:v>20.560531704523324</c:v>
                </c:pt>
                <c:pt idx="6">
                  <c:v>25.522197426782444</c:v>
                </c:pt>
                <c:pt idx="7">
                  <c:v>15.76794952095168</c:v>
                </c:pt>
                <c:pt idx="8">
                  <c:v>13.680415771907237</c:v>
                </c:pt>
                <c:pt idx="9">
                  <c:v>10.060676479649942</c:v>
                </c:pt>
                <c:pt idx="10">
                  <c:v>11.099212274166041</c:v>
                </c:pt>
                <c:pt idx="11">
                  <c:v>15.450116266528457</c:v>
                </c:pt>
                <c:pt idx="12">
                  <c:v>11.599041974994766</c:v>
                </c:pt>
                <c:pt idx="13">
                  <c:v>13.23680599473974</c:v>
                </c:pt>
                <c:pt idx="14">
                  <c:v>20.811416487169634</c:v>
                </c:pt>
                <c:pt idx="15">
                  <c:v>31.43467788244747</c:v>
                </c:pt>
                <c:pt idx="16">
                  <c:v>33.604283170856974</c:v>
                </c:pt>
                <c:pt idx="17">
                  <c:v>27.222006547073978</c:v>
                </c:pt>
                <c:pt idx="18">
                  <c:v>15.550090345945133</c:v>
                </c:pt>
                <c:pt idx="19">
                  <c:v>10.918694092617159</c:v>
                </c:pt>
                <c:pt idx="20">
                  <c:v>12.387457277232233</c:v>
                </c:pt>
                <c:pt idx="21">
                  <c:v>22.356536103162611</c:v>
                </c:pt>
                <c:pt idx="22">
                  <c:v>31.94107306076906</c:v>
                </c:pt>
                <c:pt idx="23">
                  <c:v>28.412317558616241</c:v>
                </c:pt>
                <c:pt idx="24">
                  <c:v>12.732754126699069</c:v>
                </c:pt>
                <c:pt idx="25">
                  <c:v>6.5626379981606755</c:v>
                </c:pt>
                <c:pt idx="26">
                  <c:v>12.04600598883694</c:v>
                </c:pt>
                <c:pt idx="27">
                  <c:v>24.71447679187775</c:v>
                </c:pt>
                <c:pt idx="28">
                  <c:v>17.961319161852543</c:v>
                </c:pt>
                <c:pt idx="29">
                  <c:v>10.815520876020503</c:v>
                </c:pt>
                <c:pt idx="30">
                  <c:v>11.878591707391573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131.74719799999997</c:v>
                </c:pt>
                <c:pt idx="1">
                  <c:v>186.58565300000001</c:v>
                </c:pt>
                <c:pt idx="2">
                  <c:v>150.80028300000001</c:v>
                </c:pt>
                <c:pt idx="3">
                  <c:v>127.99738599999999</c:v>
                </c:pt>
                <c:pt idx="4">
                  <c:v>64.102328999999997</c:v>
                </c:pt>
                <c:pt idx="5">
                  <c:v>105.30098</c:v>
                </c:pt>
                <c:pt idx="6">
                  <c:v>104.45495299999999</c:v>
                </c:pt>
                <c:pt idx="7">
                  <c:v>92.983648000000002</c:v>
                </c:pt>
                <c:pt idx="8">
                  <c:v>81.690436000000005</c:v>
                </c:pt>
                <c:pt idx="9">
                  <c:v>114.20965299999999</c:v>
                </c:pt>
                <c:pt idx="10">
                  <c:v>145.41758999999999</c:v>
                </c:pt>
                <c:pt idx="11">
                  <c:v>97.815604999999991</c:v>
                </c:pt>
                <c:pt idx="12">
                  <c:v>33.690694999999998</c:v>
                </c:pt>
                <c:pt idx="13">
                  <c:v>61.211841</c:v>
                </c:pt>
                <c:pt idx="14">
                  <c:v>118.56844700000001</c:v>
                </c:pt>
                <c:pt idx="15">
                  <c:v>131.760887</c:v>
                </c:pt>
                <c:pt idx="16">
                  <c:v>109.63229399999999</c:v>
                </c:pt>
                <c:pt idx="17">
                  <c:v>85.017240999999999</c:v>
                </c:pt>
                <c:pt idx="18">
                  <c:v>170.35764</c:v>
                </c:pt>
                <c:pt idx="19">
                  <c:v>175.754288</c:v>
                </c:pt>
                <c:pt idx="20">
                  <c:v>116.247028</c:v>
                </c:pt>
                <c:pt idx="21">
                  <c:v>75.847902000000005</c:v>
                </c:pt>
                <c:pt idx="22">
                  <c:v>114.35244499999999</c:v>
                </c:pt>
                <c:pt idx="23">
                  <c:v>101.038827</c:v>
                </c:pt>
                <c:pt idx="24">
                  <c:v>70.959075999999996</c:v>
                </c:pt>
                <c:pt idx="25">
                  <c:v>51.794538000000003</c:v>
                </c:pt>
                <c:pt idx="26">
                  <c:v>66.208909000000006</c:v>
                </c:pt>
                <c:pt idx="27">
                  <c:v>166.36864499999999</c:v>
                </c:pt>
                <c:pt idx="28">
                  <c:v>231.152987</c:v>
                </c:pt>
                <c:pt idx="29">
                  <c:v>164.24292399999999</c:v>
                </c:pt>
                <c:pt idx="30">
                  <c:v>93.685998999999995</c:v>
                </c:pt>
                <c:pt idx="31">
                  <c:v>59.806457999999999</c:v>
                </c:pt>
                <c:pt idx="32">
                  <c:v>121.684246</c:v>
                </c:pt>
                <c:pt idx="33">
                  <c:v>71.609544999999997</c:v>
                </c:pt>
                <c:pt idx="34">
                  <c:v>95.208067</c:v>
                </c:pt>
                <c:pt idx="35">
                  <c:v>172.85350800000001</c:v>
                </c:pt>
                <c:pt idx="36">
                  <c:v>258.66792900000002</c:v>
                </c:pt>
                <c:pt idx="37">
                  <c:v>255.185046</c:v>
                </c:pt>
                <c:pt idx="38">
                  <c:v>165.18522200000001</c:v>
                </c:pt>
                <c:pt idx="39">
                  <c:v>76.414304000000001</c:v>
                </c:pt>
                <c:pt idx="40">
                  <c:v>97.360327999999996</c:v>
                </c:pt>
                <c:pt idx="41">
                  <c:v>84.595854000000003</c:v>
                </c:pt>
                <c:pt idx="42">
                  <c:v>95.812807000000006</c:v>
                </c:pt>
                <c:pt idx="43">
                  <c:v>133.250348</c:v>
                </c:pt>
                <c:pt idx="44">
                  <c:v>143.83927499999999</c:v>
                </c:pt>
                <c:pt idx="45">
                  <c:v>61.669970999999997</c:v>
                </c:pt>
                <c:pt idx="46">
                  <c:v>47.954214</c:v>
                </c:pt>
                <c:pt idx="47">
                  <c:v>131.59429</c:v>
                </c:pt>
                <c:pt idx="48">
                  <c:v>177.42695900000001</c:v>
                </c:pt>
                <c:pt idx="49">
                  <c:v>146.07268299999998</c:v>
                </c:pt>
                <c:pt idx="50">
                  <c:v>71.398513000000008</c:v>
                </c:pt>
                <c:pt idx="51">
                  <c:v>43.953246</c:v>
                </c:pt>
                <c:pt idx="52">
                  <c:v>42.289270999999999</c:v>
                </c:pt>
                <c:pt idx="53">
                  <c:v>118.394065</c:v>
                </c:pt>
                <c:pt idx="54">
                  <c:v>228.60527999999999</c:v>
                </c:pt>
                <c:pt idx="55">
                  <c:v>330.956053</c:v>
                </c:pt>
                <c:pt idx="56">
                  <c:v>271.05903899999998</c:v>
                </c:pt>
                <c:pt idx="57">
                  <c:v>242.12344899999999</c:v>
                </c:pt>
                <c:pt idx="58">
                  <c:v>136.61255</c:v>
                </c:pt>
                <c:pt idx="59">
                  <c:v>53.063534999999995</c:v>
                </c:pt>
                <c:pt idx="60">
                  <c:v>62.516165999999998</c:v>
                </c:pt>
                <c:pt idx="61">
                  <c:v>202.31051200000002</c:v>
                </c:pt>
                <c:pt idx="62">
                  <c:v>362.362075</c:v>
                </c:pt>
                <c:pt idx="63">
                  <c:v>313.480929</c:v>
                </c:pt>
                <c:pt idx="64">
                  <c:v>260.74477100000001</c:v>
                </c:pt>
                <c:pt idx="65">
                  <c:v>174.01282799999998</c:v>
                </c:pt>
                <c:pt idx="66">
                  <c:v>159.323689</c:v>
                </c:pt>
                <c:pt idx="67">
                  <c:v>106.33266</c:v>
                </c:pt>
                <c:pt idx="68">
                  <c:v>60.809464999999996</c:v>
                </c:pt>
                <c:pt idx="69">
                  <c:v>47.700455999999996</c:v>
                </c:pt>
                <c:pt idx="70">
                  <c:v>209.87503899999999</c:v>
                </c:pt>
                <c:pt idx="71">
                  <c:v>251.346497</c:v>
                </c:pt>
                <c:pt idx="72">
                  <c:v>193.37521899999999</c:v>
                </c:pt>
                <c:pt idx="73">
                  <c:v>162.52113700000001</c:v>
                </c:pt>
                <c:pt idx="74">
                  <c:v>204.77273799999998</c:v>
                </c:pt>
                <c:pt idx="75">
                  <c:v>182.103228</c:v>
                </c:pt>
                <c:pt idx="76">
                  <c:v>110.112658</c:v>
                </c:pt>
                <c:pt idx="77">
                  <c:v>50.603332999999999</c:v>
                </c:pt>
                <c:pt idx="78">
                  <c:v>61.568391000000005</c:v>
                </c:pt>
                <c:pt idx="79">
                  <c:v>286.007882</c:v>
                </c:pt>
                <c:pt idx="80">
                  <c:v>337.56826000000001</c:v>
                </c:pt>
                <c:pt idx="81">
                  <c:v>248.219323</c:v>
                </c:pt>
                <c:pt idx="82">
                  <c:v>139.688761</c:v>
                </c:pt>
                <c:pt idx="83">
                  <c:v>164.82696799999999</c:v>
                </c:pt>
                <c:pt idx="84">
                  <c:v>218.245396</c:v>
                </c:pt>
                <c:pt idx="85">
                  <c:v>293.95637599999998</c:v>
                </c:pt>
                <c:pt idx="86">
                  <c:v>273.29149999999998</c:v>
                </c:pt>
                <c:pt idx="87">
                  <c:v>242.68268899999998</c:v>
                </c:pt>
                <c:pt idx="88">
                  <c:v>117.49772900000001</c:v>
                </c:pt>
                <c:pt idx="89">
                  <c:v>58.620100999999998</c:v>
                </c:pt>
                <c:pt idx="90">
                  <c:v>87.59764100000001</c:v>
                </c:pt>
                <c:pt idx="91">
                  <c:v>123.97042500000001</c:v>
                </c:pt>
                <c:pt idx="92">
                  <c:v>125.23935300000001</c:v>
                </c:pt>
                <c:pt idx="93">
                  <c:v>85.920673000000008</c:v>
                </c:pt>
                <c:pt idx="94">
                  <c:v>180.38563200000002</c:v>
                </c:pt>
                <c:pt idx="95">
                  <c:v>217.22378400000002</c:v>
                </c:pt>
                <c:pt idx="96">
                  <c:v>307.200491</c:v>
                </c:pt>
                <c:pt idx="97">
                  <c:v>337.01701800000001</c:v>
                </c:pt>
                <c:pt idx="98">
                  <c:v>233.18067499999998</c:v>
                </c:pt>
                <c:pt idx="99">
                  <c:v>156.800454</c:v>
                </c:pt>
                <c:pt idx="100">
                  <c:v>60.645159</c:v>
                </c:pt>
                <c:pt idx="101">
                  <c:v>35.971010999999997</c:v>
                </c:pt>
                <c:pt idx="102">
                  <c:v>140.179191</c:v>
                </c:pt>
                <c:pt idx="103">
                  <c:v>97.544676999999993</c:v>
                </c:pt>
                <c:pt idx="104">
                  <c:v>79.493798999999996</c:v>
                </c:pt>
                <c:pt idx="105">
                  <c:v>134.23853400000002</c:v>
                </c:pt>
                <c:pt idx="106">
                  <c:v>221.19378499999999</c:v>
                </c:pt>
                <c:pt idx="107">
                  <c:v>105.925865</c:v>
                </c:pt>
                <c:pt idx="108">
                  <c:v>58.954802999999998</c:v>
                </c:pt>
                <c:pt idx="109">
                  <c:v>90.291903000000005</c:v>
                </c:pt>
                <c:pt idx="110">
                  <c:v>190.15540299999998</c:v>
                </c:pt>
                <c:pt idx="111">
                  <c:v>261.16264999999999</c:v>
                </c:pt>
                <c:pt idx="112">
                  <c:v>115.55608599999999</c:v>
                </c:pt>
                <c:pt idx="113">
                  <c:v>56.336182999999998</c:v>
                </c:pt>
                <c:pt idx="114">
                  <c:v>46.552162000000003</c:v>
                </c:pt>
                <c:pt idx="115">
                  <c:v>100.392511</c:v>
                </c:pt>
                <c:pt idx="116">
                  <c:v>121.453129</c:v>
                </c:pt>
                <c:pt idx="117">
                  <c:v>231.44024200000001</c:v>
                </c:pt>
                <c:pt idx="118">
                  <c:v>155.23078099999998</c:v>
                </c:pt>
                <c:pt idx="119">
                  <c:v>70.368157999999994</c:v>
                </c:pt>
                <c:pt idx="120">
                  <c:v>52.875363</c:v>
                </c:pt>
                <c:pt idx="121">
                  <c:v>86.030285000000006</c:v>
                </c:pt>
                <c:pt idx="122">
                  <c:v>177.10347199999998</c:v>
                </c:pt>
                <c:pt idx="123">
                  <c:v>270.73014599999999</c:v>
                </c:pt>
                <c:pt idx="124">
                  <c:v>227.78161499999999</c:v>
                </c:pt>
                <c:pt idx="125">
                  <c:v>309.48027399999995</c:v>
                </c:pt>
                <c:pt idx="126">
                  <c:v>284.83549800000003</c:v>
                </c:pt>
                <c:pt idx="127">
                  <c:v>319.57845900000001</c:v>
                </c:pt>
                <c:pt idx="128">
                  <c:v>384.69365600000003</c:v>
                </c:pt>
                <c:pt idx="129">
                  <c:v>345.50114200000002</c:v>
                </c:pt>
                <c:pt idx="130">
                  <c:v>276.98153400000001</c:v>
                </c:pt>
                <c:pt idx="131">
                  <c:v>363.91985299999999</c:v>
                </c:pt>
                <c:pt idx="132">
                  <c:v>382.781991</c:v>
                </c:pt>
                <c:pt idx="133">
                  <c:v>345.77599500000002</c:v>
                </c:pt>
                <c:pt idx="134">
                  <c:v>199.36503099999999</c:v>
                </c:pt>
                <c:pt idx="135">
                  <c:v>179.980153</c:v>
                </c:pt>
                <c:pt idx="136">
                  <c:v>190.475368</c:v>
                </c:pt>
                <c:pt idx="137">
                  <c:v>160.943062</c:v>
                </c:pt>
                <c:pt idx="138">
                  <c:v>61.788949000000002</c:v>
                </c:pt>
                <c:pt idx="139">
                  <c:v>123.33253199999999</c:v>
                </c:pt>
                <c:pt idx="140">
                  <c:v>135.376823</c:v>
                </c:pt>
                <c:pt idx="141">
                  <c:v>129.84132100000002</c:v>
                </c:pt>
                <c:pt idx="142">
                  <c:v>155.97537800000003</c:v>
                </c:pt>
                <c:pt idx="143">
                  <c:v>132.75632100000001</c:v>
                </c:pt>
                <c:pt idx="144">
                  <c:v>141.42384899999999</c:v>
                </c:pt>
                <c:pt idx="145">
                  <c:v>132.186509</c:v>
                </c:pt>
                <c:pt idx="146">
                  <c:v>287.57069200000001</c:v>
                </c:pt>
                <c:pt idx="147">
                  <c:v>230.41123400000004</c:v>
                </c:pt>
                <c:pt idx="148">
                  <c:v>264.35116399999998</c:v>
                </c:pt>
                <c:pt idx="149">
                  <c:v>391.05309600000004</c:v>
                </c:pt>
                <c:pt idx="150">
                  <c:v>310.73919900000004</c:v>
                </c:pt>
                <c:pt idx="151">
                  <c:v>235.84971599999997</c:v>
                </c:pt>
                <c:pt idx="152">
                  <c:v>233.24161699999999</c:v>
                </c:pt>
                <c:pt idx="153">
                  <c:v>236.95572000000001</c:v>
                </c:pt>
                <c:pt idx="154">
                  <c:v>270.51794599999999</c:v>
                </c:pt>
                <c:pt idx="155">
                  <c:v>222.26715399999998</c:v>
                </c:pt>
                <c:pt idx="156">
                  <c:v>127.92596</c:v>
                </c:pt>
                <c:pt idx="157">
                  <c:v>68.985138000000006</c:v>
                </c:pt>
                <c:pt idx="158">
                  <c:v>67.590433999999988</c:v>
                </c:pt>
                <c:pt idx="159">
                  <c:v>99.150615999999999</c:v>
                </c:pt>
                <c:pt idx="160">
                  <c:v>224.30962199999999</c:v>
                </c:pt>
                <c:pt idx="161">
                  <c:v>243.93426600000001</c:v>
                </c:pt>
                <c:pt idx="162">
                  <c:v>254.30915300000001</c:v>
                </c:pt>
                <c:pt idx="163">
                  <c:v>237.59064299999997</c:v>
                </c:pt>
                <c:pt idx="164">
                  <c:v>164.969347</c:v>
                </c:pt>
                <c:pt idx="165">
                  <c:v>170.91346600000003</c:v>
                </c:pt>
                <c:pt idx="166">
                  <c:v>209.658342</c:v>
                </c:pt>
                <c:pt idx="167">
                  <c:v>217.45799000000002</c:v>
                </c:pt>
                <c:pt idx="168">
                  <c:v>170.35610800000001</c:v>
                </c:pt>
                <c:pt idx="169">
                  <c:v>155.22302999999999</c:v>
                </c:pt>
                <c:pt idx="170">
                  <c:v>56.478533000000006</c:v>
                </c:pt>
                <c:pt idx="171">
                  <c:v>144.09847200000002</c:v>
                </c:pt>
                <c:pt idx="172">
                  <c:v>328.49757499999998</c:v>
                </c:pt>
                <c:pt idx="173">
                  <c:v>385.38604499999997</c:v>
                </c:pt>
                <c:pt idx="174">
                  <c:v>388.95974000000001</c:v>
                </c:pt>
                <c:pt idx="175">
                  <c:v>411.20967400000001</c:v>
                </c:pt>
                <c:pt idx="176">
                  <c:v>347.06242700000001</c:v>
                </c:pt>
                <c:pt idx="177">
                  <c:v>274.75030799999996</c:v>
                </c:pt>
                <c:pt idx="178">
                  <c:v>151.71598999999998</c:v>
                </c:pt>
                <c:pt idx="179">
                  <c:v>219.35983599999997</c:v>
                </c:pt>
                <c:pt idx="180">
                  <c:v>231.328667</c:v>
                </c:pt>
                <c:pt idx="181">
                  <c:v>257.01101800000004</c:v>
                </c:pt>
                <c:pt idx="182">
                  <c:v>379.30464200000006</c:v>
                </c:pt>
                <c:pt idx="183">
                  <c:v>317.81020699999999</c:v>
                </c:pt>
                <c:pt idx="184">
                  <c:v>354.63200399999994</c:v>
                </c:pt>
                <c:pt idx="185">
                  <c:v>298.34410600000001</c:v>
                </c:pt>
                <c:pt idx="186">
                  <c:v>248.37466599999999</c:v>
                </c:pt>
                <c:pt idx="187">
                  <c:v>108.02166700000001</c:v>
                </c:pt>
                <c:pt idx="188">
                  <c:v>168.37187700000001</c:v>
                </c:pt>
                <c:pt idx="189">
                  <c:v>198.89757999999998</c:v>
                </c:pt>
                <c:pt idx="190">
                  <c:v>260.927798</c:v>
                </c:pt>
                <c:pt idx="191">
                  <c:v>341.245745</c:v>
                </c:pt>
                <c:pt idx="192">
                  <c:v>335.91172600000004</c:v>
                </c:pt>
                <c:pt idx="193">
                  <c:v>286.04804600000006</c:v>
                </c:pt>
                <c:pt idx="194">
                  <c:v>194.20349999999999</c:v>
                </c:pt>
                <c:pt idx="195">
                  <c:v>270.06066399999997</c:v>
                </c:pt>
                <c:pt idx="196">
                  <c:v>188.21401900000001</c:v>
                </c:pt>
                <c:pt idx="197">
                  <c:v>166.08467199999998</c:v>
                </c:pt>
                <c:pt idx="198">
                  <c:v>212.85759200000001</c:v>
                </c:pt>
                <c:pt idx="199">
                  <c:v>193.85834</c:v>
                </c:pt>
                <c:pt idx="200">
                  <c:v>150.38908499999999</c:v>
                </c:pt>
                <c:pt idx="201">
                  <c:v>206.50008499999998</c:v>
                </c:pt>
                <c:pt idx="202">
                  <c:v>231.87363300000001</c:v>
                </c:pt>
                <c:pt idx="203">
                  <c:v>278.98808100000002</c:v>
                </c:pt>
                <c:pt idx="204">
                  <c:v>240.68293</c:v>
                </c:pt>
                <c:pt idx="205">
                  <c:v>175.44514599999999</c:v>
                </c:pt>
                <c:pt idx="206">
                  <c:v>163.82093499999999</c:v>
                </c:pt>
                <c:pt idx="207">
                  <c:v>258.985274</c:v>
                </c:pt>
                <c:pt idx="208">
                  <c:v>138.19765100000001</c:v>
                </c:pt>
                <c:pt idx="209">
                  <c:v>142.21125700000002</c:v>
                </c:pt>
                <c:pt idx="210">
                  <c:v>208.04583</c:v>
                </c:pt>
                <c:pt idx="211">
                  <c:v>219.680318</c:v>
                </c:pt>
                <c:pt idx="212">
                  <c:v>217.03989300000001</c:v>
                </c:pt>
                <c:pt idx="213">
                  <c:v>116.65366299999999</c:v>
                </c:pt>
                <c:pt idx="214">
                  <c:v>59.233159000000001</c:v>
                </c:pt>
                <c:pt idx="215">
                  <c:v>85.570998000000003</c:v>
                </c:pt>
                <c:pt idx="216">
                  <c:v>146.74572899999998</c:v>
                </c:pt>
                <c:pt idx="217">
                  <c:v>136.76976400000001</c:v>
                </c:pt>
                <c:pt idx="218">
                  <c:v>69.506714000000002</c:v>
                </c:pt>
                <c:pt idx="219">
                  <c:v>162.11311200000003</c:v>
                </c:pt>
                <c:pt idx="220">
                  <c:v>139.32670400000001</c:v>
                </c:pt>
                <c:pt idx="221">
                  <c:v>117.505933</c:v>
                </c:pt>
                <c:pt idx="222">
                  <c:v>214.55202099999997</c:v>
                </c:pt>
                <c:pt idx="223">
                  <c:v>177.23169000000001</c:v>
                </c:pt>
                <c:pt idx="224">
                  <c:v>142.902986</c:v>
                </c:pt>
                <c:pt idx="225">
                  <c:v>198.94388500000002</c:v>
                </c:pt>
                <c:pt idx="226">
                  <c:v>229.69514800000002</c:v>
                </c:pt>
                <c:pt idx="227">
                  <c:v>317.664782</c:v>
                </c:pt>
                <c:pt idx="228">
                  <c:v>352.48069299999997</c:v>
                </c:pt>
                <c:pt idx="229">
                  <c:v>308.59627799999998</c:v>
                </c:pt>
                <c:pt idx="230">
                  <c:v>306.92872500000004</c:v>
                </c:pt>
                <c:pt idx="231">
                  <c:v>356.70293400000003</c:v>
                </c:pt>
                <c:pt idx="232">
                  <c:v>299.76420299999995</c:v>
                </c:pt>
                <c:pt idx="233">
                  <c:v>240.35423900000001</c:v>
                </c:pt>
                <c:pt idx="234">
                  <c:v>68.061356000000004</c:v>
                </c:pt>
                <c:pt idx="235">
                  <c:v>23.369688999999997</c:v>
                </c:pt>
                <c:pt idx="236">
                  <c:v>46.521746999999998</c:v>
                </c:pt>
                <c:pt idx="237">
                  <c:v>101.47027600000001</c:v>
                </c:pt>
                <c:pt idx="238">
                  <c:v>138.59802299999998</c:v>
                </c:pt>
                <c:pt idx="239">
                  <c:v>125.51275699999999</c:v>
                </c:pt>
                <c:pt idx="240">
                  <c:v>224.63117300000002</c:v>
                </c:pt>
                <c:pt idx="241">
                  <c:v>198.45922300000001</c:v>
                </c:pt>
                <c:pt idx="242">
                  <c:v>205.817869</c:v>
                </c:pt>
                <c:pt idx="243">
                  <c:v>182.23051199999998</c:v>
                </c:pt>
                <c:pt idx="244">
                  <c:v>76.23691199999999</c:v>
                </c:pt>
                <c:pt idx="245">
                  <c:v>225.276611</c:v>
                </c:pt>
                <c:pt idx="246">
                  <c:v>191.12999299999998</c:v>
                </c:pt>
                <c:pt idx="247">
                  <c:v>111.209886</c:v>
                </c:pt>
                <c:pt idx="248">
                  <c:v>259.31245100000001</c:v>
                </c:pt>
                <c:pt idx="249">
                  <c:v>219.571595</c:v>
                </c:pt>
                <c:pt idx="250">
                  <c:v>143.09699700000002</c:v>
                </c:pt>
                <c:pt idx="251">
                  <c:v>125.65317399999999</c:v>
                </c:pt>
                <c:pt idx="252">
                  <c:v>84.318607</c:v>
                </c:pt>
                <c:pt idx="253">
                  <c:v>207.28801800000002</c:v>
                </c:pt>
                <c:pt idx="254">
                  <c:v>186.45330900000002</c:v>
                </c:pt>
                <c:pt idx="255">
                  <c:v>78.330196000000001</c:v>
                </c:pt>
                <c:pt idx="256">
                  <c:v>117.66481300000001</c:v>
                </c:pt>
                <c:pt idx="257">
                  <c:v>192.740298</c:v>
                </c:pt>
                <c:pt idx="258">
                  <c:v>243.010312</c:v>
                </c:pt>
                <c:pt idx="259">
                  <c:v>227.679554</c:v>
                </c:pt>
                <c:pt idx="260">
                  <c:v>122.07006099999998</c:v>
                </c:pt>
                <c:pt idx="261">
                  <c:v>63.650377999999996</c:v>
                </c:pt>
                <c:pt idx="262">
                  <c:v>47.180749000000006</c:v>
                </c:pt>
                <c:pt idx="263">
                  <c:v>40.098511000000002</c:v>
                </c:pt>
                <c:pt idx="264">
                  <c:v>63.853593000000004</c:v>
                </c:pt>
                <c:pt idx="265">
                  <c:v>189.36352199999999</c:v>
                </c:pt>
                <c:pt idx="266">
                  <c:v>221.39352</c:v>
                </c:pt>
                <c:pt idx="267">
                  <c:v>138.57889900000001</c:v>
                </c:pt>
                <c:pt idx="268">
                  <c:v>52.446289999999998</c:v>
                </c:pt>
                <c:pt idx="269">
                  <c:v>55.059881000000004</c:v>
                </c:pt>
                <c:pt idx="270">
                  <c:v>64.012494000000004</c:v>
                </c:pt>
                <c:pt idx="271">
                  <c:v>87.578181000000001</c:v>
                </c:pt>
                <c:pt idx="272">
                  <c:v>73.165562000000008</c:v>
                </c:pt>
                <c:pt idx="273">
                  <c:v>168.07851199999999</c:v>
                </c:pt>
                <c:pt idx="274">
                  <c:v>90.774007999999995</c:v>
                </c:pt>
                <c:pt idx="275">
                  <c:v>108.63253899999999</c:v>
                </c:pt>
                <c:pt idx="276">
                  <c:v>61.361021000000001</c:v>
                </c:pt>
                <c:pt idx="277">
                  <c:v>77.206767999999997</c:v>
                </c:pt>
                <c:pt idx="278">
                  <c:v>120.716683</c:v>
                </c:pt>
                <c:pt idx="279">
                  <c:v>91.633792</c:v>
                </c:pt>
                <c:pt idx="280">
                  <c:v>192.916639</c:v>
                </c:pt>
                <c:pt idx="281">
                  <c:v>250.59213399999999</c:v>
                </c:pt>
                <c:pt idx="282">
                  <c:v>183.542215</c:v>
                </c:pt>
                <c:pt idx="283">
                  <c:v>278.17083700000001</c:v>
                </c:pt>
                <c:pt idx="284">
                  <c:v>291.86536100000001</c:v>
                </c:pt>
                <c:pt idx="285">
                  <c:v>229.81539999999998</c:v>
                </c:pt>
                <c:pt idx="286">
                  <c:v>204.92117999999999</c:v>
                </c:pt>
                <c:pt idx="287">
                  <c:v>269.40564499999999</c:v>
                </c:pt>
                <c:pt idx="288">
                  <c:v>292.65967599999999</c:v>
                </c:pt>
                <c:pt idx="289">
                  <c:v>106.189633</c:v>
                </c:pt>
                <c:pt idx="290">
                  <c:v>186.68419499999999</c:v>
                </c:pt>
                <c:pt idx="291">
                  <c:v>149.78434799999999</c:v>
                </c:pt>
                <c:pt idx="292">
                  <c:v>87.60540300000001</c:v>
                </c:pt>
                <c:pt idx="293">
                  <c:v>147.67714699999999</c:v>
                </c:pt>
                <c:pt idx="294">
                  <c:v>119.54665200000001</c:v>
                </c:pt>
                <c:pt idx="295">
                  <c:v>120.54001700000001</c:v>
                </c:pt>
                <c:pt idx="296">
                  <c:v>174.245521</c:v>
                </c:pt>
                <c:pt idx="297">
                  <c:v>133.72583799999998</c:v>
                </c:pt>
                <c:pt idx="298">
                  <c:v>88.334888000000007</c:v>
                </c:pt>
                <c:pt idx="299">
                  <c:v>52.270097</c:v>
                </c:pt>
                <c:pt idx="300">
                  <c:v>48.856767999999995</c:v>
                </c:pt>
                <c:pt idx="301">
                  <c:v>81.929534000000004</c:v>
                </c:pt>
                <c:pt idx="302">
                  <c:v>117.86805100000001</c:v>
                </c:pt>
                <c:pt idx="303">
                  <c:v>107.58759400000001</c:v>
                </c:pt>
                <c:pt idx="304">
                  <c:v>104.232285</c:v>
                </c:pt>
                <c:pt idx="305">
                  <c:v>60.775233</c:v>
                </c:pt>
                <c:pt idx="306">
                  <c:v>124.32971499999999</c:v>
                </c:pt>
                <c:pt idx="307">
                  <c:v>102.69985699999999</c:v>
                </c:pt>
                <c:pt idx="308">
                  <c:v>87.217461999999998</c:v>
                </c:pt>
                <c:pt idx="309">
                  <c:v>124.337554</c:v>
                </c:pt>
                <c:pt idx="310">
                  <c:v>101.421727</c:v>
                </c:pt>
                <c:pt idx="311">
                  <c:v>72.168437000000011</c:v>
                </c:pt>
                <c:pt idx="312">
                  <c:v>96.902244999999994</c:v>
                </c:pt>
                <c:pt idx="313">
                  <c:v>108.52340700000001</c:v>
                </c:pt>
                <c:pt idx="314">
                  <c:v>200.620902</c:v>
                </c:pt>
                <c:pt idx="315">
                  <c:v>168.70168799999999</c:v>
                </c:pt>
                <c:pt idx="316">
                  <c:v>97.78537</c:v>
                </c:pt>
                <c:pt idx="317">
                  <c:v>73.387034</c:v>
                </c:pt>
                <c:pt idx="318">
                  <c:v>113.433581</c:v>
                </c:pt>
                <c:pt idx="319">
                  <c:v>105.03147199999999</c:v>
                </c:pt>
                <c:pt idx="320">
                  <c:v>96.274867</c:v>
                </c:pt>
                <c:pt idx="321">
                  <c:v>119.659942</c:v>
                </c:pt>
                <c:pt idx="322">
                  <c:v>91.504491999999999</c:v>
                </c:pt>
                <c:pt idx="323">
                  <c:v>246.609386</c:v>
                </c:pt>
                <c:pt idx="324">
                  <c:v>176.26033799999999</c:v>
                </c:pt>
                <c:pt idx="325">
                  <c:v>118.332554</c:v>
                </c:pt>
                <c:pt idx="326">
                  <c:v>145.47273999999999</c:v>
                </c:pt>
                <c:pt idx="327">
                  <c:v>137.651062</c:v>
                </c:pt>
                <c:pt idx="328">
                  <c:v>113.47672999999999</c:v>
                </c:pt>
                <c:pt idx="329">
                  <c:v>125.726333</c:v>
                </c:pt>
                <c:pt idx="330">
                  <c:v>158.09772700000002</c:v>
                </c:pt>
                <c:pt idx="331">
                  <c:v>127.65046000000001</c:v>
                </c:pt>
                <c:pt idx="332">
                  <c:v>71.413732999999993</c:v>
                </c:pt>
                <c:pt idx="333">
                  <c:v>68.069317999999996</c:v>
                </c:pt>
                <c:pt idx="334">
                  <c:v>53.796114000000003</c:v>
                </c:pt>
                <c:pt idx="335">
                  <c:v>81.503187999999994</c:v>
                </c:pt>
                <c:pt idx="336">
                  <c:v>108.56992200000001</c:v>
                </c:pt>
                <c:pt idx="337">
                  <c:v>175.18055699999999</c:v>
                </c:pt>
                <c:pt idx="338">
                  <c:v>185.55289999999999</c:v>
                </c:pt>
                <c:pt idx="339">
                  <c:v>170.10090700000001</c:v>
                </c:pt>
                <c:pt idx="340">
                  <c:v>99.963069000000004</c:v>
                </c:pt>
                <c:pt idx="341">
                  <c:v>118.72583</c:v>
                </c:pt>
                <c:pt idx="342">
                  <c:v>106.795545</c:v>
                </c:pt>
                <c:pt idx="343">
                  <c:v>101.93258</c:v>
                </c:pt>
                <c:pt idx="344">
                  <c:v>129.884085</c:v>
                </c:pt>
                <c:pt idx="345">
                  <c:v>268.860343</c:v>
                </c:pt>
                <c:pt idx="346">
                  <c:v>180.855908</c:v>
                </c:pt>
                <c:pt idx="347">
                  <c:v>192.08663999999999</c:v>
                </c:pt>
                <c:pt idx="348">
                  <c:v>191.57196400000001</c:v>
                </c:pt>
                <c:pt idx="349">
                  <c:v>169.40406099999998</c:v>
                </c:pt>
                <c:pt idx="350">
                  <c:v>110.358834</c:v>
                </c:pt>
                <c:pt idx="351">
                  <c:v>164.72331399999999</c:v>
                </c:pt>
                <c:pt idx="352">
                  <c:v>90.256762000000009</c:v>
                </c:pt>
                <c:pt idx="353">
                  <c:v>60.920558</c:v>
                </c:pt>
                <c:pt idx="354">
                  <c:v>54.755589000000001</c:v>
                </c:pt>
                <c:pt idx="355">
                  <c:v>107.60026499999999</c:v>
                </c:pt>
                <c:pt idx="356">
                  <c:v>186.93583900000002</c:v>
                </c:pt>
                <c:pt idx="357">
                  <c:v>132.24556799999999</c:v>
                </c:pt>
                <c:pt idx="358">
                  <c:v>99.352208000000005</c:v>
                </c:pt>
                <c:pt idx="359">
                  <c:v>96.195096000000007</c:v>
                </c:pt>
                <c:pt idx="360">
                  <c:v>97.58481900000001</c:v>
                </c:pt>
                <c:pt idx="361">
                  <c:v>141.26926900000001</c:v>
                </c:pt>
                <c:pt idx="362">
                  <c:v>126.49508</c:v>
                </c:pt>
                <c:pt idx="363">
                  <c:v>139.68964300000002</c:v>
                </c:pt>
                <c:pt idx="364">
                  <c:v>231.23278699999997</c:v>
                </c:pt>
                <c:pt idx="365">
                  <c:v>105.186589</c:v>
                </c:pt>
                <c:pt idx="366">
                  <c:v>65.453987999999995</c:v>
                </c:pt>
                <c:pt idx="367">
                  <c:v>81.198025000000015</c:v>
                </c:pt>
                <c:pt idx="368">
                  <c:v>117.955766</c:v>
                </c:pt>
                <c:pt idx="369">
                  <c:v>126.17005400000001</c:v>
                </c:pt>
                <c:pt idx="370">
                  <c:v>136.28684099999998</c:v>
                </c:pt>
                <c:pt idx="371">
                  <c:v>161.55767399999999</c:v>
                </c:pt>
                <c:pt idx="372">
                  <c:v>90.908063999999996</c:v>
                </c:pt>
                <c:pt idx="373">
                  <c:v>83.165186000000006</c:v>
                </c:pt>
                <c:pt idx="374">
                  <c:v>63.679190999999996</c:v>
                </c:pt>
                <c:pt idx="375">
                  <c:v>70.816256999999993</c:v>
                </c:pt>
                <c:pt idx="376">
                  <c:v>105.14160200000001</c:v>
                </c:pt>
                <c:pt idx="377">
                  <c:v>77.889082000000002</c:v>
                </c:pt>
                <c:pt idx="378">
                  <c:v>88.148835999999989</c:v>
                </c:pt>
                <c:pt idx="379">
                  <c:v>135.29880499999999</c:v>
                </c:pt>
                <c:pt idx="380">
                  <c:v>245.534614</c:v>
                </c:pt>
                <c:pt idx="381">
                  <c:v>263.96527000000003</c:v>
                </c:pt>
                <c:pt idx="382">
                  <c:v>194.14503900000003</c:v>
                </c:pt>
                <c:pt idx="383">
                  <c:v>100.68488499999999</c:v>
                </c:pt>
                <c:pt idx="384">
                  <c:v>70.082198000000005</c:v>
                </c:pt>
                <c:pt idx="385">
                  <c:v>75.086461</c:v>
                </c:pt>
                <c:pt idx="386">
                  <c:v>136.116916</c:v>
                </c:pt>
                <c:pt idx="387">
                  <c:v>225.83128399999998</c:v>
                </c:pt>
                <c:pt idx="388">
                  <c:v>200.03100800000001</c:v>
                </c:pt>
                <c:pt idx="389">
                  <c:v>84.560846999999995</c:v>
                </c:pt>
                <c:pt idx="390">
                  <c:v>43.339232000000003</c:v>
                </c:pt>
                <c:pt idx="391">
                  <c:v>80.723176000000009</c:v>
                </c:pt>
                <c:pt idx="392">
                  <c:v>164.13817799999998</c:v>
                </c:pt>
                <c:pt idx="393">
                  <c:v>107.65864099999999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0"/>
                <c:lvl>
                  <c:pt idx="14">
                    <c:v>A</c:v>
                  </c:pt>
                  <c:pt idx="45">
                    <c:v>S</c:v>
                  </c:pt>
                  <c:pt idx="75">
                    <c:v>O</c:v>
                  </c:pt>
                  <c:pt idx="106">
                    <c:v>N</c:v>
                  </c:pt>
                  <c:pt idx="136">
                    <c:v>D</c:v>
                  </c:pt>
                  <c:pt idx="167">
                    <c:v>E</c:v>
                  </c:pt>
                  <c:pt idx="198">
                    <c:v>F</c:v>
                  </c:pt>
                  <c:pt idx="226">
                    <c:v>M</c:v>
                  </c:pt>
                  <c:pt idx="257">
                    <c:v>A</c:v>
                  </c:pt>
                  <c:pt idx="287">
                    <c:v>M</c:v>
                  </c:pt>
                  <c:pt idx="318">
                    <c:v>J</c:v>
                  </c:pt>
                  <c:pt idx="348">
                    <c:v>J</c:v>
                  </c:pt>
                  <c:pt idx="379">
                    <c:v>A</c:v>
                  </c:pt>
                </c:lvl>
                <c:lvl>
                  <c:pt idx="0">
                    <c:v>2020</c:v>
                  </c:pt>
                  <c:pt idx="275">
                    <c:v>2021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112.70550380220814</c:v>
                </c:pt>
                <c:pt idx="1">
                  <c:v>112.70550380220814</c:v>
                </c:pt>
                <c:pt idx="2">
                  <c:v>112.70550380220814</c:v>
                </c:pt>
                <c:pt idx="3">
                  <c:v>112.70550380220814</c:v>
                </c:pt>
                <c:pt idx="4">
                  <c:v>112.70550380220814</c:v>
                </c:pt>
                <c:pt idx="5">
                  <c:v>112.70550380220814</c:v>
                </c:pt>
                <c:pt idx="6">
                  <c:v>112.70550380220814</c:v>
                </c:pt>
                <c:pt idx="7">
                  <c:v>112.70550380220814</c:v>
                </c:pt>
                <c:pt idx="8">
                  <c:v>112.70550380220814</c:v>
                </c:pt>
                <c:pt idx="9">
                  <c:v>112.70550380220814</c:v>
                </c:pt>
                <c:pt idx="10">
                  <c:v>112.70550380220814</c:v>
                </c:pt>
                <c:pt idx="11">
                  <c:v>112.70550380220814</c:v>
                </c:pt>
                <c:pt idx="12">
                  <c:v>112.70550380220814</c:v>
                </c:pt>
                <c:pt idx="13">
                  <c:v>112.70550380220814</c:v>
                </c:pt>
                <c:pt idx="14">
                  <c:v>112.70550380220814</c:v>
                </c:pt>
                <c:pt idx="15">
                  <c:v>112.70550380220814</c:v>
                </c:pt>
                <c:pt idx="16">
                  <c:v>112.70550380220814</c:v>
                </c:pt>
                <c:pt idx="17">
                  <c:v>112.70550380220814</c:v>
                </c:pt>
                <c:pt idx="18">
                  <c:v>112.70550380220814</c:v>
                </c:pt>
                <c:pt idx="19">
                  <c:v>112.70550380220814</c:v>
                </c:pt>
                <c:pt idx="20">
                  <c:v>112.70550380220814</c:v>
                </c:pt>
                <c:pt idx="21">
                  <c:v>112.70550380220814</c:v>
                </c:pt>
                <c:pt idx="22">
                  <c:v>112.70550380220814</c:v>
                </c:pt>
                <c:pt idx="23">
                  <c:v>112.70550380220814</c:v>
                </c:pt>
                <c:pt idx="24">
                  <c:v>112.70550380220814</c:v>
                </c:pt>
                <c:pt idx="25">
                  <c:v>112.70550380220814</c:v>
                </c:pt>
                <c:pt idx="26">
                  <c:v>112.70550380220814</c:v>
                </c:pt>
                <c:pt idx="27">
                  <c:v>112.70550380220814</c:v>
                </c:pt>
                <c:pt idx="28">
                  <c:v>112.70550380220814</c:v>
                </c:pt>
                <c:pt idx="29">
                  <c:v>112.70550380220814</c:v>
                </c:pt>
                <c:pt idx="30">
                  <c:v>112.70550380220814</c:v>
                </c:pt>
                <c:pt idx="31">
                  <c:v>107.08526806498774</c:v>
                </c:pt>
                <c:pt idx="32">
                  <c:v>107.08526806498774</c:v>
                </c:pt>
                <c:pt idx="33">
                  <c:v>107.08526806498774</c:v>
                </c:pt>
                <c:pt idx="34">
                  <c:v>107.08526806498774</c:v>
                </c:pt>
                <c:pt idx="35">
                  <c:v>107.08526806498774</c:v>
                </c:pt>
                <c:pt idx="36">
                  <c:v>107.08526806498774</c:v>
                </c:pt>
                <c:pt idx="37">
                  <c:v>107.08526806498774</c:v>
                </c:pt>
                <c:pt idx="38">
                  <c:v>107.08526806498774</c:v>
                </c:pt>
                <c:pt idx="39">
                  <c:v>107.08526806498774</c:v>
                </c:pt>
                <c:pt idx="40">
                  <c:v>107.08526806498774</c:v>
                </c:pt>
                <c:pt idx="41">
                  <c:v>107.08526806498774</c:v>
                </c:pt>
                <c:pt idx="42">
                  <c:v>107.08526806498774</c:v>
                </c:pt>
                <c:pt idx="43">
                  <c:v>107.08526806498774</c:v>
                </c:pt>
                <c:pt idx="44">
                  <c:v>107.08526806498774</c:v>
                </c:pt>
                <c:pt idx="45">
                  <c:v>107.08526806498774</c:v>
                </c:pt>
                <c:pt idx="46">
                  <c:v>107.08526806498774</c:v>
                </c:pt>
                <c:pt idx="47">
                  <c:v>107.08526806498774</c:v>
                </c:pt>
                <c:pt idx="48">
                  <c:v>107.08526806498774</c:v>
                </c:pt>
                <c:pt idx="49">
                  <c:v>107.08526806498774</c:v>
                </c:pt>
                <c:pt idx="50">
                  <c:v>107.08526806498774</c:v>
                </c:pt>
                <c:pt idx="51">
                  <c:v>107.08526806498774</c:v>
                </c:pt>
                <c:pt idx="52">
                  <c:v>107.08526806498774</c:v>
                </c:pt>
                <c:pt idx="53">
                  <c:v>107.08526806498774</c:v>
                </c:pt>
                <c:pt idx="54">
                  <c:v>107.08526806498774</c:v>
                </c:pt>
                <c:pt idx="55">
                  <c:v>107.08526806498774</c:v>
                </c:pt>
                <c:pt idx="56">
                  <c:v>107.08526806498774</c:v>
                </c:pt>
                <c:pt idx="57">
                  <c:v>107.08526806498774</c:v>
                </c:pt>
                <c:pt idx="58">
                  <c:v>107.08526806498774</c:v>
                </c:pt>
                <c:pt idx="59">
                  <c:v>107.08526806498774</c:v>
                </c:pt>
                <c:pt idx="60">
                  <c:v>107.08526806498774</c:v>
                </c:pt>
                <c:pt idx="61">
                  <c:v>127.06121952683949</c:v>
                </c:pt>
                <c:pt idx="62">
                  <c:v>127.06121952683949</c:v>
                </c:pt>
                <c:pt idx="63">
                  <c:v>127.06121952683949</c:v>
                </c:pt>
                <c:pt idx="64">
                  <c:v>127.06121952683949</c:v>
                </c:pt>
                <c:pt idx="65">
                  <c:v>127.06121952683949</c:v>
                </c:pt>
                <c:pt idx="66">
                  <c:v>127.06121952683949</c:v>
                </c:pt>
                <c:pt idx="67">
                  <c:v>127.06121952683949</c:v>
                </c:pt>
                <c:pt idx="68">
                  <c:v>127.06121952683949</c:v>
                </c:pt>
                <c:pt idx="69">
                  <c:v>127.06121952683949</c:v>
                </c:pt>
                <c:pt idx="70">
                  <c:v>127.06121952683949</c:v>
                </c:pt>
                <c:pt idx="71">
                  <c:v>127.06121952683949</c:v>
                </c:pt>
                <c:pt idx="72">
                  <c:v>127.06121952683949</c:v>
                </c:pt>
                <c:pt idx="73">
                  <c:v>127.06121952683949</c:v>
                </c:pt>
                <c:pt idx="74">
                  <c:v>127.06121952683949</c:v>
                </c:pt>
                <c:pt idx="75">
                  <c:v>127.06121952683949</c:v>
                </c:pt>
                <c:pt idx="76">
                  <c:v>127.06121952683949</c:v>
                </c:pt>
                <c:pt idx="77">
                  <c:v>127.06121952683949</c:v>
                </c:pt>
                <c:pt idx="78">
                  <c:v>127.06121952683949</c:v>
                </c:pt>
                <c:pt idx="79">
                  <c:v>127.06121952683949</c:v>
                </c:pt>
                <c:pt idx="80">
                  <c:v>127.06121952683949</c:v>
                </c:pt>
                <c:pt idx="81">
                  <c:v>127.06121952683949</c:v>
                </c:pt>
                <c:pt idx="82">
                  <c:v>127.06121952683949</c:v>
                </c:pt>
                <c:pt idx="83">
                  <c:v>127.06121952683949</c:v>
                </c:pt>
                <c:pt idx="84">
                  <c:v>127.06121952683949</c:v>
                </c:pt>
                <c:pt idx="85">
                  <c:v>127.06121952683949</c:v>
                </c:pt>
                <c:pt idx="86">
                  <c:v>127.06121952683949</c:v>
                </c:pt>
                <c:pt idx="87">
                  <c:v>127.06121952683949</c:v>
                </c:pt>
                <c:pt idx="88">
                  <c:v>127.06121952683949</c:v>
                </c:pt>
                <c:pt idx="89">
                  <c:v>127.06121952683949</c:v>
                </c:pt>
                <c:pt idx="90">
                  <c:v>127.06121952683949</c:v>
                </c:pt>
                <c:pt idx="91">
                  <c:v>127.06121952683949</c:v>
                </c:pt>
                <c:pt idx="92">
                  <c:v>176.69829634449792</c:v>
                </c:pt>
                <c:pt idx="93">
                  <c:v>176.69829634449792</c:v>
                </c:pt>
                <c:pt idx="94">
                  <c:v>176.69829634449792</c:v>
                </c:pt>
                <c:pt idx="95">
                  <c:v>176.69829634449792</c:v>
                </c:pt>
                <c:pt idx="96">
                  <c:v>176.69829634449792</c:v>
                </c:pt>
                <c:pt idx="97">
                  <c:v>176.69829634449792</c:v>
                </c:pt>
                <c:pt idx="98">
                  <c:v>176.69829634449792</c:v>
                </c:pt>
                <c:pt idx="99">
                  <c:v>176.69829634449792</c:v>
                </c:pt>
                <c:pt idx="100">
                  <c:v>176.69829634449792</c:v>
                </c:pt>
                <c:pt idx="101">
                  <c:v>176.69829634449792</c:v>
                </c:pt>
                <c:pt idx="102">
                  <c:v>176.69829634449792</c:v>
                </c:pt>
                <c:pt idx="103">
                  <c:v>176.69829634449792</c:v>
                </c:pt>
                <c:pt idx="104">
                  <c:v>176.69829634449792</c:v>
                </c:pt>
                <c:pt idx="105">
                  <c:v>176.69829634449792</c:v>
                </c:pt>
                <c:pt idx="106">
                  <c:v>176.69829634449792</c:v>
                </c:pt>
                <c:pt idx="107">
                  <c:v>176.69829634449792</c:v>
                </c:pt>
                <c:pt idx="108">
                  <c:v>176.69829634449792</c:v>
                </c:pt>
                <c:pt idx="109">
                  <c:v>176.69829634449792</c:v>
                </c:pt>
                <c:pt idx="110">
                  <c:v>176.69829634449792</c:v>
                </c:pt>
                <c:pt idx="111">
                  <c:v>176.69829634449792</c:v>
                </c:pt>
                <c:pt idx="112">
                  <c:v>176.69829634449792</c:v>
                </c:pt>
                <c:pt idx="113">
                  <c:v>176.69829634449792</c:v>
                </c:pt>
                <c:pt idx="114">
                  <c:v>176.69829634449792</c:v>
                </c:pt>
                <c:pt idx="115">
                  <c:v>176.69829634449792</c:v>
                </c:pt>
                <c:pt idx="116">
                  <c:v>176.69829634449792</c:v>
                </c:pt>
                <c:pt idx="117">
                  <c:v>176.69829634449792</c:v>
                </c:pt>
                <c:pt idx="118">
                  <c:v>176.69829634449792</c:v>
                </c:pt>
                <c:pt idx="119">
                  <c:v>176.69829634449792</c:v>
                </c:pt>
                <c:pt idx="120">
                  <c:v>176.69829634449792</c:v>
                </c:pt>
                <c:pt idx="121">
                  <c:v>176.69829634449792</c:v>
                </c:pt>
                <c:pt idx="122">
                  <c:v>165.61562702866021</c:v>
                </c:pt>
                <c:pt idx="123">
                  <c:v>165.61562702866021</c:v>
                </c:pt>
                <c:pt idx="124">
                  <c:v>165.61562702866021</c:v>
                </c:pt>
                <c:pt idx="125">
                  <c:v>165.61562702866021</c:v>
                </c:pt>
                <c:pt idx="126">
                  <c:v>165.61562702866021</c:v>
                </c:pt>
                <c:pt idx="127">
                  <c:v>165.61562702866021</c:v>
                </c:pt>
                <c:pt idx="128">
                  <c:v>165.61562702866021</c:v>
                </c:pt>
                <c:pt idx="129">
                  <c:v>165.61562702866021</c:v>
                </c:pt>
                <c:pt idx="130">
                  <c:v>165.61562702866021</c:v>
                </c:pt>
                <c:pt idx="131">
                  <c:v>165.61562702866021</c:v>
                </c:pt>
                <c:pt idx="132">
                  <c:v>165.61562702866021</c:v>
                </c:pt>
                <c:pt idx="133">
                  <c:v>165.61562702866021</c:v>
                </c:pt>
                <c:pt idx="134">
                  <c:v>165.61562702866021</c:v>
                </c:pt>
                <c:pt idx="135">
                  <c:v>165.61562702866021</c:v>
                </c:pt>
                <c:pt idx="136">
                  <c:v>165.61562702866021</c:v>
                </c:pt>
                <c:pt idx="137">
                  <c:v>165.61562702866021</c:v>
                </c:pt>
                <c:pt idx="138">
                  <c:v>165.61562702866021</c:v>
                </c:pt>
                <c:pt idx="139">
                  <c:v>165.61562702866021</c:v>
                </c:pt>
                <c:pt idx="140">
                  <c:v>165.61562702866021</c:v>
                </c:pt>
                <c:pt idx="141">
                  <c:v>165.61562702866021</c:v>
                </c:pt>
                <c:pt idx="142">
                  <c:v>165.61562702866021</c:v>
                </c:pt>
                <c:pt idx="143">
                  <c:v>165.61562702866021</c:v>
                </c:pt>
                <c:pt idx="144">
                  <c:v>165.61562702866021</c:v>
                </c:pt>
                <c:pt idx="145">
                  <c:v>165.61562702866021</c:v>
                </c:pt>
                <c:pt idx="146">
                  <c:v>165.61562702866021</c:v>
                </c:pt>
                <c:pt idx="147">
                  <c:v>165.61562702866021</c:v>
                </c:pt>
                <c:pt idx="148">
                  <c:v>165.61562702866021</c:v>
                </c:pt>
                <c:pt idx="149">
                  <c:v>165.61562702866021</c:v>
                </c:pt>
                <c:pt idx="150">
                  <c:v>165.61562702866021</c:v>
                </c:pt>
                <c:pt idx="151">
                  <c:v>165.61562702866021</c:v>
                </c:pt>
                <c:pt idx="152">
                  <c:v>165.61562702866021</c:v>
                </c:pt>
                <c:pt idx="153">
                  <c:v>198.76076848747033</c:v>
                </c:pt>
                <c:pt idx="154">
                  <c:v>198.76076848747033</c:v>
                </c:pt>
                <c:pt idx="155">
                  <c:v>198.76076848747033</c:v>
                </c:pt>
                <c:pt idx="156">
                  <c:v>198.76076848747033</c:v>
                </c:pt>
                <c:pt idx="157">
                  <c:v>198.76076848747033</c:v>
                </c:pt>
                <c:pt idx="158">
                  <c:v>198.76076848747033</c:v>
                </c:pt>
                <c:pt idx="159">
                  <c:v>198.76076848747033</c:v>
                </c:pt>
                <c:pt idx="160">
                  <c:v>198.76076848747033</c:v>
                </c:pt>
                <c:pt idx="161">
                  <c:v>198.76076848747033</c:v>
                </c:pt>
                <c:pt idx="162">
                  <c:v>198.76076848747033</c:v>
                </c:pt>
                <c:pt idx="163">
                  <c:v>198.76076848747033</c:v>
                </c:pt>
                <c:pt idx="164">
                  <c:v>198.76076848747033</c:v>
                </c:pt>
                <c:pt idx="165">
                  <c:v>198.76076848747033</c:v>
                </c:pt>
                <c:pt idx="166">
                  <c:v>198.76076848747033</c:v>
                </c:pt>
                <c:pt idx="167">
                  <c:v>198.76076848747033</c:v>
                </c:pt>
                <c:pt idx="168">
                  <c:v>198.76076848747033</c:v>
                </c:pt>
                <c:pt idx="169">
                  <c:v>198.76076848747033</c:v>
                </c:pt>
                <c:pt idx="170">
                  <c:v>198.76076848747033</c:v>
                </c:pt>
                <c:pt idx="171">
                  <c:v>198.76076848747033</c:v>
                </c:pt>
                <c:pt idx="172">
                  <c:v>198.76076848747033</c:v>
                </c:pt>
                <c:pt idx="173">
                  <c:v>198.76076848747033</c:v>
                </c:pt>
                <c:pt idx="174">
                  <c:v>198.76076848747033</c:v>
                </c:pt>
                <c:pt idx="175">
                  <c:v>198.76076848747033</c:v>
                </c:pt>
                <c:pt idx="176">
                  <c:v>198.76076848747033</c:v>
                </c:pt>
                <c:pt idx="177">
                  <c:v>198.76076848747033</c:v>
                </c:pt>
                <c:pt idx="178">
                  <c:v>198.76076848747033</c:v>
                </c:pt>
                <c:pt idx="179">
                  <c:v>198.76076848747033</c:v>
                </c:pt>
                <c:pt idx="180">
                  <c:v>198.76076848747033</c:v>
                </c:pt>
                <c:pt idx="181">
                  <c:v>198.76076848747033</c:v>
                </c:pt>
                <c:pt idx="182">
                  <c:v>198.76076848747033</c:v>
                </c:pt>
                <c:pt idx="183">
                  <c:v>198.76076848747033</c:v>
                </c:pt>
                <c:pt idx="184">
                  <c:v>212.36985204649764</c:v>
                </c:pt>
                <c:pt idx="185">
                  <c:v>212.36985204649764</c:v>
                </c:pt>
                <c:pt idx="186">
                  <c:v>212.36985204649764</c:v>
                </c:pt>
                <c:pt idx="187">
                  <c:v>212.36985204649764</c:v>
                </c:pt>
                <c:pt idx="188">
                  <c:v>212.36985204649764</c:v>
                </c:pt>
                <c:pt idx="189">
                  <c:v>212.36985204649764</c:v>
                </c:pt>
                <c:pt idx="190">
                  <c:v>212.36985204649764</c:v>
                </c:pt>
                <c:pt idx="191">
                  <c:v>212.36985204649764</c:v>
                </c:pt>
                <c:pt idx="192">
                  <c:v>212.36985204649764</c:v>
                </c:pt>
                <c:pt idx="193">
                  <c:v>212.36985204649764</c:v>
                </c:pt>
                <c:pt idx="194">
                  <c:v>212.36985204649764</c:v>
                </c:pt>
                <c:pt idx="195">
                  <c:v>212.36985204649764</c:v>
                </c:pt>
                <c:pt idx="196">
                  <c:v>212.36985204649764</c:v>
                </c:pt>
                <c:pt idx="197">
                  <c:v>212.36985204649764</c:v>
                </c:pt>
                <c:pt idx="198">
                  <c:v>212.36985204649764</c:v>
                </c:pt>
                <c:pt idx="199">
                  <c:v>212.36985204649764</c:v>
                </c:pt>
                <c:pt idx="200">
                  <c:v>212.36985204649764</c:v>
                </c:pt>
                <c:pt idx="201">
                  <c:v>212.36985204649764</c:v>
                </c:pt>
                <c:pt idx="202">
                  <c:v>212.36985204649764</c:v>
                </c:pt>
                <c:pt idx="203">
                  <c:v>212.36985204649764</c:v>
                </c:pt>
                <c:pt idx="204">
                  <c:v>212.36985204649764</c:v>
                </c:pt>
                <c:pt idx="205">
                  <c:v>212.36985204649764</c:v>
                </c:pt>
                <c:pt idx="206">
                  <c:v>212.36985204649764</c:v>
                </c:pt>
                <c:pt idx="207">
                  <c:v>212.36985204649764</c:v>
                </c:pt>
                <c:pt idx="208">
                  <c:v>212.36985204649764</c:v>
                </c:pt>
                <c:pt idx="209">
                  <c:v>212.36985204649764</c:v>
                </c:pt>
                <c:pt idx="210">
                  <c:v>212.36985204649764</c:v>
                </c:pt>
                <c:pt idx="211">
                  <c:v>212.36985204649764</c:v>
                </c:pt>
                <c:pt idx="212">
                  <c:v>201.77141510917494</c:v>
                </c:pt>
                <c:pt idx="213">
                  <c:v>201.77141510917494</c:v>
                </c:pt>
                <c:pt idx="214">
                  <c:v>201.77141510917494</c:v>
                </c:pt>
                <c:pt idx="215">
                  <c:v>201.77141510917494</c:v>
                </c:pt>
                <c:pt idx="216">
                  <c:v>201.77141510917494</c:v>
                </c:pt>
                <c:pt idx="217">
                  <c:v>201.77141510917494</c:v>
                </c:pt>
                <c:pt idx="218">
                  <c:v>201.77141510917494</c:v>
                </c:pt>
                <c:pt idx="219">
                  <c:v>201.77141510917494</c:v>
                </c:pt>
                <c:pt idx="220">
                  <c:v>201.77141510917494</c:v>
                </c:pt>
                <c:pt idx="221">
                  <c:v>201.77141510917494</c:v>
                </c:pt>
                <c:pt idx="222">
                  <c:v>201.77141510917494</c:v>
                </c:pt>
                <c:pt idx="223">
                  <c:v>201.77141510917494</c:v>
                </c:pt>
                <c:pt idx="224">
                  <c:v>201.77141510917494</c:v>
                </c:pt>
                <c:pt idx="225">
                  <c:v>201.77141510917494</c:v>
                </c:pt>
                <c:pt idx="226">
                  <c:v>201.77141510917494</c:v>
                </c:pt>
                <c:pt idx="227">
                  <c:v>201.77141510917494</c:v>
                </c:pt>
                <c:pt idx="228">
                  <c:v>201.77141510917494</c:v>
                </c:pt>
                <c:pt idx="229">
                  <c:v>201.77141510917494</c:v>
                </c:pt>
                <c:pt idx="230">
                  <c:v>201.77141510917494</c:v>
                </c:pt>
                <c:pt idx="231">
                  <c:v>201.77141510917494</c:v>
                </c:pt>
                <c:pt idx="232">
                  <c:v>201.77141510917494</c:v>
                </c:pt>
                <c:pt idx="233">
                  <c:v>201.77141510917494</c:v>
                </c:pt>
                <c:pt idx="234">
                  <c:v>201.77141510917494</c:v>
                </c:pt>
                <c:pt idx="235">
                  <c:v>201.77141510917494</c:v>
                </c:pt>
                <c:pt idx="236">
                  <c:v>201.77141510917494</c:v>
                </c:pt>
                <c:pt idx="237">
                  <c:v>201.77141510917494</c:v>
                </c:pt>
                <c:pt idx="238">
                  <c:v>201.77141510917494</c:v>
                </c:pt>
                <c:pt idx="239">
                  <c:v>201.77141510917494</c:v>
                </c:pt>
                <c:pt idx="240">
                  <c:v>201.77141510917494</c:v>
                </c:pt>
                <c:pt idx="241">
                  <c:v>201.77141510917494</c:v>
                </c:pt>
                <c:pt idx="242">
                  <c:v>201.77141510917494</c:v>
                </c:pt>
                <c:pt idx="243">
                  <c:v>168.58444609315609</c:v>
                </c:pt>
                <c:pt idx="244">
                  <c:v>168.58444609315609</c:v>
                </c:pt>
                <c:pt idx="245">
                  <c:v>168.58444609315609</c:v>
                </c:pt>
                <c:pt idx="246">
                  <c:v>168.58444609315609</c:v>
                </c:pt>
                <c:pt idx="247">
                  <c:v>168.58444609315609</c:v>
                </c:pt>
                <c:pt idx="248">
                  <c:v>168.58444609315609</c:v>
                </c:pt>
                <c:pt idx="249">
                  <c:v>168.58444609315609</c:v>
                </c:pt>
                <c:pt idx="250">
                  <c:v>168.58444609315609</c:v>
                </c:pt>
                <c:pt idx="251">
                  <c:v>168.58444609315609</c:v>
                </c:pt>
                <c:pt idx="252">
                  <c:v>168.58444609315609</c:v>
                </c:pt>
                <c:pt idx="253">
                  <c:v>168.58444609315609</c:v>
                </c:pt>
                <c:pt idx="254">
                  <c:v>168.58444609315609</c:v>
                </c:pt>
                <c:pt idx="255">
                  <c:v>168.58444609315609</c:v>
                </c:pt>
                <c:pt idx="256">
                  <c:v>168.58444609315609</c:v>
                </c:pt>
                <c:pt idx="257">
                  <c:v>168.58444609315609</c:v>
                </c:pt>
                <c:pt idx="258">
                  <c:v>168.58444609315609</c:v>
                </c:pt>
                <c:pt idx="259">
                  <c:v>168.58444609315609</c:v>
                </c:pt>
                <c:pt idx="260">
                  <c:v>168.58444609315609</c:v>
                </c:pt>
                <c:pt idx="261">
                  <c:v>168.58444609315609</c:v>
                </c:pt>
                <c:pt idx="262">
                  <c:v>168.58444609315609</c:v>
                </c:pt>
                <c:pt idx="263">
                  <c:v>168.58444609315609</c:v>
                </c:pt>
                <c:pt idx="264">
                  <c:v>168.58444609315609</c:v>
                </c:pt>
                <c:pt idx="265">
                  <c:v>168.58444609315609</c:v>
                </c:pt>
                <c:pt idx="266">
                  <c:v>168.58444609315609</c:v>
                </c:pt>
                <c:pt idx="267">
                  <c:v>168.58444609315609</c:v>
                </c:pt>
                <c:pt idx="268">
                  <c:v>168.58444609315609</c:v>
                </c:pt>
                <c:pt idx="269">
                  <c:v>168.58444609315609</c:v>
                </c:pt>
                <c:pt idx="270">
                  <c:v>168.58444609315609</c:v>
                </c:pt>
                <c:pt idx="271">
                  <c:v>168.58444609315609</c:v>
                </c:pt>
                <c:pt idx="272">
                  <c:v>168.58444609315609</c:v>
                </c:pt>
                <c:pt idx="273">
                  <c:v>148.2255854318004</c:v>
                </c:pt>
                <c:pt idx="274">
                  <c:v>148.2255854318004</c:v>
                </c:pt>
                <c:pt idx="275">
                  <c:v>148.2255854318004</c:v>
                </c:pt>
                <c:pt idx="276">
                  <c:v>148.2255854318004</c:v>
                </c:pt>
                <c:pt idx="277">
                  <c:v>148.2255854318004</c:v>
                </c:pt>
                <c:pt idx="278">
                  <c:v>148.2255854318004</c:v>
                </c:pt>
                <c:pt idx="279">
                  <c:v>148.2255854318004</c:v>
                </c:pt>
                <c:pt idx="280">
                  <c:v>148.2255854318004</c:v>
                </c:pt>
                <c:pt idx="281">
                  <c:v>148.2255854318004</c:v>
                </c:pt>
                <c:pt idx="282">
                  <c:v>148.2255854318004</c:v>
                </c:pt>
                <c:pt idx="283">
                  <c:v>148.2255854318004</c:v>
                </c:pt>
                <c:pt idx="284">
                  <c:v>148.2255854318004</c:v>
                </c:pt>
                <c:pt idx="285">
                  <c:v>148.2255854318004</c:v>
                </c:pt>
                <c:pt idx="286">
                  <c:v>148.2255854318004</c:v>
                </c:pt>
                <c:pt idx="287">
                  <c:v>148.2255854318004</c:v>
                </c:pt>
                <c:pt idx="288">
                  <c:v>148.2255854318004</c:v>
                </c:pt>
                <c:pt idx="289">
                  <c:v>148.2255854318004</c:v>
                </c:pt>
                <c:pt idx="290">
                  <c:v>148.2255854318004</c:v>
                </c:pt>
                <c:pt idx="291">
                  <c:v>148.2255854318004</c:v>
                </c:pt>
                <c:pt idx="292">
                  <c:v>148.2255854318004</c:v>
                </c:pt>
                <c:pt idx="293">
                  <c:v>148.2255854318004</c:v>
                </c:pt>
                <c:pt idx="294">
                  <c:v>148.2255854318004</c:v>
                </c:pt>
                <c:pt idx="295">
                  <c:v>148.2255854318004</c:v>
                </c:pt>
                <c:pt idx="296">
                  <c:v>148.2255854318004</c:v>
                </c:pt>
                <c:pt idx="297">
                  <c:v>148.2255854318004</c:v>
                </c:pt>
                <c:pt idx="298">
                  <c:v>148.2255854318004</c:v>
                </c:pt>
                <c:pt idx="299">
                  <c:v>148.2255854318004</c:v>
                </c:pt>
                <c:pt idx="300">
                  <c:v>148.2255854318004</c:v>
                </c:pt>
                <c:pt idx="301">
                  <c:v>148.2255854318004</c:v>
                </c:pt>
                <c:pt idx="302">
                  <c:v>148.2255854318004</c:v>
                </c:pt>
                <c:pt idx="303">
                  <c:v>148.2255854318004</c:v>
                </c:pt>
                <c:pt idx="304">
                  <c:v>125.36009436679667</c:v>
                </c:pt>
                <c:pt idx="305">
                  <c:v>125.36009436679667</c:v>
                </c:pt>
                <c:pt idx="306">
                  <c:v>125.36009436679667</c:v>
                </c:pt>
                <c:pt idx="307">
                  <c:v>125.36009436679667</c:v>
                </c:pt>
                <c:pt idx="308">
                  <c:v>125.36009436679667</c:v>
                </c:pt>
                <c:pt idx="309">
                  <c:v>125.36009436679667</c:v>
                </c:pt>
                <c:pt idx="310">
                  <c:v>125.36009436679667</c:v>
                </c:pt>
                <c:pt idx="311">
                  <c:v>125.36009436679667</c:v>
                </c:pt>
                <c:pt idx="312">
                  <c:v>125.36009436679667</c:v>
                </c:pt>
                <c:pt idx="313">
                  <c:v>125.36009436679667</c:v>
                </c:pt>
                <c:pt idx="314">
                  <c:v>125.36009436679667</c:v>
                </c:pt>
                <c:pt idx="315">
                  <c:v>125.36009436679667</c:v>
                </c:pt>
                <c:pt idx="316">
                  <c:v>125.36009436679667</c:v>
                </c:pt>
                <c:pt idx="317">
                  <c:v>125.36009436679667</c:v>
                </c:pt>
                <c:pt idx="318">
                  <c:v>125.36009436679667</c:v>
                </c:pt>
                <c:pt idx="319">
                  <c:v>125.36009436679667</c:v>
                </c:pt>
                <c:pt idx="320">
                  <c:v>125.36009436679667</c:v>
                </c:pt>
                <c:pt idx="321">
                  <c:v>125.36009436679667</c:v>
                </c:pt>
                <c:pt idx="322">
                  <c:v>125.36009436679667</c:v>
                </c:pt>
                <c:pt idx="323">
                  <c:v>125.36009436679667</c:v>
                </c:pt>
                <c:pt idx="324">
                  <c:v>125.36009436679667</c:v>
                </c:pt>
                <c:pt idx="325">
                  <c:v>125.36009436679667</c:v>
                </c:pt>
                <c:pt idx="326">
                  <c:v>125.36009436679667</c:v>
                </c:pt>
                <c:pt idx="327">
                  <c:v>125.36009436679667</c:v>
                </c:pt>
                <c:pt idx="328">
                  <c:v>125.36009436679667</c:v>
                </c:pt>
                <c:pt idx="329">
                  <c:v>125.36009436679667</c:v>
                </c:pt>
                <c:pt idx="330">
                  <c:v>125.36009436679667</c:v>
                </c:pt>
                <c:pt idx="331">
                  <c:v>125.36009436679667</c:v>
                </c:pt>
                <c:pt idx="332">
                  <c:v>125.36009436679667</c:v>
                </c:pt>
                <c:pt idx="333">
                  <c:v>125.36009436679667</c:v>
                </c:pt>
                <c:pt idx="334">
                  <c:v>123.30335963364223</c:v>
                </c:pt>
                <c:pt idx="335">
                  <c:v>123.30335963364223</c:v>
                </c:pt>
                <c:pt idx="336">
                  <c:v>123.30335963364223</c:v>
                </c:pt>
                <c:pt idx="337">
                  <c:v>123.30335963364223</c:v>
                </c:pt>
                <c:pt idx="338">
                  <c:v>123.30335963364223</c:v>
                </c:pt>
                <c:pt idx="339">
                  <c:v>123.30335963364223</c:v>
                </c:pt>
                <c:pt idx="340">
                  <c:v>123.30335963364223</c:v>
                </c:pt>
                <c:pt idx="341">
                  <c:v>123.30335963364223</c:v>
                </c:pt>
                <c:pt idx="342">
                  <c:v>123.30335963364223</c:v>
                </c:pt>
                <c:pt idx="343">
                  <c:v>123.30335963364223</c:v>
                </c:pt>
                <c:pt idx="344">
                  <c:v>123.30335963364223</c:v>
                </c:pt>
                <c:pt idx="345">
                  <c:v>123.30335963364223</c:v>
                </c:pt>
                <c:pt idx="346">
                  <c:v>123.30335963364223</c:v>
                </c:pt>
                <c:pt idx="347">
                  <c:v>123.30335963364223</c:v>
                </c:pt>
                <c:pt idx="348">
                  <c:v>123.30335963364223</c:v>
                </c:pt>
                <c:pt idx="349">
                  <c:v>123.30335963364223</c:v>
                </c:pt>
                <c:pt idx="350">
                  <c:v>123.30335963364223</c:v>
                </c:pt>
                <c:pt idx="351">
                  <c:v>123.30335963364223</c:v>
                </c:pt>
                <c:pt idx="352">
                  <c:v>123.30335963364223</c:v>
                </c:pt>
                <c:pt idx="353">
                  <c:v>123.30335963364223</c:v>
                </c:pt>
                <c:pt idx="354">
                  <c:v>123.30335963364223</c:v>
                </c:pt>
                <c:pt idx="355">
                  <c:v>123.30335963364223</c:v>
                </c:pt>
                <c:pt idx="356">
                  <c:v>123.30335963364223</c:v>
                </c:pt>
                <c:pt idx="357">
                  <c:v>123.30335963364223</c:v>
                </c:pt>
                <c:pt idx="358">
                  <c:v>123.30335963364223</c:v>
                </c:pt>
                <c:pt idx="359">
                  <c:v>123.30335963364223</c:v>
                </c:pt>
                <c:pt idx="360">
                  <c:v>123.30335963364223</c:v>
                </c:pt>
                <c:pt idx="361">
                  <c:v>123.30335963364223</c:v>
                </c:pt>
                <c:pt idx="362">
                  <c:v>123.30335963364223</c:v>
                </c:pt>
                <c:pt idx="363">
                  <c:v>123.30335963364223</c:v>
                </c:pt>
                <c:pt idx="364">
                  <c:v>123.30335963364223</c:v>
                </c:pt>
                <c:pt idx="365">
                  <c:v>119.88874866280776</c:v>
                </c:pt>
                <c:pt idx="366">
                  <c:v>119.88874866280776</c:v>
                </c:pt>
                <c:pt idx="367">
                  <c:v>119.88874866280776</c:v>
                </c:pt>
                <c:pt idx="368">
                  <c:v>119.88874866280776</c:v>
                </c:pt>
                <c:pt idx="369">
                  <c:v>119.88874866280776</c:v>
                </c:pt>
                <c:pt idx="370">
                  <c:v>119.88874866280776</c:v>
                </c:pt>
                <c:pt idx="371">
                  <c:v>119.88874866280776</c:v>
                </c:pt>
                <c:pt idx="372">
                  <c:v>119.88874866280776</c:v>
                </c:pt>
                <c:pt idx="373">
                  <c:v>119.88874866280776</c:v>
                </c:pt>
                <c:pt idx="374">
                  <c:v>119.88874866280776</c:v>
                </c:pt>
                <c:pt idx="375">
                  <c:v>119.88874866280776</c:v>
                </c:pt>
                <c:pt idx="376">
                  <c:v>119.88874866280776</c:v>
                </c:pt>
                <c:pt idx="377">
                  <c:v>119.88874866280776</c:v>
                </c:pt>
                <c:pt idx="378">
                  <c:v>119.88874866280776</c:v>
                </c:pt>
                <c:pt idx="379">
                  <c:v>119.88874866280776</c:v>
                </c:pt>
                <c:pt idx="380">
                  <c:v>119.88874866280776</c:v>
                </c:pt>
                <c:pt idx="381">
                  <c:v>119.88874866280776</c:v>
                </c:pt>
                <c:pt idx="382">
                  <c:v>119.88874866280776</c:v>
                </c:pt>
                <c:pt idx="383">
                  <c:v>119.88874866280776</c:v>
                </c:pt>
                <c:pt idx="384">
                  <c:v>119.88874866280776</c:v>
                </c:pt>
                <c:pt idx="385">
                  <c:v>119.88874866280776</c:v>
                </c:pt>
                <c:pt idx="386">
                  <c:v>119.88874866280776</c:v>
                </c:pt>
                <c:pt idx="387">
                  <c:v>119.88874866280776</c:v>
                </c:pt>
                <c:pt idx="388">
                  <c:v>119.88874866280776</c:v>
                </c:pt>
                <c:pt idx="389">
                  <c:v>119.88874866280776</c:v>
                </c:pt>
                <c:pt idx="390">
                  <c:v>119.88874866280776</c:v>
                </c:pt>
                <c:pt idx="391">
                  <c:v>119.88874866280776</c:v>
                </c:pt>
                <c:pt idx="392">
                  <c:v>119.88874866280776</c:v>
                </c:pt>
                <c:pt idx="393">
                  <c:v>119.88874866280776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112.70550380220814</c:v>
                </c:pt>
                <c:pt idx="1">
                  <c:v>112.70550380220814</c:v>
                </c:pt>
                <c:pt idx="2">
                  <c:v>112.70550380220814</c:v>
                </c:pt>
                <c:pt idx="3">
                  <c:v>112.70550380220814</c:v>
                </c:pt>
                <c:pt idx="4">
                  <c:v>64.102328999999997</c:v>
                </c:pt>
                <c:pt idx="5">
                  <c:v>105.30098</c:v>
                </c:pt>
                <c:pt idx="6">
                  <c:v>104.45495299999999</c:v>
                </c:pt>
                <c:pt idx="7">
                  <c:v>92.983648000000002</c:v>
                </c:pt>
                <c:pt idx="8">
                  <c:v>81.690436000000005</c:v>
                </c:pt>
                <c:pt idx="9">
                  <c:v>112.70550380220814</c:v>
                </c:pt>
                <c:pt idx="10">
                  <c:v>112.70550380220814</c:v>
                </c:pt>
                <c:pt idx="11">
                  <c:v>97.815604999999991</c:v>
                </c:pt>
                <c:pt idx="12">
                  <c:v>33.690694999999998</c:v>
                </c:pt>
                <c:pt idx="13">
                  <c:v>61.211841</c:v>
                </c:pt>
                <c:pt idx="14">
                  <c:v>112.70550380220814</c:v>
                </c:pt>
                <c:pt idx="15">
                  <c:v>112.70550380220814</c:v>
                </c:pt>
                <c:pt idx="16">
                  <c:v>109.63229399999999</c:v>
                </c:pt>
                <c:pt idx="17">
                  <c:v>85.017240999999999</c:v>
                </c:pt>
                <c:pt idx="18">
                  <c:v>112.70550380220814</c:v>
                </c:pt>
                <c:pt idx="19">
                  <c:v>112.70550380220814</c:v>
                </c:pt>
                <c:pt idx="20">
                  <c:v>112.70550380220814</c:v>
                </c:pt>
                <c:pt idx="21">
                  <c:v>75.847902000000005</c:v>
                </c:pt>
                <c:pt idx="22">
                  <c:v>112.70550380220814</c:v>
                </c:pt>
                <c:pt idx="23">
                  <c:v>101.038827</c:v>
                </c:pt>
                <c:pt idx="24">
                  <c:v>70.959075999999996</c:v>
                </c:pt>
                <c:pt idx="25">
                  <c:v>51.794538000000003</c:v>
                </c:pt>
                <c:pt idx="26">
                  <c:v>66.208909000000006</c:v>
                </c:pt>
                <c:pt idx="27">
                  <c:v>112.70550380220814</c:v>
                </c:pt>
                <c:pt idx="28">
                  <c:v>112.70550380220814</c:v>
                </c:pt>
                <c:pt idx="29">
                  <c:v>112.70550380220814</c:v>
                </c:pt>
                <c:pt idx="30">
                  <c:v>93.685998999999995</c:v>
                </c:pt>
                <c:pt idx="31">
                  <c:v>59.806457999999999</c:v>
                </c:pt>
                <c:pt idx="32">
                  <c:v>107.08526806498774</c:v>
                </c:pt>
                <c:pt idx="33">
                  <c:v>71.609544999999997</c:v>
                </c:pt>
                <c:pt idx="34">
                  <c:v>95.208067</c:v>
                </c:pt>
                <c:pt idx="35">
                  <c:v>107.08526806498774</c:v>
                </c:pt>
                <c:pt idx="36">
                  <c:v>107.08526806498774</c:v>
                </c:pt>
                <c:pt idx="37">
                  <c:v>107.08526806498774</c:v>
                </c:pt>
                <c:pt idx="38">
                  <c:v>107.08526806498774</c:v>
                </c:pt>
                <c:pt idx="39">
                  <c:v>76.414304000000001</c:v>
                </c:pt>
                <c:pt idx="40">
                  <c:v>97.360327999999996</c:v>
                </c:pt>
                <c:pt idx="41">
                  <c:v>84.595854000000003</c:v>
                </c:pt>
                <c:pt idx="42">
                  <c:v>95.812807000000006</c:v>
                </c:pt>
                <c:pt idx="43">
                  <c:v>107.08526806498774</c:v>
                </c:pt>
                <c:pt idx="44">
                  <c:v>107.08526806498774</c:v>
                </c:pt>
                <c:pt idx="45">
                  <c:v>61.669970999999997</c:v>
                </c:pt>
                <c:pt idx="46">
                  <c:v>47.954214</c:v>
                </c:pt>
                <c:pt idx="47">
                  <c:v>107.08526806498774</c:v>
                </c:pt>
                <c:pt idx="48">
                  <c:v>107.08526806498774</c:v>
                </c:pt>
                <c:pt idx="49">
                  <c:v>107.08526806498774</c:v>
                </c:pt>
                <c:pt idx="50">
                  <c:v>71.398513000000008</c:v>
                </c:pt>
                <c:pt idx="51">
                  <c:v>43.953246</c:v>
                </c:pt>
                <c:pt idx="52">
                  <c:v>42.289270999999999</c:v>
                </c:pt>
                <c:pt idx="53">
                  <c:v>107.08526806498774</c:v>
                </c:pt>
                <c:pt idx="54">
                  <c:v>107.08526806498774</c:v>
                </c:pt>
                <c:pt idx="55">
                  <c:v>107.08526806498774</c:v>
                </c:pt>
                <c:pt idx="56">
                  <c:v>107.08526806498774</c:v>
                </c:pt>
                <c:pt idx="57">
                  <c:v>107.08526806498774</c:v>
                </c:pt>
                <c:pt idx="58">
                  <c:v>107.08526806498774</c:v>
                </c:pt>
                <c:pt idx="59">
                  <c:v>53.063534999999995</c:v>
                </c:pt>
                <c:pt idx="60">
                  <c:v>62.516165999999998</c:v>
                </c:pt>
                <c:pt idx="61">
                  <c:v>127.06121952683949</c:v>
                </c:pt>
                <c:pt idx="62">
                  <c:v>127.06121952683949</c:v>
                </c:pt>
                <c:pt idx="63">
                  <c:v>127.06121952683949</c:v>
                </c:pt>
                <c:pt idx="64">
                  <c:v>127.06121952683949</c:v>
                </c:pt>
                <c:pt idx="65">
                  <c:v>127.06121952683949</c:v>
                </c:pt>
                <c:pt idx="66">
                  <c:v>127.06121952683949</c:v>
                </c:pt>
                <c:pt idx="67">
                  <c:v>106.33266</c:v>
                </c:pt>
                <c:pt idx="68">
                  <c:v>60.809464999999996</c:v>
                </c:pt>
                <c:pt idx="69">
                  <c:v>47.700455999999996</c:v>
                </c:pt>
                <c:pt idx="70">
                  <c:v>127.06121952683949</c:v>
                </c:pt>
                <c:pt idx="71">
                  <c:v>127.06121952683949</c:v>
                </c:pt>
                <c:pt idx="72">
                  <c:v>127.06121952683949</c:v>
                </c:pt>
                <c:pt idx="73">
                  <c:v>127.06121952683949</c:v>
                </c:pt>
                <c:pt idx="74">
                  <c:v>127.06121952683949</c:v>
                </c:pt>
                <c:pt idx="75">
                  <c:v>127.06121952683949</c:v>
                </c:pt>
                <c:pt idx="76">
                  <c:v>110.112658</c:v>
                </c:pt>
                <c:pt idx="77">
                  <c:v>50.603332999999999</c:v>
                </c:pt>
                <c:pt idx="78">
                  <c:v>61.568391000000005</c:v>
                </c:pt>
                <c:pt idx="79">
                  <c:v>127.06121952683949</c:v>
                </c:pt>
                <c:pt idx="80">
                  <c:v>127.06121952683949</c:v>
                </c:pt>
                <c:pt idx="81">
                  <c:v>127.06121952683949</c:v>
                </c:pt>
                <c:pt idx="82">
                  <c:v>127.06121952683949</c:v>
                </c:pt>
                <c:pt idx="83">
                  <c:v>127.06121952683949</c:v>
                </c:pt>
                <c:pt idx="84">
                  <c:v>127.06121952683949</c:v>
                </c:pt>
                <c:pt idx="85">
                  <c:v>127.06121952683949</c:v>
                </c:pt>
                <c:pt idx="86">
                  <c:v>127.06121952683949</c:v>
                </c:pt>
                <c:pt idx="87">
                  <c:v>127.06121952683949</c:v>
                </c:pt>
                <c:pt idx="88">
                  <c:v>117.49772900000001</c:v>
                </c:pt>
                <c:pt idx="89">
                  <c:v>58.620100999999998</c:v>
                </c:pt>
                <c:pt idx="90">
                  <c:v>87.59764100000001</c:v>
                </c:pt>
                <c:pt idx="91">
                  <c:v>123.97042500000001</c:v>
                </c:pt>
                <c:pt idx="92">
                  <c:v>125.23935300000001</c:v>
                </c:pt>
                <c:pt idx="93">
                  <c:v>85.920673000000008</c:v>
                </c:pt>
                <c:pt idx="94">
                  <c:v>176.69829634449792</c:v>
                </c:pt>
                <c:pt idx="95">
                  <c:v>176.69829634449792</c:v>
                </c:pt>
                <c:pt idx="96">
                  <c:v>176.69829634449792</c:v>
                </c:pt>
                <c:pt idx="97">
                  <c:v>176.69829634449792</c:v>
                </c:pt>
                <c:pt idx="98">
                  <c:v>176.69829634449792</c:v>
                </c:pt>
                <c:pt idx="99">
                  <c:v>156.800454</c:v>
                </c:pt>
                <c:pt idx="100">
                  <c:v>60.645159</c:v>
                </c:pt>
                <c:pt idx="101">
                  <c:v>35.971010999999997</c:v>
                </c:pt>
                <c:pt idx="102">
                  <c:v>140.179191</c:v>
                </c:pt>
                <c:pt idx="103">
                  <c:v>97.544676999999993</c:v>
                </c:pt>
                <c:pt idx="104">
                  <c:v>79.493798999999996</c:v>
                </c:pt>
                <c:pt idx="105">
                  <c:v>134.23853400000002</c:v>
                </c:pt>
                <c:pt idx="106">
                  <c:v>176.69829634449792</c:v>
                </c:pt>
                <c:pt idx="107">
                  <c:v>105.925865</c:v>
                </c:pt>
                <c:pt idx="108">
                  <c:v>58.954802999999998</c:v>
                </c:pt>
                <c:pt idx="109">
                  <c:v>90.291903000000005</c:v>
                </c:pt>
                <c:pt idx="110">
                  <c:v>176.69829634449792</c:v>
                </c:pt>
                <c:pt idx="111">
                  <c:v>176.69829634449792</c:v>
                </c:pt>
                <c:pt idx="112">
                  <c:v>115.55608599999999</c:v>
                </c:pt>
                <c:pt idx="113">
                  <c:v>56.336182999999998</c:v>
                </c:pt>
                <c:pt idx="114">
                  <c:v>46.552162000000003</c:v>
                </c:pt>
                <c:pt idx="115">
                  <c:v>100.392511</c:v>
                </c:pt>
                <c:pt idx="116">
                  <c:v>121.453129</c:v>
                </c:pt>
                <c:pt idx="117">
                  <c:v>176.69829634449792</c:v>
                </c:pt>
                <c:pt idx="118">
                  <c:v>155.23078099999998</c:v>
                </c:pt>
                <c:pt idx="119">
                  <c:v>70.368157999999994</c:v>
                </c:pt>
                <c:pt idx="120">
                  <c:v>52.875363</c:v>
                </c:pt>
                <c:pt idx="121">
                  <c:v>86.030285000000006</c:v>
                </c:pt>
                <c:pt idx="122">
                  <c:v>165.61562702866021</c:v>
                </c:pt>
                <c:pt idx="123">
                  <c:v>165.61562702866021</c:v>
                </c:pt>
                <c:pt idx="124">
                  <c:v>165.61562702866021</c:v>
                </c:pt>
                <c:pt idx="125">
                  <c:v>165.61562702866021</c:v>
                </c:pt>
                <c:pt idx="126">
                  <c:v>165.61562702866021</c:v>
                </c:pt>
                <c:pt idx="127">
                  <c:v>165.61562702866021</c:v>
                </c:pt>
                <c:pt idx="128">
                  <c:v>165.61562702866021</c:v>
                </c:pt>
                <c:pt idx="129">
                  <c:v>165.61562702866021</c:v>
                </c:pt>
                <c:pt idx="130">
                  <c:v>165.61562702866021</c:v>
                </c:pt>
                <c:pt idx="131">
                  <c:v>165.61562702866021</c:v>
                </c:pt>
                <c:pt idx="132">
                  <c:v>165.61562702866021</c:v>
                </c:pt>
                <c:pt idx="133">
                  <c:v>165.61562702866021</c:v>
                </c:pt>
                <c:pt idx="134">
                  <c:v>165.61562702866021</c:v>
                </c:pt>
                <c:pt idx="135">
                  <c:v>165.61562702866021</c:v>
                </c:pt>
                <c:pt idx="136">
                  <c:v>165.61562702866021</c:v>
                </c:pt>
                <c:pt idx="137">
                  <c:v>160.943062</c:v>
                </c:pt>
                <c:pt idx="138">
                  <c:v>61.788949000000002</c:v>
                </c:pt>
                <c:pt idx="139">
                  <c:v>123.33253199999999</c:v>
                </c:pt>
                <c:pt idx="140">
                  <c:v>135.376823</c:v>
                </c:pt>
                <c:pt idx="141">
                  <c:v>129.84132100000002</c:v>
                </c:pt>
                <c:pt idx="142">
                  <c:v>155.97537800000003</c:v>
                </c:pt>
                <c:pt idx="143">
                  <c:v>132.75632100000001</c:v>
                </c:pt>
                <c:pt idx="144">
                  <c:v>141.42384899999999</c:v>
                </c:pt>
                <c:pt idx="145">
                  <c:v>132.186509</c:v>
                </c:pt>
                <c:pt idx="146">
                  <c:v>165.61562702866021</c:v>
                </c:pt>
                <c:pt idx="147">
                  <c:v>165.61562702866021</c:v>
                </c:pt>
                <c:pt idx="148">
                  <c:v>165.61562702866021</c:v>
                </c:pt>
                <c:pt idx="149">
                  <c:v>165.61562702866021</c:v>
                </c:pt>
                <c:pt idx="150">
                  <c:v>165.61562702866021</c:v>
                </c:pt>
                <c:pt idx="151">
                  <c:v>165.61562702866021</c:v>
                </c:pt>
                <c:pt idx="152">
                  <c:v>165.61562702866021</c:v>
                </c:pt>
                <c:pt idx="153">
                  <c:v>198.76076848747033</c:v>
                </c:pt>
                <c:pt idx="154">
                  <c:v>198.76076848747033</c:v>
                </c:pt>
                <c:pt idx="155">
                  <c:v>198.76076848747033</c:v>
                </c:pt>
                <c:pt idx="156">
                  <c:v>127.92596</c:v>
                </c:pt>
                <c:pt idx="157">
                  <c:v>68.985138000000006</c:v>
                </c:pt>
                <c:pt idx="158">
                  <c:v>67.590433999999988</c:v>
                </c:pt>
                <c:pt idx="159">
                  <c:v>99.150615999999999</c:v>
                </c:pt>
                <c:pt idx="160">
                  <c:v>198.76076848747033</c:v>
                </c:pt>
                <c:pt idx="161">
                  <c:v>198.76076848747033</c:v>
                </c:pt>
                <c:pt idx="162">
                  <c:v>198.76076848747033</c:v>
                </c:pt>
                <c:pt idx="163">
                  <c:v>198.76076848747033</c:v>
                </c:pt>
                <c:pt idx="164">
                  <c:v>164.969347</c:v>
                </c:pt>
                <c:pt idx="165">
                  <c:v>170.91346600000003</c:v>
                </c:pt>
                <c:pt idx="166">
                  <c:v>198.76076848747033</c:v>
                </c:pt>
                <c:pt idx="167">
                  <c:v>198.76076848747033</c:v>
                </c:pt>
                <c:pt idx="168">
                  <c:v>170.35610800000001</c:v>
                </c:pt>
                <c:pt idx="169">
                  <c:v>155.22302999999999</c:v>
                </c:pt>
                <c:pt idx="170">
                  <c:v>56.478533000000006</c:v>
                </c:pt>
                <c:pt idx="171">
                  <c:v>144.09847200000002</c:v>
                </c:pt>
                <c:pt idx="172">
                  <c:v>198.76076848747033</c:v>
                </c:pt>
                <c:pt idx="173">
                  <c:v>198.76076848747033</c:v>
                </c:pt>
                <c:pt idx="174">
                  <c:v>198.76076848747033</c:v>
                </c:pt>
                <c:pt idx="175">
                  <c:v>198.76076848747033</c:v>
                </c:pt>
                <c:pt idx="176">
                  <c:v>198.76076848747033</c:v>
                </c:pt>
                <c:pt idx="177">
                  <c:v>198.76076848747033</c:v>
                </c:pt>
                <c:pt idx="178">
                  <c:v>151.71598999999998</c:v>
                </c:pt>
                <c:pt idx="179">
                  <c:v>198.76076848747033</c:v>
                </c:pt>
                <c:pt idx="180">
                  <c:v>198.76076848747033</c:v>
                </c:pt>
                <c:pt idx="181">
                  <c:v>198.76076848747033</c:v>
                </c:pt>
                <c:pt idx="182">
                  <c:v>198.76076848747033</c:v>
                </c:pt>
                <c:pt idx="183">
                  <c:v>198.76076848747033</c:v>
                </c:pt>
                <c:pt idx="184">
                  <c:v>212.36985204649764</c:v>
                </c:pt>
                <c:pt idx="185">
                  <c:v>212.36985204649764</c:v>
                </c:pt>
                <c:pt idx="186">
                  <c:v>212.36985204649764</c:v>
                </c:pt>
                <c:pt idx="187">
                  <c:v>108.02166700000001</c:v>
                </c:pt>
                <c:pt idx="188">
                  <c:v>168.37187700000001</c:v>
                </c:pt>
                <c:pt idx="189">
                  <c:v>198.89757999999998</c:v>
                </c:pt>
                <c:pt idx="190">
                  <c:v>212.36985204649764</c:v>
                </c:pt>
                <c:pt idx="191">
                  <c:v>212.36985204649764</c:v>
                </c:pt>
                <c:pt idx="192">
                  <c:v>212.36985204649764</c:v>
                </c:pt>
                <c:pt idx="193">
                  <c:v>212.36985204649764</c:v>
                </c:pt>
                <c:pt idx="194">
                  <c:v>194.20349999999999</c:v>
                </c:pt>
                <c:pt idx="195">
                  <c:v>212.36985204649764</c:v>
                </c:pt>
                <c:pt idx="196">
                  <c:v>188.21401900000001</c:v>
                </c:pt>
                <c:pt idx="197">
                  <c:v>166.08467199999998</c:v>
                </c:pt>
                <c:pt idx="198">
                  <c:v>212.36985204649764</c:v>
                </c:pt>
                <c:pt idx="199">
                  <c:v>193.85834</c:v>
                </c:pt>
                <c:pt idx="200">
                  <c:v>150.38908499999999</c:v>
                </c:pt>
                <c:pt idx="201">
                  <c:v>206.50008499999998</c:v>
                </c:pt>
                <c:pt idx="202">
                  <c:v>212.36985204649764</c:v>
                </c:pt>
                <c:pt idx="203">
                  <c:v>212.36985204649764</c:v>
                </c:pt>
                <c:pt idx="204">
                  <c:v>212.36985204649764</c:v>
                </c:pt>
                <c:pt idx="205">
                  <c:v>175.44514599999999</c:v>
                </c:pt>
                <c:pt idx="206">
                  <c:v>163.82093499999999</c:v>
                </c:pt>
                <c:pt idx="207">
                  <c:v>212.36985204649764</c:v>
                </c:pt>
                <c:pt idx="208">
                  <c:v>138.19765100000001</c:v>
                </c:pt>
                <c:pt idx="209">
                  <c:v>142.21125700000002</c:v>
                </c:pt>
                <c:pt idx="210">
                  <c:v>208.04583</c:v>
                </c:pt>
                <c:pt idx="211">
                  <c:v>212.36985204649764</c:v>
                </c:pt>
                <c:pt idx="212">
                  <c:v>201.77141510917494</c:v>
                </c:pt>
                <c:pt idx="213">
                  <c:v>116.65366299999999</c:v>
                </c:pt>
                <c:pt idx="214">
                  <c:v>59.233159000000001</c:v>
                </c:pt>
                <c:pt idx="215">
                  <c:v>85.570998000000003</c:v>
                </c:pt>
                <c:pt idx="216">
                  <c:v>146.74572899999998</c:v>
                </c:pt>
                <c:pt idx="217">
                  <c:v>136.76976400000001</c:v>
                </c:pt>
                <c:pt idx="218">
                  <c:v>69.506714000000002</c:v>
                </c:pt>
                <c:pt idx="219">
                  <c:v>162.11311200000003</c:v>
                </c:pt>
                <c:pt idx="220">
                  <c:v>139.32670400000001</c:v>
                </c:pt>
                <c:pt idx="221">
                  <c:v>117.505933</c:v>
                </c:pt>
                <c:pt idx="222">
                  <c:v>201.77141510917494</c:v>
                </c:pt>
                <c:pt idx="223">
                  <c:v>177.23169000000001</c:v>
                </c:pt>
                <c:pt idx="224">
                  <c:v>142.902986</c:v>
                </c:pt>
                <c:pt idx="225">
                  <c:v>198.94388500000002</c:v>
                </c:pt>
                <c:pt idx="226">
                  <c:v>201.77141510917494</c:v>
                </c:pt>
                <c:pt idx="227">
                  <c:v>201.77141510917494</c:v>
                </c:pt>
                <c:pt idx="228">
                  <c:v>201.77141510917494</c:v>
                </c:pt>
                <c:pt idx="229">
                  <c:v>201.77141510917494</c:v>
                </c:pt>
                <c:pt idx="230">
                  <c:v>201.77141510917494</c:v>
                </c:pt>
                <c:pt idx="231">
                  <c:v>201.77141510917494</c:v>
                </c:pt>
                <c:pt idx="232">
                  <c:v>201.77141510917494</c:v>
                </c:pt>
                <c:pt idx="233">
                  <c:v>201.77141510917494</c:v>
                </c:pt>
                <c:pt idx="234">
                  <c:v>68.061356000000004</c:v>
                </c:pt>
                <c:pt idx="235">
                  <c:v>23.369688999999997</c:v>
                </c:pt>
                <c:pt idx="236">
                  <c:v>46.521746999999998</c:v>
                </c:pt>
                <c:pt idx="237">
                  <c:v>101.47027600000001</c:v>
                </c:pt>
                <c:pt idx="238">
                  <c:v>138.59802299999998</c:v>
                </c:pt>
                <c:pt idx="239">
                  <c:v>125.51275699999999</c:v>
                </c:pt>
                <c:pt idx="240">
                  <c:v>201.77141510917494</c:v>
                </c:pt>
                <c:pt idx="241">
                  <c:v>198.45922300000001</c:v>
                </c:pt>
                <c:pt idx="242">
                  <c:v>201.77141510917494</c:v>
                </c:pt>
                <c:pt idx="243">
                  <c:v>168.58444609315609</c:v>
                </c:pt>
                <c:pt idx="244">
                  <c:v>76.23691199999999</c:v>
                </c:pt>
                <c:pt idx="245">
                  <c:v>168.58444609315609</c:v>
                </c:pt>
                <c:pt idx="246">
                  <c:v>168.58444609315609</c:v>
                </c:pt>
                <c:pt idx="247">
                  <c:v>111.209886</c:v>
                </c:pt>
                <c:pt idx="248">
                  <c:v>168.58444609315609</c:v>
                </c:pt>
                <c:pt idx="249">
                  <c:v>168.58444609315609</c:v>
                </c:pt>
                <c:pt idx="250">
                  <c:v>143.09699700000002</c:v>
                </c:pt>
                <c:pt idx="251">
                  <c:v>125.65317399999999</c:v>
                </c:pt>
                <c:pt idx="252">
                  <c:v>84.318607</c:v>
                </c:pt>
                <c:pt idx="253">
                  <c:v>168.58444609315609</c:v>
                </c:pt>
                <c:pt idx="254">
                  <c:v>168.58444609315609</c:v>
                </c:pt>
                <c:pt idx="255">
                  <c:v>78.330196000000001</c:v>
                </c:pt>
                <c:pt idx="256">
                  <c:v>117.66481300000001</c:v>
                </c:pt>
                <c:pt idx="257">
                  <c:v>168.58444609315609</c:v>
                </c:pt>
                <c:pt idx="258">
                  <c:v>168.58444609315609</c:v>
                </c:pt>
                <c:pt idx="259">
                  <c:v>168.58444609315609</c:v>
                </c:pt>
                <c:pt idx="260">
                  <c:v>122.07006099999998</c:v>
                </c:pt>
                <c:pt idx="261">
                  <c:v>63.650377999999996</c:v>
                </c:pt>
                <c:pt idx="262">
                  <c:v>47.180749000000006</c:v>
                </c:pt>
                <c:pt idx="263">
                  <c:v>40.098511000000002</c:v>
                </c:pt>
                <c:pt idx="264">
                  <c:v>63.853593000000004</c:v>
                </c:pt>
                <c:pt idx="265">
                  <c:v>168.58444609315609</c:v>
                </c:pt>
                <c:pt idx="266">
                  <c:v>168.58444609315609</c:v>
                </c:pt>
                <c:pt idx="267">
                  <c:v>138.57889900000001</c:v>
                </c:pt>
                <c:pt idx="268">
                  <c:v>52.446289999999998</c:v>
                </c:pt>
                <c:pt idx="269">
                  <c:v>55.059881000000004</c:v>
                </c:pt>
                <c:pt idx="270">
                  <c:v>64.012494000000004</c:v>
                </c:pt>
                <c:pt idx="271">
                  <c:v>87.578181000000001</c:v>
                </c:pt>
                <c:pt idx="272">
                  <c:v>73.165562000000008</c:v>
                </c:pt>
                <c:pt idx="273">
                  <c:v>148.2255854318004</c:v>
                </c:pt>
                <c:pt idx="274">
                  <c:v>90.774007999999995</c:v>
                </c:pt>
                <c:pt idx="275">
                  <c:v>108.63253899999999</c:v>
                </c:pt>
                <c:pt idx="276">
                  <c:v>61.361021000000001</c:v>
                </c:pt>
                <c:pt idx="277">
                  <c:v>77.206767999999997</c:v>
                </c:pt>
                <c:pt idx="278">
                  <c:v>120.716683</c:v>
                </c:pt>
                <c:pt idx="279">
                  <c:v>91.633792</c:v>
                </c:pt>
                <c:pt idx="280">
                  <c:v>148.2255854318004</c:v>
                </c:pt>
                <c:pt idx="281">
                  <c:v>148.2255854318004</c:v>
                </c:pt>
                <c:pt idx="282">
                  <c:v>148.2255854318004</c:v>
                </c:pt>
                <c:pt idx="283">
                  <c:v>148.2255854318004</c:v>
                </c:pt>
                <c:pt idx="284">
                  <c:v>148.2255854318004</c:v>
                </c:pt>
                <c:pt idx="285">
                  <c:v>148.2255854318004</c:v>
                </c:pt>
                <c:pt idx="286">
                  <c:v>148.2255854318004</c:v>
                </c:pt>
                <c:pt idx="287">
                  <c:v>148.2255854318004</c:v>
                </c:pt>
                <c:pt idx="288">
                  <c:v>148.2255854318004</c:v>
                </c:pt>
                <c:pt idx="289">
                  <c:v>106.189633</c:v>
                </c:pt>
                <c:pt idx="290">
                  <c:v>148.2255854318004</c:v>
                </c:pt>
                <c:pt idx="291">
                  <c:v>148.2255854318004</c:v>
                </c:pt>
                <c:pt idx="292">
                  <c:v>87.60540300000001</c:v>
                </c:pt>
                <c:pt idx="293">
                  <c:v>147.67714699999999</c:v>
                </c:pt>
                <c:pt idx="294">
                  <c:v>119.54665200000001</c:v>
                </c:pt>
                <c:pt idx="295">
                  <c:v>120.54001700000001</c:v>
                </c:pt>
                <c:pt idx="296">
                  <c:v>148.2255854318004</c:v>
                </c:pt>
                <c:pt idx="297">
                  <c:v>133.72583799999998</c:v>
                </c:pt>
                <c:pt idx="298">
                  <c:v>88.334888000000007</c:v>
                </c:pt>
                <c:pt idx="299">
                  <c:v>52.270097</c:v>
                </c:pt>
                <c:pt idx="300">
                  <c:v>48.856767999999995</c:v>
                </c:pt>
                <c:pt idx="301">
                  <c:v>81.929534000000004</c:v>
                </c:pt>
                <c:pt idx="302">
                  <c:v>117.86805100000001</c:v>
                </c:pt>
                <c:pt idx="303">
                  <c:v>107.58759400000001</c:v>
                </c:pt>
                <c:pt idx="304">
                  <c:v>104.232285</c:v>
                </c:pt>
                <c:pt idx="305">
                  <c:v>60.775233</c:v>
                </c:pt>
                <c:pt idx="306">
                  <c:v>124.32971499999999</c:v>
                </c:pt>
                <c:pt idx="307">
                  <c:v>102.69985699999999</c:v>
                </c:pt>
                <c:pt idx="308">
                  <c:v>87.217461999999998</c:v>
                </c:pt>
                <c:pt idx="309">
                  <c:v>124.337554</c:v>
                </c:pt>
                <c:pt idx="310">
                  <c:v>101.421727</c:v>
                </c:pt>
                <c:pt idx="311">
                  <c:v>72.168437000000011</c:v>
                </c:pt>
                <c:pt idx="312">
                  <c:v>96.902244999999994</c:v>
                </c:pt>
                <c:pt idx="313">
                  <c:v>108.52340700000001</c:v>
                </c:pt>
                <c:pt idx="314">
                  <c:v>125.36009436679667</c:v>
                </c:pt>
                <c:pt idx="315">
                  <c:v>125.36009436679667</c:v>
                </c:pt>
                <c:pt idx="316">
                  <c:v>97.78537</c:v>
                </c:pt>
                <c:pt idx="317">
                  <c:v>73.387034</c:v>
                </c:pt>
                <c:pt idx="318">
                  <c:v>113.433581</c:v>
                </c:pt>
                <c:pt idx="319">
                  <c:v>105.03147199999999</c:v>
                </c:pt>
                <c:pt idx="320">
                  <c:v>96.274867</c:v>
                </c:pt>
                <c:pt idx="321">
                  <c:v>119.659942</c:v>
                </c:pt>
                <c:pt idx="322">
                  <c:v>91.504491999999999</c:v>
                </c:pt>
                <c:pt idx="323">
                  <c:v>125.36009436679667</c:v>
                </c:pt>
                <c:pt idx="324">
                  <c:v>125.36009436679667</c:v>
                </c:pt>
                <c:pt idx="325">
                  <c:v>118.332554</c:v>
                </c:pt>
                <c:pt idx="326">
                  <c:v>125.36009436679667</c:v>
                </c:pt>
                <c:pt idx="327">
                  <c:v>125.36009436679667</c:v>
                </c:pt>
                <c:pt idx="328">
                  <c:v>113.47672999999999</c:v>
                </c:pt>
                <c:pt idx="329">
                  <c:v>125.36009436679667</c:v>
                </c:pt>
                <c:pt idx="330">
                  <c:v>125.36009436679667</c:v>
                </c:pt>
                <c:pt idx="331">
                  <c:v>125.36009436679667</c:v>
                </c:pt>
                <c:pt idx="332">
                  <c:v>71.413732999999993</c:v>
                </c:pt>
                <c:pt idx="333">
                  <c:v>68.069317999999996</c:v>
                </c:pt>
                <c:pt idx="334">
                  <c:v>53.796114000000003</c:v>
                </c:pt>
                <c:pt idx="335">
                  <c:v>81.503187999999994</c:v>
                </c:pt>
                <c:pt idx="336">
                  <c:v>108.56992200000001</c:v>
                </c:pt>
                <c:pt idx="337">
                  <c:v>123.30335963364223</c:v>
                </c:pt>
                <c:pt idx="338">
                  <c:v>123.30335963364223</c:v>
                </c:pt>
                <c:pt idx="339">
                  <c:v>123.30335963364223</c:v>
                </c:pt>
                <c:pt idx="340">
                  <c:v>99.963069000000004</c:v>
                </c:pt>
                <c:pt idx="341">
                  <c:v>118.72583</c:v>
                </c:pt>
                <c:pt idx="342">
                  <c:v>106.795545</c:v>
                </c:pt>
                <c:pt idx="343">
                  <c:v>101.93258</c:v>
                </c:pt>
                <c:pt idx="344">
                  <c:v>123.30335963364223</c:v>
                </c:pt>
                <c:pt idx="345">
                  <c:v>123.30335963364223</c:v>
                </c:pt>
                <c:pt idx="346">
                  <c:v>123.30335963364223</c:v>
                </c:pt>
                <c:pt idx="347">
                  <c:v>123.30335963364223</c:v>
                </c:pt>
                <c:pt idx="348">
                  <c:v>123.30335963364223</c:v>
                </c:pt>
                <c:pt idx="349">
                  <c:v>123.30335963364223</c:v>
                </c:pt>
                <c:pt idx="350">
                  <c:v>110.358834</c:v>
                </c:pt>
                <c:pt idx="351">
                  <c:v>123.30335963364223</c:v>
                </c:pt>
                <c:pt idx="352">
                  <c:v>90.256762000000009</c:v>
                </c:pt>
                <c:pt idx="353">
                  <c:v>60.920558</c:v>
                </c:pt>
                <c:pt idx="354">
                  <c:v>54.755589000000001</c:v>
                </c:pt>
                <c:pt idx="355">
                  <c:v>107.60026499999999</c:v>
                </c:pt>
                <c:pt idx="356">
                  <c:v>123.30335963364223</c:v>
                </c:pt>
                <c:pt idx="357">
                  <c:v>123.30335963364223</c:v>
                </c:pt>
                <c:pt idx="358">
                  <c:v>99.352208000000005</c:v>
                </c:pt>
                <c:pt idx="359">
                  <c:v>96.195096000000007</c:v>
                </c:pt>
                <c:pt idx="360">
                  <c:v>97.58481900000001</c:v>
                </c:pt>
                <c:pt idx="361">
                  <c:v>123.30335963364223</c:v>
                </c:pt>
                <c:pt idx="362">
                  <c:v>123.30335963364223</c:v>
                </c:pt>
                <c:pt idx="363">
                  <c:v>123.30335963364223</c:v>
                </c:pt>
                <c:pt idx="364">
                  <c:v>123.30335963364223</c:v>
                </c:pt>
                <c:pt idx="365">
                  <c:v>105.186589</c:v>
                </c:pt>
                <c:pt idx="366">
                  <c:v>65.453987999999995</c:v>
                </c:pt>
                <c:pt idx="367">
                  <c:v>81.198025000000015</c:v>
                </c:pt>
                <c:pt idx="368">
                  <c:v>117.955766</c:v>
                </c:pt>
                <c:pt idx="369">
                  <c:v>119.88874866280776</c:v>
                </c:pt>
                <c:pt idx="370">
                  <c:v>119.88874866280776</c:v>
                </c:pt>
                <c:pt idx="371">
                  <c:v>119.88874866280776</c:v>
                </c:pt>
                <c:pt idx="372">
                  <c:v>90.908063999999996</c:v>
                </c:pt>
                <c:pt idx="373">
                  <c:v>83.165186000000006</c:v>
                </c:pt>
                <c:pt idx="374">
                  <c:v>63.679190999999996</c:v>
                </c:pt>
                <c:pt idx="375">
                  <c:v>70.816256999999993</c:v>
                </c:pt>
                <c:pt idx="376">
                  <c:v>105.14160200000001</c:v>
                </c:pt>
                <c:pt idx="377">
                  <c:v>77.889082000000002</c:v>
                </c:pt>
                <c:pt idx="378">
                  <c:v>88.148835999999989</c:v>
                </c:pt>
                <c:pt idx="379">
                  <c:v>119.88874866280776</c:v>
                </c:pt>
                <c:pt idx="380">
                  <c:v>119.88874866280776</c:v>
                </c:pt>
                <c:pt idx="381">
                  <c:v>119.88874866280776</c:v>
                </c:pt>
                <c:pt idx="382">
                  <c:v>119.88874866280776</c:v>
                </c:pt>
                <c:pt idx="383">
                  <c:v>100.68488499999999</c:v>
                </c:pt>
                <c:pt idx="384">
                  <c:v>70.082198000000005</c:v>
                </c:pt>
                <c:pt idx="385">
                  <c:v>75.086461</c:v>
                </c:pt>
                <c:pt idx="386">
                  <c:v>119.88874866280776</c:v>
                </c:pt>
                <c:pt idx="387">
                  <c:v>119.88874866280776</c:v>
                </c:pt>
                <c:pt idx="388">
                  <c:v>119.88874866280776</c:v>
                </c:pt>
                <c:pt idx="389">
                  <c:v>84.560846999999995</c:v>
                </c:pt>
                <c:pt idx="390">
                  <c:v>43.339232000000003</c:v>
                </c:pt>
                <c:pt idx="391">
                  <c:v>80.723176000000009</c:v>
                </c:pt>
                <c:pt idx="392">
                  <c:v>119.88874866280776</c:v>
                </c:pt>
                <c:pt idx="393">
                  <c:v>107.65864099999999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1.187373493168685</c:v>
                </c:pt>
                <c:pt idx="1">
                  <c:v>1.2324426491705454</c:v>
                </c:pt>
                <c:pt idx="2">
                  <c:v>2.2733819891686871</c:v>
                </c:pt>
                <c:pt idx="3">
                  <c:v>1.0302514831686858</c:v>
                </c:pt>
                <c:pt idx="4">
                  <c:v>1.2843243052110629</c:v>
                </c:pt>
                <c:pt idx="5">
                  <c:v>5.0724915292054797</c:v>
                </c:pt>
                <c:pt idx="6">
                  <c:v>9.7649471772054675</c:v>
                </c:pt>
                <c:pt idx="7">
                  <c:v>1.2628975252110612</c:v>
                </c:pt>
                <c:pt idx="8">
                  <c:v>1.4350578492073327</c:v>
                </c:pt>
                <c:pt idx="9">
                  <c:v>2.0921907332092013</c:v>
                </c:pt>
                <c:pt idx="10">
                  <c:v>10.213209065207339</c:v>
                </c:pt>
                <c:pt idx="11">
                  <c:v>26.557876889262886</c:v>
                </c:pt>
                <c:pt idx="12">
                  <c:v>36.699982845261026</c:v>
                </c:pt>
                <c:pt idx="13">
                  <c:v>25.851025137262884</c:v>
                </c:pt>
                <c:pt idx="14">
                  <c:v>1.4413111132628837</c:v>
                </c:pt>
                <c:pt idx="15">
                  <c:v>1.3727565432591582</c:v>
                </c:pt>
                <c:pt idx="16">
                  <c:v>19.10940262126288</c:v>
                </c:pt>
                <c:pt idx="17">
                  <c:v>31.168780121262884</c:v>
                </c:pt>
                <c:pt idx="18">
                  <c:v>6.7114400905173097</c:v>
                </c:pt>
                <c:pt idx="19">
                  <c:v>5.7637137785191737</c:v>
                </c:pt>
                <c:pt idx="20">
                  <c:v>15.53273857051917</c:v>
                </c:pt>
                <c:pt idx="21">
                  <c:v>4.7785867785173108</c:v>
                </c:pt>
                <c:pt idx="22">
                  <c:v>1.5828672785173112</c:v>
                </c:pt>
                <c:pt idx="23">
                  <c:v>6.5815349585191729</c:v>
                </c:pt>
                <c:pt idx="24">
                  <c:v>25.15890221851917</c:v>
                </c:pt>
                <c:pt idx="25">
                  <c:v>31.967876995378262</c:v>
                </c:pt>
                <c:pt idx="26">
                  <c:v>13.11201039538013</c:v>
                </c:pt>
                <c:pt idx="27">
                  <c:v>6.3395145233819932</c:v>
                </c:pt>
                <c:pt idx="28">
                  <c:v>3.5834837913764059</c:v>
                </c:pt>
                <c:pt idx="29">
                  <c:v>0.59885496938385041</c:v>
                </c:pt>
                <c:pt idx="30">
                  <c:v>0.54639137737826238</c:v>
                </c:pt>
                <c:pt idx="31">
                  <c:v>9.9157058673782661</c:v>
                </c:pt>
                <c:pt idx="32">
                  <c:v>20.153271213409287</c:v>
                </c:pt>
                <c:pt idx="33">
                  <c:v>24.629811097405561</c:v>
                </c:pt>
                <c:pt idx="34">
                  <c:v>19.219243357407425</c:v>
                </c:pt>
                <c:pt idx="35">
                  <c:v>2.4857805174055612</c:v>
                </c:pt>
                <c:pt idx="36">
                  <c:v>1.1927802294074208</c:v>
                </c:pt>
                <c:pt idx="37">
                  <c:v>1.9528572214055602</c:v>
                </c:pt>
                <c:pt idx="38">
                  <c:v>10.516595965407426</c:v>
                </c:pt>
                <c:pt idx="39">
                  <c:v>23.06971625332412</c:v>
                </c:pt>
                <c:pt idx="40">
                  <c:v>17.835714077325989</c:v>
                </c:pt>
                <c:pt idx="41">
                  <c:v>15.430868341322261</c:v>
                </c:pt>
                <c:pt idx="42">
                  <c:v>1.5664787813259899</c:v>
                </c:pt>
                <c:pt idx="43">
                  <c:v>1.4851167173222639</c:v>
                </c:pt>
                <c:pt idx="44">
                  <c:v>22.501489901325986</c:v>
                </c:pt>
                <c:pt idx="45">
                  <c:v>36.529274045324129</c:v>
                </c:pt>
                <c:pt idx="46">
                  <c:v>49.211002997035102</c:v>
                </c:pt>
                <c:pt idx="47">
                  <c:v>23.439750845033238</c:v>
                </c:pt>
                <c:pt idx="48">
                  <c:v>17.305753081036965</c:v>
                </c:pt>
                <c:pt idx="49">
                  <c:v>7.5177133050350964</c:v>
                </c:pt>
                <c:pt idx="50">
                  <c:v>6.3890751850351011</c:v>
                </c:pt>
                <c:pt idx="51">
                  <c:v>29.609922117035094</c:v>
                </c:pt>
                <c:pt idx="52">
                  <c:v>41.249954653035104</c:v>
                </c:pt>
                <c:pt idx="53">
                  <c:v>47.738555841733351</c:v>
                </c:pt>
                <c:pt idx="54">
                  <c:v>28.364571265733343</c:v>
                </c:pt>
                <c:pt idx="55">
                  <c:v>14.38581081373521</c:v>
                </c:pt>
                <c:pt idx="56">
                  <c:v>9.8621068577314794</c:v>
                </c:pt>
                <c:pt idx="57">
                  <c:v>13.26400406973521</c:v>
                </c:pt>
                <c:pt idx="58">
                  <c:v>20.942873981735211</c:v>
                </c:pt>
                <c:pt idx="59">
                  <c:v>31.611556617735207</c:v>
                </c:pt>
                <c:pt idx="60">
                  <c:v>49.582627884398121</c:v>
                </c:pt>
                <c:pt idx="61">
                  <c:v>34.494749008399985</c:v>
                </c:pt>
                <c:pt idx="62">
                  <c:v>33.263345404401854</c:v>
                </c:pt>
                <c:pt idx="63">
                  <c:v>31.916821480398124</c:v>
                </c:pt>
                <c:pt idx="64">
                  <c:v>32.320732376400919</c:v>
                </c:pt>
                <c:pt idx="65">
                  <c:v>36.530324628400912</c:v>
                </c:pt>
                <c:pt idx="66">
                  <c:v>44.161732320401846</c:v>
                </c:pt>
                <c:pt idx="67">
                  <c:v>51.275678575480406</c:v>
                </c:pt>
                <c:pt idx="68">
                  <c:v>57.804757795484143</c:v>
                </c:pt>
                <c:pt idx="69">
                  <c:v>58.90136793548227</c:v>
                </c:pt>
                <c:pt idx="70">
                  <c:v>31.952608363482273</c:v>
                </c:pt>
                <c:pt idx="71">
                  <c:v>27.311554463484136</c:v>
                </c:pt>
                <c:pt idx="72">
                  <c:v>33.411277655482273</c:v>
                </c:pt>
                <c:pt idx="73">
                  <c:v>57.046941845482273</c:v>
                </c:pt>
                <c:pt idx="74">
                  <c:v>40.685804836433135</c:v>
                </c:pt>
                <c:pt idx="75">
                  <c:v>49.477684980431263</c:v>
                </c:pt>
                <c:pt idx="76">
                  <c:v>55.657722726433128</c:v>
                </c:pt>
                <c:pt idx="77">
                  <c:v>60.389695256433129</c:v>
                </c:pt>
                <c:pt idx="78">
                  <c:v>50.658292656433126</c:v>
                </c:pt>
                <c:pt idx="79">
                  <c:v>17.849682186431274</c:v>
                </c:pt>
                <c:pt idx="80">
                  <c:v>33.288567356433134</c:v>
                </c:pt>
                <c:pt idx="81">
                  <c:v>97.476409926170803</c:v>
                </c:pt>
                <c:pt idx="82">
                  <c:v>126.2414094481708</c:v>
                </c:pt>
                <c:pt idx="83">
                  <c:v>116.10034370617173</c:v>
                </c:pt>
                <c:pt idx="84">
                  <c:v>92.92507380816987</c:v>
                </c:pt>
                <c:pt idx="85">
                  <c:v>89.938227088171729</c:v>
                </c:pt>
                <c:pt idx="86">
                  <c:v>109.4669571661708</c:v>
                </c:pt>
                <c:pt idx="87">
                  <c:v>110.00145380616986</c:v>
                </c:pt>
                <c:pt idx="88">
                  <c:v>97.71259092256328</c:v>
                </c:pt>
                <c:pt idx="89">
                  <c:v>100.97976351856143</c:v>
                </c:pt>
                <c:pt idx="90">
                  <c:v>95.019777810563269</c:v>
                </c:pt>
                <c:pt idx="91">
                  <c:v>73.238647778563291</c:v>
                </c:pt>
                <c:pt idx="92">
                  <c:v>67.491461476561412</c:v>
                </c:pt>
                <c:pt idx="93">
                  <c:v>90.539297578563279</c:v>
                </c:pt>
                <c:pt idx="94">
                  <c:v>84.920933158563273</c:v>
                </c:pt>
                <c:pt idx="95">
                  <c:v>92.090104163520209</c:v>
                </c:pt>
                <c:pt idx="96">
                  <c:v>85.06945982151835</c:v>
                </c:pt>
                <c:pt idx="97">
                  <c:v>82.499194099520196</c:v>
                </c:pt>
                <c:pt idx="98">
                  <c:v>85.196646417518352</c:v>
                </c:pt>
                <c:pt idx="99">
                  <c:v>88.352665449518341</c:v>
                </c:pt>
                <c:pt idx="100">
                  <c:v>122.2032016355202</c:v>
                </c:pt>
                <c:pt idx="101">
                  <c:v>133.2698394595202</c:v>
                </c:pt>
                <c:pt idx="102">
                  <c:v>92.376966588720165</c:v>
                </c:pt>
                <c:pt idx="103">
                  <c:v>96.612491752722022</c:v>
                </c:pt>
                <c:pt idx="104">
                  <c:v>95.489208220722034</c:v>
                </c:pt>
                <c:pt idx="105">
                  <c:v>70.060299420722032</c:v>
                </c:pt>
                <c:pt idx="106">
                  <c:v>48.015287764720171</c:v>
                </c:pt>
                <c:pt idx="107">
                  <c:v>87.2994411447239</c:v>
                </c:pt>
                <c:pt idx="108">
                  <c:v>92.342187160720158</c:v>
                </c:pt>
                <c:pt idx="109">
                  <c:v>70.111621425442806</c:v>
                </c:pt>
                <c:pt idx="110">
                  <c:v>63.088121337444669</c:v>
                </c:pt>
                <c:pt idx="111">
                  <c:v>55.397761157440947</c:v>
                </c:pt>
                <c:pt idx="112">
                  <c:v>53.693995237442813</c:v>
                </c:pt>
                <c:pt idx="113">
                  <c:v>46.526884517442817</c:v>
                </c:pt>
                <c:pt idx="114">
                  <c:v>85.732369433442813</c:v>
                </c:pt>
                <c:pt idx="115">
                  <c:v>88.500465897440961</c:v>
                </c:pt>
                <c:pt idx="116">
                  <c:v>69.851458300664419</c:v>
                </c:pt>
                <c:pt idx="117">
                  <c:v>67.886973940664419</c:v>
                </c:pt>
                <c:pt idx="118">
                  <c:v>81.418604596664423</c:v>
                </c:pt>
                <c:pt idx="119">
                  <c:v>64.213849756666278</c:v>
                </c:pt>
                <c:pt idx="120">
                  <c:v>59.651142740662557</c:v>
                </c:pt>
                <c:pt idx="121">
                  <c:v>79.045761708664415</c:v>
                </c:pt>
                <c:pt idx="122">
                  <c:v>62.100601868663496</c:v>
                </c:pt>
                <c:pt idx="123">
                  <c:v>70.402396138760267</c:v>
                </c:pt>
                <c:pt idx="124">
                  <c:v>82.667161910759333</c:v>
                </c:pt>
                <c:pt idx="125">
                  <c:v>78.066907996759326</c:v>
                </c:pt>
                <c:pt idx="126">
                  <c:v>61.534131550759327</c:v>
                </c:pt>
                <c:pt idx="127">
                  <c:v>45.123614910761191</c:v>
                </c:pt>
                <c:pt idx="128">
                  <c:v>40.704781300759329</c:v>
                </c:pt>
                <c:pt idx="129">
                  <c:v>62.039171170759332</c:v>
                </c:pt>
                <c:pt idx="130">
                  <c:v>180.84187507717817</c:v>
                </c:pt>
                <c:pt idx="131">
                  <c:v>177.39079880117723</c:v>
                </c:pt>
                <c:pt idx="132">
                  <c:v>170.68153854117722</c:v>
                </c:pt>
                <c:pt idx="133">
                  <c:v>168.05536761117725</c:v>
                </c:pt>
                <c:pt idx="134">
                  <c:v>178.62972340117724</c:v>
                </c:pt>
                <c:pt idx="135">
                  <c:v>193.30177418717724</c:v>
                </c:pt>
                <c:pt idx="136">
                  <c:v>197.34683710117724</c:v>
                </c:pt>
                <c:pt idx="137">
                  <c:v>189.05654969500449</c:v>
                </c:pt>
                <c:pt idx="138">
                  <c:v>209.45691207300081</c:v>
                </c:pt>
                <c:pt idx="139">
                  <c:v>188.86810224900265</c:v>
                </c:pt>
                <c:pt idx="140">
                  <c:v>170.36948992900079</c:v>
                </c:pt>
                <c:pt idx="141">
                  <c:v>171.48715503300267</c:v>
                </c:pt>
                <c:pt idx="142">
                  <c:v>179.30444694500451</c:v>
                </c:pt>
                <c:pt idx="143">
                  <c:v>167.23171702900268</c:v>
                </c:pt>
                <c:pt idx="144">
                  <c:v>154.88950531000887</c:v>
                </c:pt>
                <c:pt idx="145">
                  <c:v>129.28449326600702</c:v>
                </c:pt>
                <c:pt idx="146">
                  <c:v>104.61240697200887</c:v>
                </c:pt>
                <c:pt idx="147">
                  <c:v>116.87822096001074</c:v>
                </c:pt>
                <c:pt idx="148">
                  <c:v>109.73485186600701</c:v>
                </c:pt>
                <c:pt idx="149">
                  <c:v>115.48806524600887</c:v>
                </c:pt>
                <c:pt idx="150">
                  <c:v>142.79488232000887</c:v>
                </c:pt>
                <c:pt idx="151">
                  <c:v>145.75309296089668</c:v>
                </c:pt>
                <c:pt idx="152">
                  <c:v>138.2532446589004</c:v>
                </c:pt>
                <c:pt idx="153">
                  <c:v>121.61256647889853</c:v>
                </c:pt>
                <c:pt idx="154">
                  <c:v>122.66184857089854</c:v>
                </c:pt>
                <c:pt idx="155">
                  <c:v>127.50319563090041</c:v>
                </c:pt>
                <c:pt idx="156">
                  <c:v>176.49416036089852</c:v>
                </c:pt>
                <c:pt idx="157">
                  <c:v>186.71938942089855</c:v>
                </c:pt>
                <c:pt idx="158">
                  <c:v>122.40887442801942</c:v>
                </c:pt>
                <c:pt idx="159">
                  <c:v>113.46114075602128</c:v>
                </c:pt>
                <c:pt idx="160">
                  <c:v>108.12699205602127</c:v>
                </c:pt>
                <c:pt idx="161">
                  <c:v>79.585318456017546</c:v>
                </c:pt>
                <c:pt idx="162">
                  <c:v>78.225685954021273</c:v>
                </c:pt>
                <c:pt idx="163">
                  <c:v>89.220336424019408</c:v>
                </c:pt>
                <c:pt idx="164">
                  <c:v>103.77480175601941</c:v>
                </c:pt>
                <c:pt idx="165">
                  <c:v>65.034512115070655</c:v>
                </c:pt>
                <c:pt idx="166">
                  <c:v>63.201680711070658</c:v>
                </c:pt>
                <c:pt idx="167">
                  <c:v>62.774371647068797</c:v>
                </c:pt>
                <c:pt idx="168">
                  <c:v>56.383921859072522</c:v>
                </c:pt>
                <c:pt idx="169">
                  <c:v>38.968119675068799</c:v>
                </c:pt>
                <c:pt idx="170">
                  <c:v>71.525197235070664</c:v>
                </c:pt>
                <c:pt idx="171">
                  <c:v>56.168955615070651</c:v>
                </c:pt>
                <c:pt idx="172">
                  <c:v>180.60643095807191</c:v>
                </c:pt>
                <c:pt idx="173">
                  <c:v>169.89213577406818</c:v>
                </c:pt>
                <c:pt idx="174">
                  <c:v>170.88705726807007</c:v>
                </c:pt>
                <c:pt idx="175">
                  <c:v>143.72096823607004</c:v>
                </c:pt>
                <c:pt idx="176">
                  <c:v>146.16635474007003</c:v>
                </c:pt>
                <c:pt idx="177">
                  <c:v>197.65533248207188</c:v>
                </c:pt>
                <c:pt idx="178">
                  <c:v>215.52559173807003</c:v>
                </c:pt>
                <c:pt idx="179">
                  <c:v>272.77278553889727</c:v>
                </c:pt>
                <c:pt idx="180">
                  <c:v>274.90935913289542</c:v>
                </c:pt>
                <c:pt idx="181">
                  <c:v>270.00909163489729</c:v>
                </c:pt>
                <c:pt idx="182">
                  <c:v>254.71119680889728</c:v>
                </c:pt>
                <c:pt idx="183">
                  <c:v>254.40040566889539</c:v>
                </c:pt>
                <c:pt idx="184">
                  <c:v>264.16481982089732</c:v>
                </c:pt>
                <c:pt idx="185">
                  <c:v>271.8285615768973</c:v>
                </c:pt>
                <c:pt idx="186">
                  <c:v>264.69836088939917</c:v>
                </c:pt>
                <c:pt idx="187">
                  <c:v>286.1664210074029</c:v>
                </c:pt>
                <c:pt idx="188">
                  <c:v>289.61831058139728</c:v>
                </c:pt>
                <c:pt idx="189">
                  <c:v>278.79881750739912</c:v>
                </c:pt>
                <c:pt idx="190">
                  <c:v>257.81074344740102</c:v>
                </c:pt>
                <c:pt idx="191">
                  <c:v>267.98498618739916</c:v>
                </c:pt>
                <c:pt idx="192">
                  <c:v>273.0837129413992</c:v>
                </c:pt>
                <c:pt idx="193">
                  <c:v>328.34874569002187</c:v>
                </c:pt>
                <c:pt idx="194">
                  <c:v>338.46501590801824</c:v>
                </c:pt>
                <c:pt idx="195">
                  <c:v>330.21476903802005</c:v>
                </c:pt>
                <c:pt idx="196">
                  <c:v>329.21339539802193</c:v>
                </c:pt>
                <c:pt idx="197">
                  <c:v>318.23482610201825</c:v>
                </c:pt>
                <c:pt idx="198">
                  <c:v>312.73986280202377</c:v>
                </c:pt>
                <c:pt idx="199">
                  <c:v>324.37056173601815</c:v>
                </c:pt>
                <c:pt idx="200">
                  <c:v>252.24015034147993</c:v>
                </c:pt>
                <c:pt idx="201">
                  <c:v>250.5966354654818</c:v>
                </c:pt>
                <c:pt idx="202">
                  <c:v>245.0859520234799</c:v>
                </c:pt>
                <c:pt idx="203">
                  <c:v>229.47356413947804</c:v>
                </c:pt>
                <c:pt idx="204">
                  <c:v>231.6456424094799</c:v>
                </c:pt>
                <c:pt idx="205">
                  <c:v>255.84068907347992</c:v>
                </c:pt>
                <c:pt idx="206">
                  <c:v>251.36531480148363</c:v>
                </c:pt>
                <c:pt idx="207">
                  <c:v>198.79276894217784</c:v>
                </c:pt>
                <c:pt idx="208">
                  <c:v>215.04038210418344</c:v>
                </c:pt>
                <c:pt idx="209">
                  <c:v>213.22118856817971</c:v>
                </c:pt>
                <c:pt idx="210">
                  <c:v>180.77740014617967</c:v>
                </c:pt>
                <c:pt idx="211">
                  <c:v>158.85748814818342</c:v>
                </c:pt>
                <c:pt idx="212">
                  <c:v>180.43640221617972</c:v>
                </c:pt>
                <c:pt idx="213">
                  <c:v>201.88414813417785</c:v>
                </c:pt>
                <c:pt idx="214">
                  <c:v>170.96153258492194</c:v>
                </c:pt>
                <c:pt idx="215">
                  <c:v>157.94996440092009</c:v>
                </c:pt>
                <c:pt idx="216">
                  <c:v>146.89804492091821</c:v>
                </c:pt>
                <c:pt idx="217">
                  <c:v>129.02562271292007</c:v>
                </c:pt>
                <c:pt idx="218">
                  <c:v>122.20455098892009</c:v>
                </c:pt>
                <c:pt idx="219">
                  <c:v>153.32439297692008</c:v>
                </c:pt>
                <c:pt idx="220">
                  <c:v>149.22961850492007</c:v>
                </c:pt>
                <c:pt idx="221">
                  <c:v>129.11398864011255</c:v>
                </c:pt>
                <c:pt idx="222">
                  <c:v>101.23949998610881</c:v>
                </c:pt>
                <c:pt idx="223">
                  <c:v>100.59290683211253</c:v>
                </c:pt>
                <c:pt idx="224">
                  <c:v>72.324729336108817</c:v>
                </c:pt>
                <c:pt idx="225">
                  <c:v>68.548257946110681</c:v>
                </c:pt>
                <c:pt idx="226">
                  <c:v>105.35541978611255</c:v>
                </c:pt>
                <c:pt idx="227">
                  <c:v>84.458917064108817</c:v>
                </c:pt>
                <c:pt idx="228">
                  <c:v>78.6456522491697</c:v>
                </c:pt>
                <c:pt idx="229">
                  <c:v>92.181539105165967</c:v>
                </c:pt>
                <c:pt idx="230">
                  <c:v>86.720284863165972</c:v>
                </c:pt>
                <c:pt idx="231">
                  <c:v>43.176069023169696</c:v>
                </c:pt>
                <c:pt idx="232">
                  <c:v>48.579112891164108</c:v>
                </c:pt>
                <c:pt idx="233">
                  <c:v>100.11940646116783</c:v>
                </c:pt>
                <c:pt idx="234">
                  <c:v>123.59558988916784</c:v>
                </c:pt>
                <c:pt idx="235">
                  <c:v>101.68231273701706</c:v>
                </c:pt>
                <c:pt idx="236">
                  <c:v>100.98737631301704</c:v>
                </c:pt>
                <c:pt idx="237">
                  <c:v>86.623203501018921</c:v>
                </c:pt>
                <c:pt idx="238">
                  <c:v>52.267094185018912</c:v>
                </c:pt>
                <c:pt idx="239">
                  <c:v>22.305643741017047</c:v>
                </c:pt>
                <c:pt idx="240">
                  <c:v>50.199117601017058</c:v>
                </c:pt>
                <c:pt idx="241">
                  <c:v>60.649499513017055</c:v>
                </c:pt>
                <c:pt idx="242">
                  <c:v>75.16902626648239</c:v>
                </c:pt>
                <c:pt idx="243">
                  <c:v>63.751534450480527</c:v>
                </c:pt>
                <c:pt idx="244">
                  <c:v>65.469556810482388</c:v>
                </c:pt>
                <c:pt idx="245">
                  <c:v>42.394872066480531</c:v>
                </c:pt>
                <c:pt idx="246">
                  <c:v>41.921852302478669</c:v>
                </c:pt>
                <c:pt idx="247">
                  <c:v>57.200811402480525</c:v>
                </c:pt>
                <c:pt idx="248">
                  <c:v>72.491779494480539</c:v>
                </c:pt>
                <c:pt idx="249">
                  <c:v>73.096940716146577</c:v>
                </c:pt>
                <c:pt idx="250">
                  <c:v>97.066670200148423</c:v>
                </c:pt>
                <c:pt idx="251">
                  <c:v>89.112006520142856</c:v>
                </c:pt>
                <c:pt idx="252">
                  <c:v>59.675219168146576</c:v>
                </c:pt>
                <c:pt idx="253">
                  <c:v>36.012027652150294</c:v>
                </c:pt>
                <c:pt idx="254">
                  <c:v>71.971308904144706</c:v>
                </c:pt>
                <c:pt idx="255">
                  <c:v>87.948379396146578</c:v>
                </c:pt>
                <c:pt idx="256">
                  <c:v>74.086402859665498</c:v>
                </c:pt>
                <c:pt idx="257">
                  <c:v>65.578525103665498</c:v>
                </c:pt>
                <c:pt idx="258">
                  <c:v>52.700916831667364</c:v>
                </c:pt>
                <c:pt idx="259">
                  <c:v>28.047646551661767</c:v>
                </c:pt>
                <c:pt idx="260">
                  <c:v>25.637126475665493</c:v>
                </c:pt>
                <c:pt idx="261">
                  <c:v>67.720498807665493</c:v>
                </c:pt>
                <c:pt idx="262">
                  <c:v>64.438045755665499</c:v>
                </c:pt>
                <c:pt idx="263">
                  <c:v>77.927893818515969</c:v>
                </c:pt>
                <c:pt idx="264">
                  <c:v>70.428506162521543</c:v>
                </c:pt>
                <c:pt idx="265">
                  <c:v>33.339995286519681</c:v>
                </c:pt>
                <c:pt idx="266">
                  <c:v>20.937989170515962</c:v>
                </c:pt>
                <c:pt idx="267">
                  <c:v>29.937314190521544</c:v>
                </c:pt>
                <c:pt idx="268">
                  <c:v>70.082576902517815</c:v>
                </c:pt>
                <c:pt idx="269">
                  <c:v>69.587241770521544</c:v>
                </c:pt>
                <c:pt idx="270">
                  <c:v>94.811122895477396</c:v>
                </c:pt>
                <c:pt idx="271">
                  <c:v>98.490954667479258</c:v>
                </c:pt>
                <c:pt idx="272">
                  <c:v>95.389488947479265</c:v>
                </c:pt>
                <c:pt idx="273">
                  <c:v>42.147848663479259</c:v>
                </c:pt>
                <c:pt idx="274">
                  <c:v>37.578915619477392</c:v>
                </c:pt>
                <c:pt idx="275">
                  <c:v>62.32738921948112</c:v>
                </c:pt>
                <c:pt idx="276">
                  <c:v>72.060014443477399</c:v>
                </c:pt>
                <c:pt idx="277">
                  <c:v>64.883841791812969</c:v>
                </c:pt>
                <c:pt idx="278">
                  <c:v>60.960911771811105</c:v>
                </c:pt>
                <c:pt idx="279">
                  <c:v>70.572683851807383</c:v>
                </c:pt>
                <c:pt idx="280">
                  <c:v>41.411578935811107</c:v>
                </c:pt>
                <c:pt idx="281">
                  <c:v>41.354636751809245</c:v>
                </c:pt>
                <c:pt idx="282">
                  <c:v>60.27062237980924</c:v>
                </c:pt>
                <c:pt idx="283">
                  <c:v>56.165441323812964</c:v>
                </c:pt>
                <c:pt idx="284">
                  <c:v>64.953505773205393</c:v>
                </c:pt>
                <c:pt idx="285">
                  <c:v>70.248995309207274</c:v>
                </c:pt>
                <c:pt idx="286">
                  <c:v>73.449084457207263</c:v>
                </c:pt>
                <c:pt idx="287">
                  <c:v>61.409645237210988</c:v>
                </c:pt>
                <c:pt idx="288">
                  <c:v>62.933085797205401</c:v>
                </c:pt>
                <c:pt idx="289">
                  <c:v>84.705796105210993</c:v>
                </c:pt>
                <c:pt idx="290">
                  <c:v>82.96181858520913</c:v>
                </c:pt>
                <c:pt idx="291">
                  <c:v>88.422067961818541</c:v>
                </c:pt>
                <c:pt idx="292">
                  <c:v>87.487187521816665</c:v>
                </c:pt>
                <c:pt idx="293">
                  <c:v>81.833325337818536</c:v>
                </c:pt>
                <c:pt idx="294">
                  <c:v>85.378086121820388</c:v>
                </c:pt>
                <c:pt idx="295">
                  <c:v>63.705421921816672</c:v>
                </c:pt>
                <c:pt idx="296">
                  <c:v>71.866288133820404</c:v>
                </c:pt>
                <c:pt idx="297">
                  <c:v>76.699483453822268</c:v>
                </c:pt>
                <c:pt idx="298">
                  <c:v>44.951141361653775</c:v>
                </c:pt>
                <c:pt idx="299">
                  <c:v>84.566878257655645</c:v>
                </c:pt>
                <c:pt idx="300">
                  <c:v>51.342713629655641</c:v>
                </c:pt>
                <c:pt idx="301">
                  <c:v>47.232078169655637</c:v>
                </c:pt>
                <c:pt idx="302">
                  <c:v>30.955034121657505</c:v>
                </c:pt>
                <c:pt idx="303">
                  <c:v>46.388749833651922</c:v>
                </c:pt>
                <c:pt idx="304">
                  <c:v>49.73479088165751</c:v>
                </c:pt>
                <c:pt idx="305">
                  <c:v>59.617974735076743</c:v>
                </c:pt>
                <c:pt idx="306">
                  <c:v>43.37929787908233</c:v>
                </c:pt>
                <c:pt idx="307">
                  <c:v>51.371324187080461</c:v>
                </c:pt>
                <c:pt idx="308">
                  <c:v>46.97342677108233</c:v>
                </c:pt>
                <c:pt idx="309">
                  <c:v>38.841300715080472</c:v>
                </c:pt>
                <c:pt idx="310">
                  <c:v>42.244757895078607</c:v>
                </c:pt>
                <c:pt idx="311">
                  <c:v>48.828998183082334</c:v>
                </c:pt>
                <c:pt idx="312">
                  <c:v>39.648429428078103</c:v>
                </c:pt>
                <c:pt idx="313">
                  <c:v>56.527545168078113</c:v>
                </c:pt>
                <c:pt idx="314">
                  <c:v>35.841213328079974</c:v>
                </c:pt>
                <c:pt idx="315">
                  <c:v>39.171942216074385</c:v>
                </c:pt>
                <c:pt idx="316">
                  <c:v>34.74696514007811</c:v>
                </c:pt>
                <c:pt idx="317">
                  <c:v>71.686713952078108</c:v>
                </c:pt>
                <c:pt idx="318">
                  <c:v>67.60618080007626</c:v>
                </c:pt>
                <c:pt idx="319">
                  <c:v>62.689481339110458</c:v>
                </c:pt>
                <c:pt idx="320">
                  <c:v>64.265702743110467</c:v>
                </c:pt>
                <c:pt idx="321">
                  <c:v>51.675803331110465</c:v>
                </c:pt>
                <c:pt idx="322">
                  <c:v>42.534247635112315</c:v>
                </c:pt>
                <c:pt idx="323">
                  <c:v>30.050284127108601</c:v>
                </c:pt>
                <c:pt idx="324">
                  <c:v>41.428065483112327</c:v>
                </c:pt>
                <c:pt idx="325">
                  <c:v>51.540481843110463</c:v>
                </c:pt>
                <c:pt idx="326">
                  <c:v>56.056425707417425</c:v>
                </c:pt>
                <c:pt idx="327">
                  <c:v>62.016783663419297</c:v>
                </c:pt>
                <c:pt idx="328">
                  <c:v>59.49135100341929</c:v>
                </c:pt>
                <c:pt idx="329">
                  <c:v>43.936819075419287</c:v>
                </c:pt>
                <c:pt idx="330">
                  <c:v>35.327830939419286</c:v>
                </c:pt>
                <c:pt idx="331">
                  <c:v>57.667929875419283</c:v>
                </c:pt>
                <c:pt idx="332">
                  <c:v>56.549637343419292</c:v>
                </c:pt>
                <c:pt idx="333">
                  <c:v>38.569192130302397</c:v>
                </c:pt>
                <c:pt idx="334">
                  <c:v>44.534868314304255</c:v>
                </c:pt>
                <c:pt idx="335">
                  <c:v>42.339254178304252</c:v>
                </c:pt>
                <c:pt idx="336">
                  <c:v>38.478154278302391</c:v>
                </c:pt>
                <c:pt idx="337">
                  <c:v>4.5154322943023946</c:v>
                </c:pt>
                <c:pt idx="338">
                  <c:v>37.397826742304254</c:v>
                </c:pt>
                <c:pt idx="339">
                  <c:v>40.407536394304259</c:v>
                </c:pt>
                <c:pt idx="340">
                  <c:v>37.398910876303212</c:v>
                </c:pt>
                <c:pt idx="341">
                  <c:v>25.159698888306941</c:v>
                </c:pt>
                <c:pt idx="342">
                  <c:v>24.742204244305075</c:v>
                </c:pt>
                <c:pt idx="343">
                  <c:v>24.797153528305078</c:v>
                </c:pt>
                <c:pt idx="344">
                  <c:v>24.48336876030508</c:v>
                </c:pt>
                <c:pt idx="345">
                  <c:v>14.488888316305077</c:v>
                </c:pt>
                <c:pt idx="346">
                  <c:v>17.369116352305078</c:v>
                </c:pt>
                <c:pt idx="347">
                  <c:v>3.2072423586414223</c:v>
                </c:pt>
                <c:pt idx="348">
                  <c:v>3.4758885986414243</c:v>
                </c:pt>
                <c:pt idx="349">
                  <c:v>3.3561334426414251</c:v>
                </c:pt>
                <c:pt idx="350">
                  <c:v>4.1169874026414179</c:v>
                </c:pt>
                <c:pt idx="351">
                  <c:v>4.8147068986432791</c:v>
                </c:pt>
                <c:pt idx="352">
                  <c:v>3.6608772426414218</c:v>
                </c:pt>
                <c:pt idx="353">
                  <c:v>0.66537219064328379</c:v>
                </c:pt>
                <c:pt idx="354">
                  <c:v>19.232001297499554</c:v>
                </c:pt>
                <c:pt idx="355">
                  <c:v>16.465821301501418</c:v>
                </c:pt>
                <c:pt idx="356">
                  <c:v>13.174375153499554</c:v>
                </c:pt>
                <c:pt idx="357">
                  <c:v>11.514703877501415</c:v>
                </c:pt>
                <c:pt idx="358">
                  <c:v>7.0097984214995526</c:v>
                </c:pt>
                <c:pt idx="359">
                  <c:v>10.036056933501415</c:v>
                </c:pt>
                <c:pt idx="360">
                  <c:v>9.0594030974995547</c:v>
                </c:pt>
                <c:pt idx="361">
                  <c:v>6.2810819010995766</c:v>
                </c:pt>
                <c:pt idx="362">
                  <c:v>18.516500529097712</c:v>
                </c:pt>
                <c:pt idx="363">
                  <c:v>18.053295577097714</c:v>
                </c:pt>
                <c:pt idx="364">
                  <c:v>3.7941773750977155</c:v>
                </c:pt>
                <c:pt idx="365">
                  <c:v>4.4792705870995775</c:v>
                </c:pt>
                <c:pt idx="366">
                  <c:v>24.123671195101444</c:v>
                </c:pt>
                <c:pt idx="367">
                  <c:v>22.841631373095851</c:v>
                </c:pt>
                <c:pt idx="368">
                  <c:v>20.830578048340772</c:v>
                </c:pt>
                <c:pt idx="369">
                  <c:v>20.409677116342632</c:v>
                </c:pt>
                <c:pt idx="370">
                  <c:v>5.42220691034077</c:v>
                </c:pt>
                <c:pt idx="371">
                  <c:v>3.9963943463426332</c:v>
                </c:pt>
                <c:pt idx="372">
                  <c:v>2.8785522423407675</c:v>
                </c:pt>
                <c:pt idx="373">
                  <c:v>16.042872728340765</c:v>
                </c:pt>
                <c:pt idx="374">
                  <c:v>12.266544616340775</c:v>
                </c:pt>
                <c:pt idx="375">
                  <c:v>12.804513353729009</c:v>
                </c:pt>
                <c:pt idx="376">
                  <c:v>11.789653197727151</c:v>
                </c:pt>
                <c:pt idx="377">
                  <c:v>10.618266341727153</c:v>
                </c:pt>
                <c:pt idx="378">
                  <c:v>8.2967024137271501</c:v>
                </c:pt>
                <c:pt idx="379">
                  <c:v>2.8305311297280857</c:v>
                </c:pt>
                <c:pt idx="380">
                  <c:v>2.5193534617262192</c:v>
                </c:pt>
                <c:pt idx="381">
                  <c:v>1.6410471217280864</c:v>
                </c:pt>
                <c:pt idx="382">
                  <c:v>1.1195935109318815</c:v>
                </c:pt>
                <c:pt idx="383">
                  <c:v>12.308320820931884</c:v>
                </c:pt>
                <c:pt idx="384">
                  <c:v>10.066089832931882</c:v>
                </c:pt>
                <c:pt idx="385">
                  <c:v>3.8468667969328161</c:v>
                </c:pt>
                <c:pt idx="386">
                  <c:v>0.508441244930953</c:v>
                </c:pt>
                <c:pt idx="387">
                  <c:v>1.0553290569318852</c:v>
                </c:pt>
                <c:pt idx="388">
                  <c:v>0.95153298293281119</c:v>
                </c:pt>
                <c:pt idx="389">
                  <c:v>7.148299117668139</c:v>
                </c:pt>
                <c:pt idx="390">
                  <c:v>9.1900503616690692</c:v>
                </c:pt>
                <c:pt idx="391">
                  <c:v>4.0983882336709359</c:v>
                </c:pt>
                <c:pt idx="392">
                  <c:v>0.76033149366814179</c:v>
                </c:pt>
                <c:pt idx="393">
                  <c:v>1.0641274536700003</c:v>
                </c:pt>
                <c:pt idx="394">
                  <c:v>10.115708249667207</c:v>
                </c:pt>
                <c:pt idx="395">
                  <c:v>13.842601205670929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17.313341416272394</c:v>
                </c:pt>
                <c:pt idx="1">
                  <c:v>17.313341416272394</c:v>
                </c:pt>
                <c:pt idx="2">
                  <c:v>17.313341416272394</c:v>
                </c:pt>
                <c:pt idx="3">
                  <c:v>17.313341416272394</c:v>
                </c:pt>
                <c:pt idx="4">
                  <c:v>17.313341416272394</c:v>
                </c:pt>
                <c:pt idx="5">
                  <c:v>17.313341416272394</c:v>
                </c:pt>
                <c:pt idx="6">
                  <c:v>17.313341416272394</c:v>
                </c:pt>
                <c:pt idx="7">
                  <c:v>17.313341416272394</c:v>
                </c:pt>
                <c:pt idx="8">
                  <c:v>17.313341416272394</c:v>
                </c:pt>
                <c:pt idx="9">
                  <c:v>17.313341416272394</c:v>
                </c:pt>
                <c:pt idx="10">
                  <c:v>17.313341416272394</c:v>
                </c:pt>
                <c:pt idx="11">
                  <c:v>17.313341416272394</c:v>
                </c:pt>
                <c:pt idx="12">
                  <c:v>17.313341416272394</c:v>
                </c:pt>
                <c:pt idx="13">
                  <c:v>17.313341416272394</c:v>
                </c:pt>
                <c:pt idx="14">
                  <c:v>17.313341416272394</c:v>
                </c:pt>
                <c:pt idx="15">
                  <c:v>17.313341416272394</c:v>
                </c:pt>
                <c:pt idx="16">
                  <c:v>17.313341416272394</c:v>
                </c:pt>
                <c:pt idx="17">
                  <c:v>17.313341416272394</c:v>
                </c:pt>
                <c:pt idx="18">
                  <c:v>17.313341416272394</c:v>
                </c:pt>
                <c:pt idx="19">
                  <c:v>17.313341416272394</c:v>
                </c:pt>
                <c:pt idx="20">
                  <c:v>17.313341416272394</c:v>
                </c:pt>
                <c:pt idx="21">
                  <c:v>17.313341416272394</c:v>
                </c:pt>
                <c:pt idx="22">
                  <c:v>17.313341416272394</c:v>
                </c:pt>
                <c:pt idx="23">
                  <c:v>17.313341416272394</c:v>
                </c:pt>
                <c:pt idx="24">
                  <c:v>17.313341416272394</c:v>
                </c:pt>
                <c:pt idx="25">
                  <c:v>17.313341416272394</c:v>
                </c:pt>
                <c:pt idx="26">
                  <c:v>17.313341416272394</c:v>
                </c:pt>
                <c:pt idx="27">
                  <c:v>17.313341416272394</c:v>
                </c:pt>
                <c:pt idx="28">
                  <c:v>17.313341416272394</c:v>
                </c:pt>
                <c:pt idx="29">
                  <c:v>17.313341416272394</c:v>
                </c:pt>
                <c:pt idx="30">
                  <c:v>17.313341416272394</c:v>
                </c:pt>
                <c:pt idx="31">
                  <c:v>20.95959048014743</c:v>
                </c:pt>
                <c:pt idx="32">
                  <c:v>20.95959048014743</c:v>
                </c:pt>
                <c:pt idx="33">
                  <c:v>20.95959048014743</c:v>
                </c:pt>
                <c:pt idx="34">
                  <c:v>20.95959048014743</c:v>
                </c:pt>
                <c:pt idx="35">
                  <c:v>20.95959048014743</c:v>
                </c:pt>
                <c:pt idx="36">
                  <c:v>20.95959048014743</c:v>
                </c:pt>
                <c:pt idx="37">
                  <c:v>20.95959048014743</c:v>
                </c:pt>
                <c:pt idx="38">
                  <c:v>20.95959048014743</c:v>
                </c:pt>
                <c:pt idx="39">
                  <c:v>20.95959048014743</c:v>
                </c:pt>
                <c:pt idx="40">
                  <c:v>20.95959048014743</c:v>
                </c:pt>
                <c:pt idx="41">
                  <c:v>20.95959048014743</c:v>
                </c:pt>
                <c:pt idx="42">
                  <c:v>20.95959048014743</c:v>
                </c:pt>
                <c:pt idx="43">
                  <c:v>20.95959048014743</c:v>
                </c:pt>
                <c:pt idx="44">
                  <c:v>20.95959048014743</c:v>
                </c:pt>
                <c:pt idx="45">
                  <c:v>20.95959048014743</c:v>
                </c:pt>
                <c:pt idx="46">
                  <c:v>20.95959048014743</c:v>
                </c:pt>
                <c:pt idx="47">
                  <c:v>20.95959048014743</c:v>
                </c:pt>
                <c:pt idx="48">
                  <c:v>20.95959048014743</c:v>
                </c:pt>
                <c:pt idx="49">
                  <c:v>20.95959048014743</c:v>
                </c:pt>
                <c:pt idx="50">
                  <c:v>20.95959048014743</c:v>
                </c:pt>
                <c:pt idx="51">
                  <c:v>20.95959048014743</c:v>
                </c:pt>
                <c:pt idx="52">
                  <c:v>20.95959048014743</c:v>
                </c:pt>
                <c:pt idx="53">
                  <c:v>20.95959048014743</c:v>
                </c:pt>
                <c:pt idx="54">
                  <c:v>20.95959048014743</c:v>
                </c:pt>
                <c:pt idx="55">
                  <c:v>20.95959048014743</c:v>
                </c:pt>
                <c:pt idx="56">
                  <c:v>20.95959048014743</c:v>
                </c:pt>
                <c:pt idx="57">
                  <c:v>20.95959048014743</c:v>
                </c:pt>
                <c:pt idx="58">
                  <c:v>20.95959048014743</c:v>
                </c:pt>
                <c:pt idx="59">
                  <c:v>20.95959048014743</c:v>
                </c:pt>
                <c:pt idx="60">
                  <c:v>20.95959048014743</c:v>
                </c:pt>
                <c:pt idx="61">
                  <c:v>41.360965957335978</c:v>
                </c:pt>
                <c:pt idx="62">
                  <c:v>41.360965957335978</c:v>
                </c:pt>
                <c:pt idx="63">
                  <c:v>41.360965957335978</c:v>
                </c:pt>
                <c:pt idx="64">
                  <c:v>41.360965957335978</c:v>
                </c:pt>
                <c:pt idx="65">
                  <c:v>41.360965957335978</c:v>
                </c:pt>
                <c:pt idx="66">
                  <c:v>41.360965957335978</c:v>
                </c:pt>
                <c:pt idx="67">
                  <c:v>41.360965957335978</c:v>
                </c:pt>
                <c:pt idx="68">
                  <c:v>41.360965957335978</c:v>
                </c:pt>
                <c:pt idx="69">
                  <c:v>41.360965957335978</c:v>
                </c:pt>
                <c:pt idx="70">
                  <c:v>41.360965957335978</c:v>
                </c:pt>
                <c:pt idx="71">
                  <c:v>41.360965957335978</c:v>
                </c:pt>
                <c:pt idx="72">
                  <c:v>41.360965957335978</c:v>
                </c:pt>
                <c:pt idx="73">
                  <c:v>41.360965957335978</c:v>
                </c:pt>
                <c:pt idx="74">
                  <c:v>41.360965957335978</c:v>
                </c:pt>
                <c:pt idx="75">
                  <c:v>41.360965957335978</c:v>
                </c:pt>
                <c:pt idx="76">
                  <c:v>41.360965957335978</c:v>
                </c:pt>
                <c:pt idx="77">
                  <c:v>41.360965957335978</c:v>
                </c:pt>
                <c:pt idx="78">
                  <c:v>41.360965957335978</c:v>
                </c:pt>
                <c:pt idx="79">
                  <c:v>41.360965957335978</c:v>
                </c:pt>
                <c:pt idx="80">
                  <c:v>41.360965957335978</c:v>
                </c:pt>
                <c:pt idx="81">
                  <c:v>41.360965957335978</c:v>
                </c:pt>
                <c:pt idx="82">
                  <c:v>41.360965957335978</c:v>
                </c:pt>
                <c:pt idx="83">
                  <c:v>41.360965957335978</c:v>
                </c:pt>
                <c:pt idx="84">
                  <c:v>41.360965957335978</c:v>
                </c:pt>
                <c:pt idx="85">
                  <c:v>41.360965957335978</c:v>
                </c:pt>
                <c:pt idx="86">
                  <c:v>41.360965957335978</c:v>
                </c:pt>
                <c:pt idx="87">
                  <c:v>41.360965957335978</c:v>
                </c:pt>
                <c:pt idx="88">
                  <c:v>41.360965957335978</c:v>
                </c:pt>
                <c:pt idx="89">
                  <c:v>41.360965957335978</c:v>
                </c:pt>
                <c:pt idx="90">
                  <c:v>41.360965957335978</c:v>
                </c:pt>
                <c:pt idx="91">
                  <c:v>41.360965957335978</c:v>
                </c:pt>
                <c:pt idx="92">
                  <c:v>85.678144231829236</c:v>
                </c:pt>
                <c:pt idx="93">
                  <c:v>85.678144231829236</c:v>
                </c:pt>
                <c:pt idx="94">
                  <c:v>85.678144231829236</c:v>
                </c:pt>
                <c:pt idx="95">
                  <c:v>85.678144231829236</c:v>
                </c:pt>
                <c:pt idx="96">
                  <c:v>85.678144231829236</c:v>
                </c:pt>
                <c:pt idx="97">
                  <c:v>85.678144231829236</c:v>
                </c:pt>
                <c:pt idx="98">
                  <c:v>85.678144231829236</c:v>
                </c:pt>
                <c:pt idx="99">
                  <c:v>85.678144231829236</c:v>
                </c:pt>
                <c:pt idx="100">
                  <c:v>85.678144231829236</c:v>
                </c:pt>
                <c:pt idx="101">
                  <c:v>85.678144231829236</c:v>
                </c:pt>
                <c:pt idx="102">
                  <c:v>85.678144231829236</c:v>
                </c:pt>
                <c:pt idx="103">
                  <c:v>85.678144231829236</c:v>
                </c:pt>
                <c:pt idx="104">
                  <c:v>85.678144231829236</c:v>
                </c:pt>
                <c:pt idx="105">
                  <c:v>85.678144231829236</c:v>
                </c:pt>
                <c:pt idx="106">
                  <c:v>85.678144231829236</c:v>
                </c:pt>
                <c:pt idx="107">
                  <c:v>85.678144231829236</c:v>
                </c:pt>
                <c:pt idx="108">
                  <c:v>85.678144231829236</c:v>
                </c:pt>
                <c:pt idx="109">
                  <c:v>85.678144231829236</c:v>
                </c:pt>
                <c:pt idx="110">
                  <c:v>85.678144231829236</c:v>
                </c:pt>
                <c:pt idx="111">
                  <c:v>85.678144231829236</c:v>
                </c:pt>
                <c:pt idx="112">
                  <c:v>85.678144231829236</c:v>
                </c:pt>
                <c:pt idx="113">
                  <c:v>85.678144231829236</c:v>
                </c:pt>
                <c:pt idx="114">
                  <c:v>85.678144231829236</c:v>
                </c:pt>
                <c:pt idx="115">
                  <c:v>85.678144231829236</c:v>
                </c:pt>
                <c:pt idx="116">
                  <c:v>85.678144231829236</c:v>
                </c:pt>
                <c:pt idx="117">
                  <c:v>85.678144231829236</c:v>
                </c:pt>
                <c:pt idx="118">
                  <c:v>85.678144231829236</c:v>
                </c:pt>
                <c:pt idx="119">
                  <c:v>85.678144231829236</c:v>
                </c:pt>
                <c:pt idx="120">
                  <c:v>85.678144231829236</c:v>
                </c:pt>
                <c:pt idx="121">
                  <c:v>85.678144231829236</c:v>
                </c:pt>
                <c:pt idx="122">
                  <c:v>109.27964473765024</c:v>
                </c:pt>
                <c:pt idx="123">
                  <c:v>109.27964473765024</c:v>
                </c:pt>
                <c:pt idx="124">
                  <c:v>109.27964473765024</c:v>
                </c:pt>
                <c:pt idx="125">
                  <c:v>109.27964473765024</c:v>
                </c:pt>
                <c:pt idx="126">
                  <c:v>109.27964473765024</c:v>
                </c:pt>
                <c:pt idx="127">
                  <c:v>109.27964473765024</c:v>
                </c:pt>
                <c:pt idx="128">
                  <c:v>109.27964473765024</c:v>
                </c:pt>
                <c:pt idx="129">
                  <c:v>109.27964473765024</c:v>
                </c:pt>
                <c:pt idx="130">
                  <c:v>109.27964473765024</c:v>
                </c:pt>
                <c:pt idx="131">
                  <c:v>109.27964473765024</c:v>
                </c:pt>
                <c:pt idx="132">
                  <c:v>109.27964473765024</c:v>
                </c:pt>
                <c:pt idx="133">
                  <c:v>109.27964473765024</c:v>
                </c:pt>
                <c:pt idx="134">
                  <c:v>109.27964473765024</c:v>
                </c:pt>
                <c:pt idx="135">
                  <c:v>109.27964473765024</c:v>
                </c:pt>
                <c:pt idx="136">
                  <c:v>109.27964473765024</c:v>
                </c:pt>
                <c:pt idx="137">
                  <c:v>109.27964473765024</c:v>
                </c:pt>
                <c:pt idx="138">
                  <c:v>109.27964473765024</c:v>
                </c:pt>
                <c:pt idx="139">
                  <c:v>109.27964473765024</c:v>
                </c:pt>
                <c:pt idx="140">
                  <c:v>109.27964473765024</c:v>
                </c:pt>
                <c:pt idx="141">
                  <c:v>109.27964473765024</c:v>
                </c:pt>
                <c:pt idx="142">
                  <c:v>109.27964473765024</c:v>
                </c:pt>
                <c:pt idx="143">
                  <c:v>109.27964473765024</c:v>
                </c:pt>
                <c:pt idx="144">
                  <c:v>109.27964473765024</c:v>
                </c:pt>
                <c:pt idx="145">
                  <c:v>109.27964473765024</c:v>
                </c:pt>
                <c:pt idx="146">
                  <c:v>109.27964473765024</c:v>
                </c:pt>
                <c:pt idx="147">
                  <c:v>109.27964473765024</c:v>
                </c:pt>
                <c:pt idx="148">
                  <c:v>109.27964473765024</c:v>
                </c:pt>
                <c:pt idx="149">
                  <c:v>109.27964473765024</c:v>
                </c:pt>
                <c:pt idx="150">
                  <c:v>109.27964473765024</c:v>
                </c:pt>
                <c:pt idx="151">
                  <c:v>109.27964473765024</c:v>
                </c:pt>
                <c:pt idx="152">
                  <c:v>109.27964473765024</c:v>
                </c:pt>
                <c:pt idx="153">
                  <c:v>124.46511188199077</c:v>
                </c:pt>
                <c:pt idx="154">
                  <c:v>124.46511188199077</c:v>
                </c:pt>
                <c:pt idx="155">
                  <c:v>124.46511188199077</c:v>
                </c:pt>
                <c:pt idx="156">
                  <c:v>124.46511188199077</c:v>
                </c:pt>
                <c:pt idx="157">
                  <c:v>124.46511188199077</c:v>
                </c:pt>
                <c:pt idx="158">
                  <c:v>124.46511188199077</c:v>
                </c:pt>
                <c:pt idx="159">
                  <c:v>124.46511188199077</c:v>
                </c:pt>
                <c:pt idx="160">
                  <c:v>124.46511188199077</c:v>
                </c:pt>
                <c:pt idx="161">
                  <c:v>124.46511188199077</c:v>
                </c:pt>
                <c:pt idx="162">
                  <c:v>124.46511188199077</c:v>
                </c:pt>
                <c:pt idx="163">
                  <c:v>124.46511188199077</c:v>
                </c:pt>
                <c:pt idx="164">
                  <c:v>124.46511188199077</c:v>
                </c:pt>
                <c:pt idx="165">
                  <c:v>124.46511188199077</c:v>
                </c:pt>
                <c:pt idx="166">
                  <c:v>124.46511188199077</c:v>
                </c:pt>
                <c:pt idx="167">
                  <c:v>124.46511188199077</c:v>
                </c:pt>
                <c:pt idx="168">
                  <c:v>124.46511188199077</c:v>
                </c:pt>
                <c:pt idx="169">
                  <c:v>124.46511188199077</c:v>
                </c:pt>
                <c:pt idx="170">
                  <c:v>124.46511188199077</c:v>
                </c:pt>
                <c:pt idx="171">
                  <c:v>124.46511188199077</c:v>
                </c:pt>
                <c:pt idx="172">
                  <c:v>124.46511188199077</c:v>
                </c:pt>
                <c:pt idx="173">
                  <c:v>124.46511188199077</c:v>
                </c:pt>
                <c:pt idx="174">
                  <c:v>124.46511188199077</c:v>
                </c:pt>
                <c:pt idx="175">
                  <c:v>124.46511188199077</c:v>
                </c:pt>
                <c:pt idx="176">
                  <c:v>124.46511188199077</c:v>
                </c:pt>
                <c:pt idx="177">
                  <c:v>124.46511188199077</c:v>
                </c:pt>
                <c:pt idx="178">
                  <c:v>124.46511188199077</c:v>
                </c:pt>
                <c:pt idx="179">
                  <c:v>124.46511188199077</c:v>
                </c:pt>
                <c:pt idx="180">
                  <c:v>124.46511188199077</c:v>
                </c:pt>
                <c:pt idx="181">
                  <c:v>124.46511188199077</c:v>
                </c:pt>
                <c:pt idx="182">
                  <c:v>124.46511188199077</c:v>
                </c:pt>
                <c:pt idx="183">
                  <c:v>124.46511188199077</c:v>
                </c:pt>
                <c:pt idx="184">
                  <c:v>125.57183874706618</c:v>
                </c:pt>
                <c:pt idx="185">
                  <c:v>125.57183874706618</c:v>
                </c:pt>
                <c:pt idx="186">
                  <c:v>125.57183874706618</c:v>
                </c:pt>
                <c:pt idx="187">
                  <c:v>125.57183874706618</c:v>
                </c:pt>
                <c:pt idx="188">
                  <c:v>125.57183874706618</c:v>
                </c:pt>
                <c:pt idx="189">
                  <c:v>125.57183874706618</c:v>
                </c:pt>
                <c:pt idx="190">
                  <c:v>125.57183874706618</c:v>
                </c:pt>
                <c:pt idx="191">
                  <c:v>125.57183874706618</c:v>
                </c:pt>
                <c:pt idx="192">
                  <c:v>125.57183874706618</c:v>
                </c:pt>
                <c:pt idx="193">
                  <c:v>125.57183874706618</c:v>
                </c:pt>
                <c:pt idx="194">
                  <c:v>125.57183874706618</c:v>
                </c:pt>
                <c:pt idx="195">
                  <c:v>125.57183874706618</c:v>
                </c:pt>
                <c:pt idx="196">
                  <c:v>125.57183874706618</c:v>
                </c:pt>
                <c:pt idx="197">
                  <c:v>125.57183874706618</c:v>
                </c:pt>
                <c:pt idx="198">
                  <c:v>125.57183874706618</c:v>
                </c:pt>
                <c:pt idx="199">
                  <c:v>125.57183874706618</c:v>
                </c:pt>
                <c:pt idx="200">
                  <c:v>125.57183874706618</c:v>
                </c:pt>
                <c:pt idx="201">
                  <c:v>125.57183874706618</c:v>
                </c:pt>
                <c:pt idx="202">
                  <c:v>125.57183874706618</c:v>
                </c:pt>
                <c:pt idx="203">
                  <c:v>125.57183874706618</c:v>
                </c:pt>
                <c:pt idx="204">
                  <c:v>125.57183874706618</c:v>
                </c:pt>
                <c:pt idx="205">
                  <c:v>125.57183874706618</c:v>
                </c:pt>
                <c:pt idx="206">
                  <c:v>125.57183874706618</c:v>
                </c:pt>
                <c:pt idx="207">
                  <c:v>125.57183874706618</c:v>
                </c:pt>
                <c:pt idx="208">
                  <c:v>125.57183874706618</c:v>
                </c:pt>
                <c:pt idx="209">
                  <c:v>125.57183874706618</c:v>
                </c:pt>
                <c:pt idx="210">
                  <c:v>125.57183874706618</c:v>
                </c:pt>
                <c:pt idx="211">
                  <c:v>125.57183874706618</c:v>
                </c:pt>
                <c:pt idx="212">
                  <c:v>136.7399554485423</c:v>
                </c:pt>
                <c:pt idx="213">
                  <c:v>136.7399554485423</c:v>
                </c:pt>
                <c:pt idx="214">
                  <c:v>136.7399554485423</c:v>
                </c:pt>
                <c:pt idx="215">
                  <c:v>136.7399554485423</c:v>
                </c:pt>
                <c:pt idx="216">
                  <c:v>136.7399554485423</c:v>
                </c:pt>
                <c:pt idx="217">
                  <c:v>136.7399554485423</c:v>
                </c:pt>
                <c:pt idx="218">
                  <c:v>136.7399554485423</c:v>
                </c:pt>
                <c:pt idx="219">
                  <c:v>136.7399554485423</c:v>
                </c:pt>
                <c:pt idx="220">
                  <c:v>136.7399554485423</c:v>
                </c:pt>
                <c:pt idx="221">
                  <c:v>136.7399554485423</c:v>
                </c:pt>
                <c:pt idx="222">
                  <c:v>136.7399554485423</c:v>
                </c:pt>
                <c:pt idx="223">
                  <c:v>136.7399554485423</c:v>
                </c:pt>
                <c:pt idx="224">
                  <c:v>136.7399554485423</c:v>
                </c:pt>
                <c:pt idx="225">
                  <c:v>136.7399554485423</c:v>
                </c:pt>
                <c:pt idx="226">
                  <c:v>136.7399554485423</c:v>
                </c:pt>
                <c:pt idx="227">
                  <c:v>136.7399554485423</c:v>
                </c:pt>
                <c:pt idx="228">
                  <c:v>136.7399554485423</c:v>
                </c:pt>
                <c:pt idx="229">
                  <c:v>136.7399554485423</c:v>
                </c:pt>
                <c:pt idx="230">
                  <c:v>136.7399554485423</c:v>
                </c:pt>
                <c:pt idx="231">
                  <c:v>136.7399554485423</c:v>
                </c:pt>
                <c:pt idx="232">
                  <c:v>136.7399554485423</c:v>
                </c:pt>
                <c:pt idx="233">
                  <c:v>136.7399554485423</c:v>
                </c:pt>
                <c:pt idx="234">
                  <c:v>136.7399554485423</c:v>
                </c:pt>
                <c:pt idx="235">
                  <c:v>136.7399554485423</c:v>
                </c:pt>
                <c:pt idx="236">
                  <c:v>136.7399554485423</c:v>
                </c:pt>
                <c:pt idx="237">
                  <c:v>136.7399554485423</c:v>
                </c:pt>
                <c:pt idx="238">
                  <c:v>136.7399554485423</c:v>
                </c:pt>
                <c:pt idx="239">
                  <c:v>136.7399554485423</c:v>
                </c:pt>
                <c:pt idx="240">
                  <c:v>136.7399554485423</c:v>
                </c:pt>
                <c:pt idx="241">
                  <c:v>136.7399554485423</c:v>
                </c:pt>
                <c:pt idx="242">
                  <c:v>136.7399554485423</c:v>
                </c:pt>
                <c:pt idx="243">
                  <c:v>128.52573371940508</c:v>
                </c:pt>
                <c:pt idx="244">
                  <c:v>128.52573371940508</c:v>
                </c:pt>
                <c:pt idx="245">
                  <c:v>128.52573371940508</c:v>
                </c:pt>
                <c:pt idx="246">
                  <c:v>128.52573371940508</c:v>
                </c:pt>
                <c:pt idx="247">
                  <c:v>128.52573371940508</c:v>
                </c:pt>
                <c:pt idx="248">
                  <c:v>128.52573371940508</c:v>
                </c:pt>
                <c:pt idx="249">
                  <c:v>128.52573371940508</c:v>
                </c:pt>
                <c:pt idx="250">
                  <c:v>128.52573371940508</c:v>
                </c:pt>
                <c:pt idx="251">
                  <c:v>128.52573371940508</c:v>
                </c:pt>
                <c:pt idx="252">
                  <c:v>128.52573371940508</c:v>
                </c:pt>
                <c:pt idx="253">
                  <c:v>128.52573371940508</c:v>
                </c:pt>
                <c:pt idx="254">
                  <c:v>128.52573371940508</c:v>
                </c:pt>
                <c:pt idx="255">
                  <c:v>128.52573371940508</c:v>
                </c:pt>
                <c:pt idx="256">
                  <c:v>128.52573371940508</c:v>
                </c:pt>
                <c:pt idx="257">
                  <c:v>128.52573371940508</c:v>
                </c:pt>
                <c:pt idx="258">
                  <c:v>128.52573371940508</c:v>
                </c:pt>
                <c:pt idx="259">
                  <c:v>128.52573371940508</c:v>
                </c:pt>
                <c:pt idx="260">
                  <c:v>128.52573371940508</c:v>
                </c:pt>
                <c:pt idx="261">
                  <c:v>128.52573371940508</c:v>
                </c:pt>
                <c:pt idx="262">
                  <c:v>128.52573371940508</c:v>
                </c:pt>
                <c:pt idx="263">
                  <c:v>128.52573371940508</c:v>
                </c:pt>
                <c:pt idx="264">
                  <c:v>128.52573371940508</c:v>
                </c:pt>
                <c:pt idx="265">
                  <c:v>128.52573371940508</c:v>
                </c:pt>
                <c:pt idx="266">
                  <c:v>128.52573371940508</c:v>
                </c:pt>
                <c:pt idx="267">
                  <c:v>128.52573371940508</c:v>
                </c:pt>
                <c:pt idx="268">
                  <c:v>128.52573371940508</c:v>
                </c:pt>
                <c:pt idx="269">
                  <c:v>128.52573371940508</c:v>
                </c:pt>
                <c:pt idx="270">
                  <c:v>128.52573371940508</c:v>
                </c:pt>
                <c:pt idx="271">
                  <c:v>128.52573371940508</c:v>
                </c:pt>
                <c:pt idx="272">
                  <c:v>128.52573371940508</c:v>
                </c:pt>
                <c:pt idx="273">
                  <c:v>101.55332277089387</c:v>
                </c:pt>
                <c:pt idx="274">
                  <c:v>101.55332277089387</c:v>
                </c:pt>
                <c:pt idx="275">
                  <c:v>101.55332277089387</c:v>
                </c:pt>
                <c:pt idx="276">
                  <c:v>101.55332277089387</c:v>
                </c:pt>
                <c:pt idx="277">
                  <c:v>101.55332277089387</c:v>
                </c:pt>
                <c:pt idx="278">
                  <c:v>101.55332277089387</c:v>
                </c:pt>
                <c:pt idx="279">
                  <c:v>101.55332277089387</c:v>
                </c:pt>
                <c:pt idx="280">
                  <c:v>101.55332277089387</c:v>
                </c:pt>
                <c:pt idx="281">
                  <c:v>101.55332277089387</c:v>
                </c:pt>
                <c:pt idx="282">
                  <c:v>101.55332277089387</c:v>
                </c:pt>
                <c:pt idx="283">
                  <c:v>101.55332277089387</c:v>
                </c:pt>
                <c:pt idx="284">
                  <c:v>101.55332277089387</c:v>
                </c:pt>
                <c:pt idx="285">
                  <c:v>101.55332277089387</c:v>
                </c:pt>
                <c:pt idx="286">
                  <c:v>101.55332277089387</c:v>
                </c:pt>
                <c:pt idx="287">
                  <c:v>101.55332277089387</c:v>
                </c:pt>
                <c:pt idx="288">
                  <c:v>101.55332277089387</c:v>
                </c:pt>
                <c:pt idx="289">
                  <c:v>101.55332277089387</c:v>
                </c:pt>
                <c:pt idx="290">
                  <c:v>101.55332277089387</c:v>
                </c:pt>
                <c:pt idx="291">
                  <c:v>101.55332277089387</c:v>
                </c:pt>
                <c:pt idx="292">
                  <c:v>101.55332277089387</c:v>
                </c:pt>
                <c:pt idx="293">
                  <c:v>101.55332277089387</c:v>
                </c:pt>
                <c:pt idx="294">
                  <c:v>101.55332277089387</c:v>
                </c:pt>
                <c:pt idx="295">
                  <c:v>101.55332277089387</c:v>
                </c:pt>
                <c:pt idx="296">
                  <c:v>101.55332277089387</c:v>
                </c:pt>
                <c:pt idx="297">
                  <c:v>101.55332277089387</c:v>
                </c:pt>
                <c:pt idx="298">
                  <c:v>101.55332277089387</c:v>
                </c:pt>
                <c:pt idx="299">
                  <c:v>101.55332277089387</c:v>
                </c:pt>
                <c:pt idx="300">
                  <c:v>101.55332277089387</c:v>
                </c:pt>
                <c:pt idx="301">
                  <c:v>101.55332277089387</c:v>
                </c:pt>
                <c:pt idx="302">
                  <c:v>101.55332277089387</c:v>
                </c:pt>
                <c:pt idx="303">
                  <c:v>101.55332277089387</c:v>
                </c:pt>
                <c:pt idx="304">
                  <c:v>64.002517723929074</c:v>
                </c:pt>
                <c:pt idx="305">
                  <c:v>64.002517723929074</c:v>
                </c:pt>
                <c:pt idx="306">
                  <c:v>64.002517723929074</c:v>
                </c:pt>
                <c:pt idx="307">
                  <c:v>64.002517723929074</c:v>
                </c:pt>
                <c:pt idx="308">
                  <c:v>64.002517723929074</c:v>
                </c:pt>
                <c:pt idx="309">
                  <c:v>64.002517723929074</c:v>
                </c:pt>
                <c:pt idx="310">
                  <c:v>64.002517723929074</c:v>
                </c:pt>
                <c:pt idx="311">
                  <c:v>64.002517723929074</c:v>
                </c:pt>
                <c:pt idx="312">
                  <c:v>64.002517723929074</c:v>
                </c:pt>
                <c:pt idx="313">
                  <c:v>64.002517723929074</c:v>
                </c:pt>
                <c:pt idx="314">
                  <c:v>64.002517723929074</c:v>
                </c:pt>
                <c:pt idx="315">
                  <c:v>64.002517723929074</c:v>
                </c:pt>
                <c:pt idx="316">
                  <c:v>64.002517723929074</c:v>
                </c:pt>
                <c:pt idx="317">
                  <c:v>64.002517723929074</c:v>
                </c:pt>
                <c:pt idx="318">
                  <c:v>64.002517723929074</c:v>
                </c:pt>
                <c:pt idx="319">
                  <c:v>64.002517723929074</c:v>
                </c:pt>
                <c:pt idx="320">
                  <c:v>64.002517723929074</c:v>
                </c:pt>
                <c:pt idx="321">
                  <c:v>64.002517723929074</c:v>
                </c:pt>
                <c:pt idx="322">
                  <c:v>64.002517723929074</c:v>
                </c:pt>
                <c:pt idx="323">
                  <c:v>64.002517723929074</c:v>
                </c:pt>
                <c:pt idx="324">
                  <c:v>64.002517723929074</c:v>
                </c:pt>
                <c:pt idx="325">
                  <c:v>64.002517723929074</c:v>
                </c:pt>
                <c:pt idx="326">
                  <c:v>64.002517723929074</c:v>
                </c:pt>
                <c:pt idx="327">
                  <c:v>64.002517723929074</c:v>
                </c:pt>
                <c:pt idx="328">
                  <c:v>64.002517723929074</c:v>
                </c:pt>
                <c:pt idx="329">
                  <c:v>64.002517723929074</c:v>
                </c:pt>
                <c:pt idx="330">
                  <c:v>64.002517723929074</c:v>
                </c:pt>
                <c:pt idx="331">
                  <c:v>64.002517723929074</c:v>
                </c:pt>
                <c:pt idx="332">
                  <c:v>64.002517723929074</c:v>
                </c:pt>
                <c:pt idx="333">
                  <c:v>64.002517723929074</c:v>
                </c:pt>
                <c:pt idx="334">
                  <c:v>28.264017142829317</c:v>
                </c:pt>
                <c:pt idx="335">
                  <c:v>28.264017142829317</c:v>
                </c:pt>
                <c:pt idx="336">
                  <c:v>28.264017142829317</c:v>
                </c:pt>
                <c:pt idx="337">
                  <c:v>28.264017142829317</c:v>
                </c:pt>
                <c:pt idx="338">
                  <c:v>28.264017142829317</c:v>
                </c:pt>
                <c:pt idx="339">
                  <c:v>28.264017142829317</c:v>
                </c:pt>
                <c:pt idx="340">
                  <c:v>28.264017142829317</c:v>
                </c:pt>
                <c:pt idx="341">
                  <c:v>28.264017142829317</c:v>
                </c:pt>
                <c:pt idx="342">
                  <c:v>28.264017142829317</c:v>
                </c:pt>
                <c:pt idx="343">
                  <c:v>28.264017142829317</c:v>
                </c:pt>
                <c:pt idx="344">
                  <c:v>28.264017142829317</c:v>
                </c:pt>
                <c:pt idx="345">
                  <c:v>28.264017142829317</c:v>
                </c:pt>
                <c:pt idx="346">
                  <c:v>28.264017142829317</c:v>
                </c:pt>
                <c:pt idx="347">
                  <c:v>28.264017142829317</c:v>
                </c:pt>
                <c:pt idx="348">
                  <c:v>28.264017142829317</c:v>
                </c:pt>
                <c:pt idx="349">
                  <c:v>28.264017142829317</c:v>
                </c:pt>
                <c:pt idx="350">
                  <c:v>28.264017142829317</c:v>
                </c:pt>
                <c:pt idx="351">
                  <c:v>28.264017142829317</c:v>
                </c:pt>
                <c:pt idx="352">
                  <c:v>28.264017142829317</c:v>
                </c:pt>
                <c:pt idx="353">
                  <c:v>28.264017142829317</c:v>
                </c:pt>
                <c:pt idx="354">
                  <c:v>28.264017142829317</c:v>
                </c:pt>
                <c:pt idx="355">
                  <c:v>28.264017142829317</c:v>
                </c:pt>
                <c:pt idx="356">
                  <c:v>28.264017142829317</c:v>
                </c:pt>
                <c:pt idx="357">
                  <c:v>28.264017142829317</c:v>
                </c:pt>
                <c:pt idx="358">
                  <c:v>28.264017142829317</c:v>
                </c:pt>
                <c:pt idx="359">
                  <c:v>28.264017142829317</c:v>
                </c:pt>
                <c:pt idx="360">
                  <c:v>28.264017142829317</c:v>
                </c:pt>
                <c:pt idx="361">
                  <c:v>28.264017142829317</c:v>
                </c:pt>
                <c:pt idx="362">
                  <c:v>28.264017142829317</c:v>
                </c:pt>
                <c:pt idx="363">
                  <c:v>28.264017142829317</c:v>
                </c:pt>
                <c:pt idx="364">
                  <c:v>28.264017142829317</c:v>
                </c:pt>
                <c:pt idx="365">
                  <c:v>17.06077530949155</c:v>
                </c:pt>
                <c:pt idx="366">
                  <c:v>17.06077530949155</c:v>
                </c:pt>
                <c:pt idx="367">
                  <c:v>17.06077530949155</c:v>
                </c:pt>
                <c:pt idx="368">
                  <c:v>17.06077530949155</c:v>
                </c:pt>
                <c:pt idx="369">
                  <c:v>17.06077530949155</c:v>
                </c:pt>
                <c:pt idx="370">
                  <c:v>17.06077530949155</c:v>
                </c:pt>
                <c:pt idx="371">
                  <c:v>17.06077530949155</c:v>
                </c:pt>
                <c:pt idx="372">
                  <c:v>17.06077530949155</c:v>
                </c:pt>
                <c:pt idx="373">
                  <c:v>17.06077530949155</c:v>
                </c:pt>
                <c:pt idx="374">
                  <c:v>17.06077530949155</c:v>
                </c:pt>
                <c:pt idx="375">
                  <c:v>17.06077530949155</c:v>
                </c:pt>
                <c:pt idx="376">
                  <c:v>17.06077530949155</c:v>
                </c:pt>
                <c:pt idx="377">
                  <c:v>17.06077530949155</c:v>
                </c:pt>
                <c:pt idx="378">
                  <c:v>17.06077530949155</c:v>
                </c:pt>
                <c:pt idx="379">
                  <c:v>17.06077530949155</c:v>
                </c:pt>
                <c:pt idx="380">
                  <c:v>17.06077530949155</c:v>
                </c:pt>
                <c:pt idx="381">
                  <c:v>17.06077530949155</c:v>
                </c:pt>
                <c:pt idx="382">
                  <c:v>17.06077530949155</c:v>
                </c:pt>
                <c:pt idx="383">
                  <c:v>17.06077530949155</c:v>
                </c:pt>
                <c:pt idx="384">
                  <c:v>17.06077530949155</c:v>
                </c:pt>
                <c:pt idx="385">
                  <c:v>17.06077530949155</c:v>
                </c:pt>
                <c:pt idx="386">
                  <c:v>17.06077530949155</c:v>
                </c:pt>
                <c:pt idx="387">
                  <c:v>17.06077530949155</c:v>
                </c:pt>
                <c:pt idx="388">
                  <c:v>17.06077530949155</c:v>
                </c:pt>
                <c:pt idx="389">
                  <c:v>17.06077530949155</c:v>
                </c:pt>
                <c:pt idx="390">
                  <c:v>17.06077530949155</c:v>
                </c:pt>
                <c:pt idx="391">
                  <c:v>17.06077530949155</c:v>
                </c:pt>
                <c:pt idx="392">
                  <c:v>17.06077530949155</c:v>
                </c:pt>
                <c:pt idx="393">
                  <c:v>17.06077530949155</c:v>
                </c:pt>
                <c:pt idx="394">
                  <c:v>17.06077530949155</c:v>
                </c:pt>
                <c:pt idx="395">
                  <c:v>17.06077530949155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1.187373493168685</c:v>
                </c:pt>
                <c:pt idx="1">
                  <c:v>1.2324426491705454</c:v>
                </c:pt>
                <c:pt idx="2">
                  <c:v>2.2733819891686871</c:v>
                </c:pt>
                <c:pt idx="3">
                  <c:v>1.0302514831686858</c:v>
                </c:pt>
                <c:pt idx="4">
                  <c:v>1.2843243052110629</c:v>
                </c:pt>
                <c:pt idx="5">
                  <c:v>5.0724915292054797</c:v>
                </c:pt>
                <c:pt idx="6">
                  <c:v>9.7649471772054675</c:v>
                </c:pt>
                <c:pt idx="7">
                  <c:v>1.2628975252110612</c:v>
                </c:pt>
                <c:pt idx="8">
                  <c:v>1.4350578492073327</c:v>
                </c:pt>
                <c:pt idx="9">
                  <c:v>2.0921907332092013</c:v>
                </c:pt>
                <c:pt idx="10">
                  <c:v>10.213209065207339</c:v>
                </c:pt>
                <c:pt idx="11">
                  <c:v>17.313341416272394</c:v>
                </c:pt>
                <c:pt idx="12">
                  <c:v>17.313341416272394</c:v>
                </c:pt>
                <c:pt idx="13">
                  <c:v>17.313341416272394</c:v>
                </c:pt>
                <c:pt idx="14">
                  <c:v>1.4413111132628837</c:v>
                </c:pt>
                <c:pt idx="15">
                  <c:v>1.3727565432591582</c:v>
                </c:pt>
                <c:pt idx="16">
                  <c:v>17.313341416272394</c:v>
                </c:pt>
                <c:pt idx="17">
                  <c:v>17.313341416272394</c:v>
                </c:pt>
                <c:pt idx="18">
                  <c:v>6.7114400905173097</c:v>
                </c:pt>
                <c:pt idx="19">
                  <c:v>5.7637137785191737</c:v>
                </c:pt>
                <c:pt idx="20">
                  <c:v>15.53273857051917</c:v>
                </c:pt>
                <c:pt idx="21">
                  <c:v>4.7785867785173108</c:v>
                </c:pt>
                <c:pt idx="22">
                  <c:v>1.5828672785173112</c:v>
                </c:pt>
                <c:pt idx="23">
                  <c:v>6.5815349585191729</c:v>
                </c:pt>
                <c:pt idx="24">
                  <c:v>17.313341416272394</c:v>
                </c:pt>
                <c:pt idx="25">
                  <c:v>17.313341416272394</c:v>
                </c:pt>
                <c:pt idx="26">
                  <c:v>13.11201039538013</c:v>
                </c:pt>
                <c:pt idx="27">
                  <c:v>6.3395145233819932</c:v>
                </c:pt>
                <c:pt idx="28">
                  <c:v>3.5834837913764059</c:v>
                </c:pt>
                <c:pt idx="29">
                  <c:v>0.59885496938385041</c:v>
                </c:pt>
                <c:pt idx="30">
                  <c:v>0.54639137737826238</c:v>
                </c:pt>
                <c:pt idx="31">
                  <c:v>9.9157058673782661</c:v>
                </c:pt>
                <c:pt idx="32">
                  <c:v>20.153271213409287</c:v>
                </c:pt>
                <c:pt idx="33">
                  <c:v>20.95959048014743</c:v>
                </c:pt>
                <c:pt idx="34">
                  <c:v>19.219243357407425</c:v>
                </c:pt>
                <c:pt idx="35">
                  <c:v>2.4857805174055612</c:v>
                </c:pt>
                <c:pt idx="36">
                  <c:v>1.1927802294074208</c:v>
                </c:pt>
                <c:pt idx="37">
                  <c:v>1.9528572214055602</c:v>
                </c:pt>
                <c:pt idx="38">
                  <c:v>10.516595965407426</c:v>
                </c:pt>
                <c:pt idx="39">
                  <c:v>20.95959048014743</c:v>
                </c:pt>
                <c:pt idx="40">
                  <c:v>17.835714077325989</c:v>
                </c:pt>
                <c:pt idx="41">
                  <c:v>15.430868341322261</c:v>
                </c:pt>
                <c:pt idx="42">
                  <c:v>1.5664787813259899</c:v>
                </c:pt>
                <c:pt idx="43">
                  <c:v>1.4851167173222639</c:v>
                </c:pt>
                <c:pt idx="44">
                  <c:v>20.95959048014743</c:v>
                </c:pt>
                <c:pt idx="45">
                  <c:v>20.95959048014743</c:v>
                </c:pt>
                <c:pt idx="46">
                  <c:v>20.95959048014743</c:v>
                </c:pt>
                <c:pt idx="47">
                  <c:v>20.95959048014743</c:v>
                </c:pt>
                <c:pt idx="48">
                  <c:v>17.305753081036965</c:v>
                </c:pt>
                <c:pt idx="49">
                  <c:v>7.5177133050350964</c:v>
                </c:pt>
                <c:pt idx="50">
                  <c:v>6.3890751850351011</c:v>
                </c:pt>
                <c:pt idx="51">
                  <c:v>20.95959048014743</c:v>
                </c:pt>
                <c:pt idx="52">
                  <c:v>20.95959048014743</c:v>
                </c:pt>
                <c:pt idx="53">
                  <c:v>20.95959048014743</c:v>
                </c:pt>
                <c:pt idx="54">
                  <c:v>20.95959048014743</c:v>
                </c:pt>
                <c:pt idx="55">
                  <c:v>14.38581081373521</c:v>
                </c:pt>
                <c:pt idx="56">
                  <c:v>9.8621068577314794</c:v>
                </c:pt>
                <c:pt idx="57">
                  <c:v>13.26400406973521</c:v>
                </c:pt>
                <c:pt idx="58">
                  <c:v>20.942873981735211</c:v>
                </c:pt>
                <c:pt idx="59">
                  <c:v>20.95959048014743</c:v>
                </c:pt>
                <c:pt idx="60">
                  <c:v>20.95959048014743</c:v>
                </c:pt>
                <c:pt idx="61">
                  <c:v>34.494749008399985</c:v>
                </c:pt>
                <c:pt idx="62">
                  <c:v>33.263345404401854</c:v>
                </c:pt>
                <c:pt idx="63">
                  <c:v>31.916821480398124</c:v>
                </c:pt>
                <c:pt idx="64">
                  <c:v>32.320732376400919</c:v>
                </c:pt>
                <c:pt idx="65">
                  <c:v>36.530324628400912</c:v>
                </c:pt>
                <c:pt idx="66">
                  <c:v>41.360965957335978</c:v>
                </c:pt>
                <c:pt idx="67">
                  <c:v>41.360965957335978</c:v>
                </c:pt>
                <c:pt idx="68">
                  <c:v>41.360965957335978</c:v>
                </c:pt>
                <c:pt idx="69">
                  <c:v>41.360965957335978</c:v>
                </c:pt>
                <c:pt idx="70">
                  <c:v>31.952608363482273</c:v>
                </c:pt>
                <c:pt idx="71">
                  <c:v>27.311554463484136</c:v>
                </c:pt>
                <c:pt idx="72">
                  <c:v>33.411277655482273</c:v>
                </c:pt>
                <c:pt idx="73">
                  <c:v>41.360965957335978</c:v>
                </c:pt>
                <c:pt idx="74">
                  <c:v>40.685804836433135</c:v>
                </c:pt>
                <c:pt idx="75">
                  <c:v>41.360965957335978</c:v>
                </c:pt>
                <c:pt idx="76">
                  <c:v>41.360965957335978</c:v>
                </c:pt>
                <c:pt idx="77">
                  <c:v>41.360965957335978</c:v>
                </c:pt>
                <c:pt idx="78">
                  <c:v>41.360965957335978</c:v>
                </c:pt>
                <c:pt idx="79">
                  <c:v>17.849682186431274</c:v>
                </c:pt>
                <c:pt idx="80">
                  <c:v>33.288567356433134</c:v>
                </c:pt>
                <c:pt idx="81">
                  <c:v>41.360965957335978</c:v>
                </c:pt>
                <c:pt idx="82">
                  <c:v>41.360965957335978</c:v>
                </c:pt>
                <c:pt idx="83">
                  <c:v>41.360965957335978</c:v>
                </c:pt>
                <c:pt idx="84">
                  <c:v>41.360965957335978</c:v>
                </c:pt>
                <c:pt idx="85">
                  <c:v>41.360965957335978</c:v>
                </c:pt>
                <c:pt idx="86">
                  <c:v>41.360965957335978</c:v>
                </c:pt>
                <c:pt idx="87">
                  <c:v>41.360965957335978</c:v>
                </c:pt>
                <c:pt idx="88">
                  <c:v>41.360965957335978</c:v>
                </c:pt>
                <c:pt idx="89">
                  <c:v>41.360965957335978</c:v>
                </c:pt>
                <c:pt idx="90">
                  <c:v>41.360965957335978</c:v>
                </c:pt>
                <c:pt idx="91">
                  <c:v>41.360965957335978</c:v>
                </c:pt>
                <c:pt idx="92">
                  <c:v>67.491461476561412</c:v>
                </c:pt>
                <c:pt idx="93">
                  <c:v>85.678144231829236</c:v>
                </c:pt>
                <c:pt idx="94">
                  <c:v>84.920933158563273</c:v>
                </c:pt>
                <c:pt idx="95">
                  <c:v>85.678144231829236</c:v>
                </c:pt>
                <c:pt idx="96">
                  <c:v>85.06945982151835</c:v>
                </c:pt>
                <c:pt idx="97">
                  <c:v>82.499194099520196</c:v>
                </c:pt>
                <c:pt idx="98">
                  <c:v>85.196646417518352</c:v>
                </c:pt>
                <c:pt idx="99">
                  <c:v>85.678144231829236</c:v>
                </c:pt>
                <c:pt idx="100">
                  <c:v>85.678144231829236</c:v>
                </c:pt>
                <c:pt idx="101">
                  <c:v>85.678144231829236</c:v>
                </c:pt>
                <c:pt idx="102">
                  <c:v>85.678144231829236</c:v>
                </c:pt>
                <c:pt idx="103">
                  <c:v>85.678144231829236</c:v>
                </c:pt>
                <c:pt idx="104">
                  <c:v>85.678144231829236</c:v>
                </c:pt>
                <c:pt idx="105">
                  <c:v>70.060299420722032</c:v>
                </c:pt>
                <c:pt idx="106">
                  <c:v>48.015287764720171</c:v>
                </c:pt>
                <c:pt idx="107">
                  <c:v>85.678144231829236</c:v>
                </c:pt>
                <c:pt idx="108">
                  <c:v>85.678144231829236</c:v>
                </c:pt>
                <c:pt idx="109">
                  <c:v>70.111621425442806</c:v>
                </c:pt>
                <c:pt idx="110">
                  <c:v>63.088121337444669</c:v>
                </c:pt>
                <c:pt idx="111">
                  <c:v>55.397761157440947</c:v>
                </c:pt>
                <c:pt idx="112">
                  <c:v>53.693995237442813</c:v>
                </c:pt>
                <c:pt idx="113">
                  <c:v>46.526884517442817</c:v>
                </c:pt>
                <c:pt idx="114">
                  <c:v>85.678144231829236</c:v>
                </c:pt>
                <c:pt idx="115">
                  <c:v>85.678144231829236</c:v>
                </c:pt>
                <c:pt idx="116">
                  <c:v>69.851458300664419</c:v>
                </c:pt>
                <c:pt idx="117">
                  <c:v>67.886973940664419</c:v>
                </c:pt>
                <c:pt idx="118">
                  <c:v>81.418604596664423</c:v>
                </c:pt>
                <c:pt idx="119">
                  <c:v>64.213849756666278</c:v>
                </c:pt>
                <c:pt idx="120">
                  <c:v>59.651142740662557</c:v>
                </c:pt>
                <c:pt idx="121">
                  <c:v>79.045761708664415</c:v>
                </c:pt>
                <c:pt idx="122">
                  <c:v>62.100601868663496</c:v>
                </c:pt>
                <c:pt idx="123">
                  <c:v>70.402396138760267</c:v>
                </c:pt>
                <c:pt idx="124">
                  <c:v>82.667161910759333</c:v>
                </c:pt>
                <c:pt idx="125">
                  <c:v>78.066907996759326</c:v>
                </c:pt>
                <c:pt idx="126">
                  <c:v>61.534131550759327</c:v>
                </c:pt>
                <c:pt idx="127">
                  <c:v>45.123614910761191</c:v>
                </c:pt>
                <c:pt idx="128">
                  <c:v>40.704781300759329</c:v>
                </c:pt>
                <c:pt idx="129">
                  <c:v>62.039171170759332</c:v>
                </c:pt>
                <c:pt idx="130">
                  <c:v>109.27964473765024</c:v>
                </c:pt>
                <c:pt idx="131">
                  <c:v>109.27964473765024</c:v>
                </c:pt>
                <c:pt idx="132">
                  <c:v>109.27964473765024</c:v>
                </c:pt>
                <c:pt idx="133">
                  <c:v>109.27964473765024</c:v>
                </c:pt>
                <c:pt idx="134">
                  <c:v>109.27964473765024</c:v>
                </c:pt>
                <c:pt idx="135">
                  <c:v>109.27964473765024</c:v>
                </c:pt>
                <c:pt idx="136">
                  <c:v>109.27964473765024</c:v>
                </c:pt>
                <c:pt idx="137">
                  <c:v>109.27964473765024</c:v>
                </c:pt>
                <c:pt idx="138">
                  <c:v>109.27964473765024</c:v>
                </c:pt>
                <c:pt idx="139">
                  <c:v>109.27964473765024</c:v>
                </c:pt>
                <c:pt idx="140">
                  <c:v>109.27964473765024</c:v>
                </c:pt>
                <c:pt idx="141">
                  <c:v>109.27964473765024</c:v>
                </c:pt>
                <c:pt idx="142">
                  <c:v>109.27964473765024</c:v>
                </c:pt>
                <c:pt idx="143">
                  <c:v>109.27964473765024</c:v>
                </c:pt>
                <c:pt idx="144">
                  <c:v>109.27964473765024</c:v>
                </c:pt>
                <c:pt idx="145">
                  <c:v>109.27964473765024</c:v>
                </c:pt>
                <c:pt idx="146">
                  <c:v>104.61240697200887</c:v>
                </c:pt>
                <c:pt idx="147">
                  <c:v>109.27964473765024</c:v>
                </c:pt>
                <c:pt idx="148">
                  <c:v>109.27964473765024</c:v>
                </c:pt>
                <c:pt idx="149">
                  <c:v>109.27964473765024</c:v>
                </c:pt>
                <c:pt idx="150">
                  <c:v>109.27964473765024</c:v>
                </c:pt>
                <c:pt idx="151">
                  <c:v>109.27964473765024</c:v>
                </c:pt>
                <c:pt idx="152">
                  <c:v>109.27964473765024</c:v>
                </c:pt>
                <c:pt idx="153">
                  <c:v>121.61256647889853</c:v>
                </c:pt>
                <c:pt idx="154">
                  <c:v>122.66184857089854</c:v>
                </c:pt>
                <c:pt idx="155">
                  <c:v>124.46511188199077</c:v>
                </c:pt>
                <c:pt idx="156">
                  <c:v>124.46511188199077</c:v>
                </c:pt>
                <c:pt idx="157">
                  <c:v>124.46511188199077</c:v>
                </c:pt>
                <c:pt idx="158">
                  <c:v>122.40887442801942</c:v>
                </c:pt>
                <c:pt idx="159">
                  <c:v>113.46114075602128</c:v>
                </c:pt>
                <c:pt idx="160">
                  <c:v>108.12699205602127</c:v>
                </c:pt>
                <c:pt idx="161">
                  <c:v>79.585318456017546</c:v>
                </c:pt>
                <c:pt idx="162">
                  <c:v>78.225685954021273</c:v>
                </c:pt>
                <c:pt idx="163">
                  <c:v>89.220336424019408</c:v>
                </c:pt>
                <c:pt idx="164">
                  <c:v>103.77480175601941</c:v>
                </c:pt>
                <c:pt idx="165">
                  <c:v>65.034512115070655</c:v>
                </c:pt>
                <c:pt idx="166">
                  <c:v>63.201680711070658</c:v>
                </c:pt>
                <c:pt idx="167">
                  <c:v>62.774371647068797</c:v>
                </c:pt>
                <c:pt idx="168">
                  <c:v>56.383921859072522</c:v>
                </c:pt>
                <c:pt idx="169">
                  <c:v>38.968119675068799</c:v>
                </c:pt>
                <c:pt idx="170">
                  <c:v>71.525197235070664</c:v>
                </c:pt>
                <c:pt idx="171">
                  <c:v>56.168955615070651</c:v>
                </c:pt>
                <c:pt idx="172">
                  <c:v>124.46511188199077</c:v>
                </c:pt>
                <c:pt idx="173">
                  <c:v>124.46511188199077</c:v>
                </c:pt>
                <c:pt idx="174">
                  <c:v>124.46511188199077</c:v>
                </c:pt>
                <c:pt idx="175">
                  <c:v>124.46511188199077</c:v>
                </c:pt>
                <c:pt idx="176">
                  <c:v>124.46511188199077</c:v>
                </c:pt>
                <c:pt idx="177">
                  <c:v>124.46511188199077</c:v>
                </c:pt>
                <c:pt idx="178">
                  <c:v>124.46511188199077</c:v>
                </c:pt>
                <c:pt idx="179">
                  <c:v>124.46511188199077</c:v>
                </c:pt>
                <c:pt idx="180">
                  <c:v>124.46511188199077</c:v>
                </c:pt>
                <c:pt idx="181">
                  <c:v>124.46511188199077</c:v>
                </c:pt>
                <c:pt idx="182">
                  <c:v>124.46511188199077</c:v>
                </c:pt>
                <c:pt idx="183">
                  <c:v>124.46511188199077</c:v>
                </c:pt>
                <c:pt idx="184">
                  <c:v>125.57183874706618</c:v>
                </c:pt>
                <c:pt idx="185">
                  <c:v>125.57183874706618</c:v>
                </c:pt>
                <c:pt idx="186">
                  <c:v>125.57183874706618</c:v>
                </c:pt>
                <c:pt idx="187">
                  <c:v>125.57183874706618</c:v>
                </c:pt>
                <c:pt idx="188">
                  <c:v>125.57183874706618</c:v>
                </c:pt>
                <c:pt idx="189">
                  <c:v>125.57183874706618</c:v>
                </c:pt>
                <c:pt idx="190">
                  <c:v>125.57183874706618</c:v>
                </c:pt>
                <c:pt idx="191">
                  <c:v>125.57183874706618</c:v>
                </c:pt>
                <c:pt idx="192">
                  <c:v>125.57183874706618</c:v>
                </c:pt>
                <c:pt idx="193">
                  <c:v>125.57183874706618</c:v>
                </c:pt>
                <c:pt idx="194">
                  <c:v>125.57183874706618</c:v>
                </c:pt>
                <c:pt idx="195">
                  <c:v>125.57183874706618</c:v>
                </c:pt>
                <c:pt idx="196">
                  <c:v>125.57183874706618</c:v>
                </c:pt>
                <c:pt idx="197">
                  <c:v>125.57183874706618</c:v>
                </c:pt>
                <c:pt idx="198">
                  <c:v>125.57183874706618</c:v>
                </c:pt>
                <c:pt idx="199">
                  <c:v>125.57183874706618</c:v>
                </c:pt>
                <c:pt idx="200">
                  <c:v>125.57183874706618</c:v>
                </c:pt>
                <c:pt idx="201">
                  <c:v>125.57183874706618</c:v>
                </c:pt>
                <c:pt idx="202">
                  <c:v>125.57183874706618</c:v>
                </c:pt>
                <c:pt idx="203">
                  <c:v>125.57183874706618</c:v>
                </c:pt>
                <c:pt idx="204">
                  <c:v>125.57183874706618</c:v>
                </c:pt>
                <c:pt idx="205">
                  <c:v>125.57183874706618</c:v>
                </c:pt>
                <c:pt idx="206">
                  <c:v>125.57183874706618</c:v>
                </c:pt>
                <c:pt idx="207">
                  <c:v>125.57183874706618</c:v>
                </c:pt>
                <c:pt idx="208">
                  <c:v>125.57183874706618</c:v>
                </c:pt>
                <c:pt idx="209">
                  <c:v>125.57183874706618</c:v>
                </c:pt>
                <c:pt idx="210">
                  <c:v>125.57183874706618</c:v>
                </c:pt>
                <c:pt idx="211">
                  <c:v>125.57183874706618</c:v>
                </c:pt>
                <c:pt idx="212">
                  <c:v>136.7399554485423</c:v>
                </c:pt>
                <c:pt idx="213">
                  <c:v>136.7399554485423</c:v>
                </c:pt>
                <c:pt idx="214">
                  <c:v>136.7399554485423</c:v>
                </c:pt>
                <c:pt idx="215">
                  <c:v>136.7399554485423</c:v>
                </c:pt>
                <c:pt idx="216">
                  <c:v>136.7399554485423</c:v>
                </c:pt>
                <c:pt idx="217">
                  <c:v>129.02562271292007</c:v>
                </c:pt>
                <c:pt idx="218">
                  <c:v>122.20455098892009</c:v>
                </c:pt>
                <c:pt idx="219">
                  <c:v>136.7399554485423</c:v>
                </c:pt>
                <c:pt idx="220">
                  <c:v>136.7399554485423</c:v>
                </c:pt>
                <c:pt idx="221">
                  <c:v>129.11398864011255</c:v>
                </c:pt>
                <c:pt idx="222">
                  <c:v>101.23949998610881</c:v>
                </c:pt>
                <c:pt idx="223">
                  <c:v>100.59290683211253</c:v>
                </c:pt>
                <c:pt idx="224">
                  <c:v>72.324729336108817</c:v>
                </c:pt>
                <c:pt idx="225">
                  <c:v>68.548257946110681</c:v>
                </c:pt>
                <c:pt idx="226">
                  <c:v>105.35541978611255</c:v>
                </c:pt>
                <c:pt idx="227">
                  <c:v>84.458917064108817</c:v>
                </c:pt>
                <c:pt idx="228">
                  <c:v>78.6456522491697</c:v>
                </c:pt>
                <c:pt idx="229">
                  <c:v>92.181539105165967</c:v>
                </c:pt>
                <c:pt idx="230">
                  <c:v>86.720284863165972</c:v>
                </c:pt>
                <c:pt idx="231">
                  <c:v>43.176069023169696</c:v>
                </c:pt>
                <c:pt idx="232">
                  <c:v>48.579112891164108</c:v>
                </c:pt>
                <c:pt idx="233">
                  <c:v>100.11940646116783</c:v>
                </c:pt>
                <c:pt idx="234">
                  <c:v>123.59558988916784</c:v>
                </c:pt>
                <c:pt idx="235">
                  <c:v>101.68231273701706</c:v>
                </c:pt>
                <c:pt idx="236">
                  <c:v>100.98737631301704</c:v>
                </c:pt>
                <c:pt idx="237">
                  <c:v>86.623203501018921</c:v>
                </c:pt>
                <c:pt idx="238">
                  <c:v>52.267094185018912</c:v>
                </c:pt>
                <c:pt idx="239">
                  <c:v>22.305643741017047</c:v>
                </c:pt>
                <c:pt idx="240">
                  <c:v>50.199117601017058</c:v>
                </c:pt>
                <c:pt idx="241">
                  <c:v>60.649499513017055</c:v>
                </c:pt>
                <c:pt idx="242">
                  <c:v>75.16902626648239</c:v>
                </c:pt>
                <c:pt idx="243">
                  <c:v>63.751534450480527</c:v>
                </c:pt>
                <c:pt idx="244">
                  <c:v>65.469556810482388</c:v>
                </c:pt>
                <c:pt idx="245">
                  <c:v>42.394872066480531</c:v>
                </c:pt>
                <c:pt idx="246">
                  <c:v>41.921852302478669</c:v>
                </c:pt>
                <c:pt idx="247">
                  <c:v>57.200811402480525</c:v>
                </c:pt>
                <c:pt idx="248">
                  <c:v>72.491779494480539</c:v>
                </c:pt>
                <c:pt idx="249">
                  <c:v>73.096940716146577</c:v>
                </c:pt>
                <c:pt idx="250">
                  <c:v>97.066670200148423</c:v>
                </c:pt>
                <c:pt idx="251">
                  <c:v>89.112006520142856</c:v>
                </c:pt>
                <c:pt idx="252">
                  <c:v>59.675219168146576</c:v>
                </c:pt>
                <c:pt idx="253">
                  <c:v>36.012027652150294</c:v>
                </c:pt>
                <c:pt idx="254">
                  <c:v>71.971308904144706</c:v>
                </c:pt>
                <c:pt idx="255">
                  <c:v>87.948379396146578</c:v>
                </c:pt>
                <c:pt idx="256">
                  <c:v>74.086402859665498</c:v>
                </c:pt>
                <c:pt idx="257">
                  <c:v>65.578525103665498</c:v>
                </c:pt>
                <c:pt idx="258">
                  <c:v>52.700916831667364</c:v>
                </c:pt>
                <c:pt idx="259">
                  <c:v>28.047646551661767</c:v>
                </c:pt>
                <c:pt idx="260">
                  <c:v>25.637126475665493</c:v>
                </c:pt>
                <c:pt idx="261">
                  <c:v>67.720498807665493</c:v>
                </c:pt>
                <c:pt idx="262">
                  <c:v>64.438045755665499</c:v>
                </c:pt>
                <c:pt idx="263">
                  <c:v>77.927893818515969</c:v>
                </c:pt>
                <c:pt idx="264">
                  <c:v>70.428506162521543</c:v>
                </c:pt>
                <c:pt idx="265">
                  <c:v>33.339995286519681</c:v>
                </c:pt>
                <c:pt idx="266">
                  <c:v>20.937989170515962</c:v>
                </c:pt>
                <c:pt idx="267">
                  <c:v>29.937314190521544</c:v>
                </c:pt>
                <c:pt idx="268">
                  <c:v>70.082576902517815</c:v>
                </c:pt>
                <c:pt idx="269">
                  <c:v>69.587241770521544</c:v>
                </c:pt>
                <c:pt idx="270">
                  <c:v>94.811122895477396</c:v>
                </c:pt>
                <c:pt idx="271">
                  <c:v>98.490954667479258</c:v>
                </c:pt>
                <c:pt idx="272">
                  <c:v>95.389488947479265</c:v>
                </c:pt>
                <c:pt idx="273">
                  <c:v>42.147848663479259</c:v>
                </c:pt>
                <c:pt idx="274">
                  <c:v>37.578915619477392</c:v>
                </c:pt>
                <c:pt idx="275">
                  <c:v>62.32738921948112</c:v>
                </c:pt>
                <c:pt idx="276">
                  <c:v>72.060014443477399</c:v>
                </c:pt>
                <c:pt idx="277">
                  <c:v>64.883841791812969</c:v>
                </c:pt>
                <c:pt idx="278">
                  <c:v>60.960911771811105</c:v>
                </c:pt>
                <c:pt idx="279">
                  <c:v>70.572683851807383</c:v>
                </c:pt>
                <c:pt idx="280">
                  <c:v>41.411578935811107</c:v>
                </c:pt>
                <c:pt idx="281">
                  <c:v>41.354636751809245</c:v>
                </c:pt>
                <c:pt idx="282">
                  <c:v>60.27062237980924</c:v>
                </c:pt>
                <c:pt idx="283">
                  <c:v>56.165441323812964</c:v>
                </c:pt>
                <c:pt idx="284">
                  <c:v>64.953505773205393</c:v>
                </c:pt>
                <c:pt idx="285">
                  <c:v>70.248995309207274</c:v>
                </c:pt>
                <c:pt idx="286">
                  <c:v>73.449084457207263</c:v>
                </c:pt>
                <c:pt idx="287">
                  <c:v>61.409645237210988</c:v>
                </c:pt>
                <c:pt idx="288">
                  <c:v>62.933085797205401</c:v>
                </c:pt>
                <c:pt idx="289">
                  <c:v>84.705796105210993</c:v>
                </c:pt>
                <c:pt idx="290">
                  <c:v>82.96181858520913</c:v>
                </c:pt>
                <c:pt idx="291">
                  <c:v>88.422067961818541</c:v>
                </c:pt>
                <c:pt idx="292">
                  <c:v>87.487187521816665</c:v>
                </c:pt>
                <c:pt idx="293">
                  <c:v>81.833325337818536</c:v>
                </c:pt>
                <c:pt idx="294">
                  <c:v>85.378086121820388</c:v>
                </c:pt>
                <c:pt idx="295">
                  <c:v>63.705421921816672</c:v>
                </c:pt>
                <c:pt idx="296">
                  <c:v>71.866288133820404</c:v>
                </c:pt>
                <c:pt idx="297">
                  <c:v>76.699483453822268</c:v>
                </c:pt>
                <c:pt idx="298">
                  <c:v>44.951141361653775</c:v>
                </c:pt>
                <c:pt idx="299">
                  <c:v>84.566878257655645</c:v>
                </c:pt>
                <c:pt idx="300">
                  <c:v>51.342713629655641</c:v>
                </c:pt>
                <c:pt idx="301">
                  <c:v>47.232078169655637</c:v>
                </c:pt>
                <c:pt idx="302">
                  <c:v>30.955034121657505</c:v>
                </c:pt>
                <c:pt idx="303">
                  <c:v>46.388749833651922</c:v>
                </c:pt>
                <c:pt idx="304">
                  <c:v>49.73479088165751</c:v>
                </c:pt>
                <c:pt idx="305">
                  <c:v>59.617974735076743</c:v>
                </c:pt>
                <c:pt idx="306">
                  <c:v>43.37929787908233</c:v>
                </c:pt>
                <c:pt idx="307">
                  <c:v>51.371324187080461</c:v>
                </c:pt>
                <c:pt idx="308">
                  <c:v>46.97342677108233</c:v>
                </c:pt>
                <c:pt idx="309">
                  <c:v>38.841300715080472</c:v>
                </c:pt>
                <c:pt idx="310">
                  <c:v>42.244757895078607</c:v>
                </c:pt>
                <c:pt idx="311">
                  <c:v>48.828998183082334</c:v>
                </c:pt>
                <c:pt idx="312">
                  <c:v>39.648429428078103</c:v>
                </c:pt>
                <c:pt idx="313">
                  <c:v>56.527545168078113</c:v>
                </c:pt>
                <c:pt idx="314">
                  <c:v>35.841213328079974</c:v>
                </c:pt>
                <c:pt idx="315">
                  <c:v>39.171942216074385</c:v>
                </c:pt>
                <c:pt idx="316">
                  <c:v>34.74696514007811</c:v>
                </c:pt>
                <c:pt idx="317">
                  <c:v>64.002517723929074</c:v>
                </c:pt>
                <c:pt idx="318">
                  <c:v>64.002517723929074</c:v>
                </c:pt>
                <c:pt idx="319">
                  <c:v>62.689481339110458</c:v>
                </c:pt>
                <c:pt idx="320">
                  <c:v>64.002517723929074</c:v>
                </c:pt>
                <c:pt idx="321">
                  <c:v>51.675803331110465</c:v>
                </c:pt>
                <c:pt idx="322">
                  <c:v>42.534247635112315</c:v>
                </c:pt>
                <c:pt idx="323">
                  <c:v>30.050284127108601</c:v>
                </c:pt>
                <c:pt idx="324">
                  <c:v>41.428065483112327</c:v>
                </c:pt>
                <c:pt idx="325">
                  <c:v>51.540481843110463</c:v>
                </c:pt>
                <c:pt idx="326">
                  <c:v>56.056425707417425</c:v>
                </c:pt>
                <c:pt idx="327">
                  <c:v>62.016783663419297</c:v>
                </c:pt>
                <c:pt idx="328">
                  <c:v>59.49135100341929</c:v>
                </c:pt>
                <c:pt idx="329">
                  <c:v>43.936819075419287</c:v>
                </c:pt>
                <c:pt idx="330">
                  <c:v>35.327830939419286</c:v>
                </c:pt>
                <c:pt idx="331">
                  <c:v>57.667929875419283</c:v>
                </c:pt>
                <c:pt idx="332">
                  <c:v>56.549637343419292</c:v>
                </c:pt>
                <c:pt idx="333">
                  <c:v>38.569192130302397</c:v>
                </c:pt>
                <c:pt idx="334">
                  <c:v>28.264017142829317</c:v>
                </c:pt>
                <c:pt idx="335">
                  <c:v>28.264017142829317</c:v>
                </c:pt>
                <c:pt idx="336">
                  <c:v>28.264017142829317</c:v>
                </c:pt>
                <c:pt idx="337">
                  <c:v>4.5154322943023946</c:v>
                </c:pt>
                <c:pt idx="338">
                  <c:v>28.264017142829317</c:v>
                </c:pt>
                <c:pt idx="339">
                  <c:v>28.264017142829317</c:v>
                </c:pt>
                <c:pt idx="340">
                  <c:v>28.264017142829317</c:v>
                </c:pt>
                <c:pt idx="341">
                  <c:v>25.159698888306941</c:v>
                </c:pt>
                <c:pt idx="342">
                  <c:v>24.742204244305075</c:v>
                </c:pt>
                <c:pt idx="343">
                  <c:v>24.797153528305078</c:v>
                </c:pt>
                <c:pt idx="344">
                  <c:v>24.48336876030508</c:v>
                </c:pt>
                <c:pt idx="345">
                  <c:v>14.488888316305077</c:v>
                </c:pt>
                <c:pt idx="346">
                  <c:v>17.369116352305078</c:v>
                </c:pt>
                <c:pt idx="347">
                  <c:v>3.2072423586414223</c:v>
                </c:pt>
                <c:pt idx="348">
                  <c:v>3.4758885986414243</c:v>
                </c:pt>
                <c:pt idx="349">
                  <c:v>3.3561334426414251</c:v>
                </c:pt>
                <c:pt idx="350">
                  <c:v>4.1169874026414179</c:v>
                </c:pt>
                <c:pt idx="351">
                  <c:v>4.8147068986432791</c:v>
                </c:pt>
                <c:pt idx="352">
                  <c:v>3.6608772426414218</c:v>
                </c:pt>
                <c:pt idx="353">
                  <c:v>0.66537219064328379</c:v>
                </c:pt>
                <c:pt idx="354">
                  <c:v>19.232001297499554</c:v>
                </c:pt>
                <c:pt idx="355">
                  <c:v>16.465821301501418</c:v>
                </c:pt>
                <c:pt idx="356">
                  <c:v>13.174375153499554</c:v>
                </c:pt>
                <c:pt idx="357">
                  <c:v>11.514703877501415</c:v>
                </c:pt>
                <c:pt idx="358">
                  <c:v>7.0097984214995526</c:v>
                </c:pt>
                <c:pt idx="359">
                  <c:v>10.036056933501415</c:v>
                </c:pt>
                <c:pt idx="360">
                  <c:v>9.0594030974995547</c:v>
                </c:pt>
                <c:pt idx="361">
                  <c:v>6.2810819010995766</c:v>
                </c:pt>
                <c:pt idx="362">
                  <c:v>18.516500529097712</c:v>
                </c:pt>
                <c:pt idx="363">
                  <c:v>18.053295577097714</c:v>
                </c:pt>
                <c:pt idx="364">
                  <c:v>3.7941773750977155</c:v>
                </c:pt>
                <c:pt idx="365">
                  <c:v>4.4792705870995775</c:v>
                </c:pt>
                <c:pt idx="366">
                  <c:v>17.06077530949155</c:v>
                </c:pt>
                <c:pt idx="367">
                  <c:v>17.06077530949155</c:v>
                </c:pt>
                <c:pt idx="368">
                  <c:v>17.06077530949155</c:v>
                </c:pt>
                <c:pt idx="369">
                  <c:v>17.06077530949155</c:v>
                </c:pt>
                <c:pt idx="370">
                  <c:v>5.42220691034077</c:v>
                </c:pt>
                <c:pt idx="371">
                  <c:v>3.9963943463426332</c:v>
                </c:pt>
                <c:pt idx="372">
                  <c:v>2.8785522423407675</c:v>
                </c:pt>
                <c:pt idx="373">
                  <c:v>16.042872728340765</c:v>
                </c:pt>
                <c:pt idx="374">
                  <c:v>12.266544616340775</c:v>
                </c:pt>
                <c:pt idx="375">
                  <c:v>12.804513353729009</c:v>
                </c:pt>
                <c:pt idx="376">
                  <c:v>11.789653197727151</c:v>
                </c:pt>
                <c:pt idx="377">
                  <c:v>10.618266341727153</c:v>
                </c:pt>
                <c:pt idx="378">
                  <c:v>8.2967024137271501</c:v>
                </c:pt>
                <c:pt idx="379">
                  <c:v>2.8305311297280857</c:v>
                </c:pt>
                <c:pt idx="380">
                  <c:v>2.5193534617262192</c:v>
                </c:pt>
                <c:pt idx="381">
                  <c:v>1.6410471217280864</c:v>
                </c:pt>
                <c:pt idx="382">
                  <c:v>1.1195935109318815</c:v>
                </c:pt>
                <c:pt idx="383">
                  <c:v>12.308320820931884</c:v>
                </c:pt>
                <c:pt idx="384">
                  <c:v>10.066089832931882</c:v>
                </c:pt>
                <c:pt idx="385">
                  <c:v>3.8468667969328161</c:v>
                </c:pt>
                <c:pt idx="386">
                  <c:v>0.508441244930953</c:v>
                </c:pt>
                <c:pt idx="387">
                  <c:v>1.0553290569318852</c:v>
                </c:pt>
                <c:pt idx="388">
                  <c:v>0.95153298293281119</c:v>
                </c:pt>
                <c:pt idx="389">
                  <c:v>7.148299117668139</c:v>
                </c:pt>
                <c:pt idx="390">
                  <c:v>9.1900503616690692</c:v>
                </c:pt>
                <c:pt idx="391">
                  <c:v>4.0983882336709359</c:v>
                </c:pt>
                <c:pt idx="392">
                  <c:v>0.76033149366814179</c:v>
                </c:pt>
                <c:pt idx="393">
                  <c:v>1.0641274536700003</c:v>
                </c:pt>
                <c:pt idx="394">
                  <c:v>10.115708249667207</c:v>
                </c:pt>
                <c:pt idx="395">
                  <c:v>13.842601205670929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71-4840-AFB4-628B92575916}"/>
                </c:ext>
              </c:extLst>
            </c:dLbl>
            <c:dLbl>
              <c:idx val="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71-4840-AFB4-628B92575916}"/>
                </c:ext>
              </c:extLst>
            </c:dLbl>
            <c:dLbl>
              <c:idx val="75"/>
              <c:layout>
                <c:manualLayout>
                  <c:x val="-3.6182722749887259E-3"/>
                  <c:y val="-0.115485564304461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AF-4F77-9D66-2E3AE3778034}"/>
                </c:ext>
              </c:extLst>
            </c:dLbl>
            <c:dLbl>
              <c:idx val="7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AF-4F77-9D66-2E3AE3778034}"/>
                </c:ext>
              </c:extLst>
            </c:dLbl>
            <c:dLbl>
              <c:idx val="106"/>
              <c:layout>
                <c:manualLayout>
                  <c:x val="3.6182722749886929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28-4255-86EA-374208140DCA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67"/>
              <c:layout>
                <c:manualLayout>
                  <c:x val="1.8091361374942801E-3"/>
                  <c:y val="-0.183727034120735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AF-4F77-9D66-2E3AE3778034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19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AF-4F77-9D66-2E3AE3778034}"/>
                </c:ext>
              </c:extLst>
            </c:dLbl>
            <c:dLbl>
              <c:idx val="198"/>
              <c:layout>
                <c:manualLayout>
                  <c:x val="-5.4274084124831057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AF-4F77-9D66-2E3AE3778034}"/>
                </c:ext>
              </c:extLst>
            </c:dLbl>
            <c:dLbl>
              <c:idx val="226"/>
              <c:layout>
                <c:manualLayout>
                  <c:x val="5.4274084124830389E-3"/>
                  <c:y val="-0.115485564304462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C-44EA-A58D-49951719D5F8}"/>
                </c:ext>
              </c:extLst>
            </c:dLbl>
            <c:dLbl>
              <c:idx val="2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AF-4F77-9D66-2E3AE3778034}"/>
                </c:ext>
              </c:extLst>
            </c:dLbl>
            <c:dLbl>
              <c:idx val="22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5.4274084124829071E-3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5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C-44EA-A58D-49951719D5F8}"/>
                </c:ext>
              </c:extLst>
            </c:dLbl>
            <c:dLbl>
              <c:idx val="25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4AF-4F77-9D66-2E3AE3778034}"/>
                </c:ext>
              </c:extLst>
            </c:dLbl>
            <c:dLbl>
              <c:idx val="287"/>
              <c:layout>
                <c:manualLayout>
                  <c:x val="1.8091361374942137E-3"/>
                  <c:y val="-9.97375328083990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28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AC-44EA-A58D-49951719D5F8}"/>
                </c:ext>
              </c:extLst>
            </c:dLbl>
            <c:dLbl>
              <c:idx val="29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4-4C68-81C4-4DCDD1A28A28}"/>
                </c:ext>
              </c:extLst>
            </c:dLbl>
            <c:dLbl>
              <c:idx val="318"/>
              <c:layout>
                <c:manualLayout>
                  <c:x val="3.6182722749886929E-3"/>
                  <c:y val="-0.10498687664041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19"/>
              <c:layout>
                <c:manualLayout>
                  <c:x val="1.8091361374943465E-3"/>
                  <c:y val="-7.34908136482939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26-4E7F-836E-087F4C74187B}"/>
                </c:ext>
              </c:extLst>
            </c:dLbl>
            <c:dLbl>
              <c:idx val="3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AF-4F77-9D66-2E3AE3778034}"/>
                </c:ext>
              </c:extLst>
            </c:dLbl>
            <c:dLbl>
              <c:idx val="348"/>
              <c:layout>
                <c:manualLayout>
                  <c:x val="3.6182722749886929E-3"/>
                  <c:y val="-5.7742782152231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4AF-4F77-9D66-2E3AE3778034}"/>
                </c:ext>
              </c:extLst>
            </c:dLbl>
            <c:dLbl>
              <c:idx val="34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5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4AF-4F77-9D66-2E3AE3778034}"/>
                </c:ext>
              </c:extLst>
            </c:dLbl>
            <c:dLbl>
              <c:idx val="379"/>
              <c:layout>
                <c:manualLayout>
                  <c:x val="1.8091361374943465E-3"/>
                  <c:y val="-4.19947506561679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Dat_02!$F$3:$F$398</c:f>
              <c:strCache>
                <c:ptCount val="380"/>
                <c:pt idx="14">
                  <c:v>A</c:v>
                </c:pt>
                <c:pt idx="45">
                  <c:v>S</c:v>
                </c:pt>
                <c:pt idx="75">
                  <c:v>O</c:v>
                </c:pt>
                <c:pt idx="106">
                  <c:v>N</c:v>
                </c:pt>
                <c:pt idx="136">
                  <c:v>D</c:v>
                </c:pt>
                <c:pt idx="167">
                  <c:v>E</c:v>
                </c:pt>
                <c:pt idx="198">
                  <c:v>F</c:v>
                </c:pt>
                <c:pt idx="226">
                  <c:v>M</c:v>
                </c:pt>
                <c:pt idx="257">
                  <c:v>A</c:v>
                </c:pt>
                <c:pt idx="287">
                  <c:v>M</c:v>
                </c:pt>
                <c:pt idx="318">
                  <c:v>J</c:v>
                </c:pt>
                <c:pt idx="348">
                  <c:v>J</c:v>
                </c:pt>
                <c:pt idx="379">
                  <c:v>A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17.313341416272394</c:v>
                </c:pt>
                <c:pt idx="43">
                  <c:v>0</c:v>
                </c:pt>
                <c:pt idx="44">
                  <c:v>0</c:v>
                </c:pt>
                <c:pt idx="45">
                  <c:v>20.95959048014743</c:v>
                </c:pt>
                <c:pt idx="74">
                  <c:v>0</c:v>
                </c:pt>
                <c:pt idx="75">
                  <c:v>41.360965957335978</c:v>
                </c:pt>
                <c:pt idx="76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85.678144231829236</c:v>
                </c:pt>
                <c:pt idx="135">
                  <c:v>0</c:v>
                </c:pt>
                <c:pt idx="136">
                  <c:v>109.27964473765024</c:v>
                </c:pt>
                <c:pt idx="137">
                  <c:v>0</c:v>
                </c:pt>
                <c:pt idx="165">
                  <c:v>0</c:v>
                </c:pt>
                <c:pt idx="167">
                  <c:v>124.46511188199077</c:v>
                </c:pt>
                <c:pt idx="196">
                  <c:v>0</c:v>
                </c:pt>
                <c:pt idx="197">
                  <c:v>0</c:v>
                </c:pt>
                <c:pt idx="198">
                  <c:v>125.57183874706618</c:v>
                </c:pt>
                <c:pt idx="226">
                  <c:v>136.7399554485423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57">
                  <c:v>128.52573371940508</c:v>
                </c:pt>
                <c:pt idx="258">
                  <c:v>0</c:v>
                </c:pt>
                <c:pt idx="259">
                  <c:v>0</c:v>
                </c:pt>
                <c:pt idx="287">
                  <c:v>101.55332277089387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318">
                  <c:v>64.002517723929074</c:v>
                </c:pt>
                <c:pt idx="320">
                  <c:v>0</c:v>
                </c:pt>
                <c:pt idx="348">
                  <c:v>28.264017142829317</c:v>
                </c:pt>
                <c:pt idx="349">
                  <c:v>0</c:v>
                </c:pt>
                <c:pt idx="351">
                  <c:v>0</c:v>
                </c:pt>
                <c:pt idx="379">
                  <c:v>17.06077530949155</c:v>
                </c:pt>
                <c:pt idx="3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3'!$F$48:$F$60</c:f>
              <c:numCache>
                <c:formatCode>#,##0\ _)</c:formatCode>
                <c:ptCount val="13"/>
                <c:pt idx="0">
                  <c:v>11008.379514400005</c:v>
                </c:pt>
                <c:pt idx="1">
                  <c:v>10216.987657999998</c:v>
                </c:pt>
                <c:pt idx="2">
                  <c:v>9860.0850484999992</c:v>
                </c:pt>
                <c:pt idx="3">
                  <c:v>11197.565775799998</c:v>
                </c:pt>
                <c:pt idx="4">
                  <c:v>13334.108503349993</c:v>
                </c:pt>
                <c:pt idx="5">
                  <c:v>13030.265303050002</c:v>
                </c:pt>
                <c:pt idx="6">
                  <c:v>13350.687899449997</c:v>
                </c:pt>
                <c:pt idx="7">
                  <c:v>13867.618216399997</c:v>
                </c:pt>
                <c:pt idx="8">
                  <c:v>13950.648185050002</c:v>
                </c:pt>
                <c:pt idx="9">
                  <c:v>14154.758919950002</c:v>
                </c:pt>
                <c:pt idx="10">
                  <c:v>13861.50749955</c:v>
                </c:pt>
                <c:pt idx="11">
                  <c:v>12411.383130949995</c:v>
                </c:pt>
                <c:pt idx="12">
                  <c:v>11082.055950350004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3'!$G$48:$G$60</c:f>
              <c:numCache>
                <c:formatCode>#,##0\ _)</c:formatCode>
                <c:ptCount val="13"/>
                <c:pt idx="0">
                  <c:v>5016.2080297901548</c:v>
                </c:pt>
                <c:pt idx="1">
                  <c:v>4709.6077613773832</c:v>
                </c:pt>
                <c:pt idx="2">
                  <c:v>4443.1848832624037</c:v>
                </c:pt>
                <c:pt idx="3">
                  <c:v>4806.2059127499997</c:v>
                </c:pt>
                <c:pt idx="4">
                  <c:v>5321.2928717999985</c:v>
                </c:pt>
                <c:pt idx="5">
                  <c:v>5467.9549016999981</c:v>
                </c:pt>
                <c:pt idx="6">
                  <c:v>5578.6608586499988</c:v>
                </c:pt>
                <c:pt idx="7">
                  <c:v>5886.7781087999983</c:v>
                </c:pt>
                <c:pt idx="8">
                  <c:v>7160.980094999999</c:v>
                </c:pt>
                <c:pt idx="9">
                  <c:v>7197.9099209999968</c:v>
                </c:pt>
                <c:pt idx="10">
                  <c:v>6659.6807604989417</c:v>
                </c:pt>
                <c:pt idx="11">
                  <c:v>5800.1947457021333</c:v>
                </c:pt>
                <c:pt idx="12">
                  <c:v>5069.3133357481856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3'!$H$48:$H$60</c:f>
              <c:numCache>
                <c:formatCode>#,##0\ _)</c:formatCode>
                <c:ptCount val="13"/>
                <c:pt idx="0">
                  <c:v>8682.152701913692</c:v>
                </c:pt>
                <c:pt idx="1">
                  <c:v>7899.635656205076</c:v>
                </c:pt>
                <c:pt idx="2">
                  <c:v>7706.6327509883004</c:v>
                </c:pt>
                <c:pt idx="3">
                  <c:v>8149.1649360341953</c:v>
                </c:pt>
                <c:pt idx="4">
                  <c:v>8688.9230952214075</c:v>
                </c:pt>
                <c:pt idx="5">
                  <c:v>9460.7335985820428</c:v>
                </c:pt>
                <c:pt idx="6">
                  <c:v>10003.035437810451</c:v>
                </c:pt>
                <c:pt idx="7">
                  <c:v>10720.346582784256</c:v>
                </c:pt>
                <c:pt idx="8">
                  <c:v>11307.143756783118</c:v>
                </c:pt>
                <c:pt idx="9">
                  <c:v>11468.407586706651</c:v>
                </c:pt>
                <c:pt idx="10">
                  <c:v>10927.520460105234</c:v>
                </c:pt>
                <c:pt idx="11">
                  <c:v>9824.1360547772583</c:v>
                </c:pt>
                <c:pt idx="12">
                  <c:v>8745.5835792961407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3'!$E$48:$E$60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3'!$C$48:$C$60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'Data 3'!$D$48:$D$60</c:f>
              <c:numCache>
                <c:formatCode>#,##0</c:formatCode>
                <c:ptCount val="13"/>
                <c:pt idx="0">
                  <c:v>9493.5710276489899</c:v>
                </c:pt>
                <c:pt idx="1">
                  <c:v>8414.2036093792703</c:v>
                </c:pt>
                <c:pt idx="2">
                  <c:v>8468.7189392685304</c:v>
                </c:pt>
                <c:pt idx="3">
                  <c:v>8407.9337983359892</c:v>
                </c:pt>
                <c:pt idx="4">
                  <c:v>9418.9304168690905</c:v>
                </c:pt>
                <c:pt idx="5">
                  <c:v>9758.5157368181899</c:v>
                </c:pt>
                <c:pt idx="6">
                  <c:v>12661.5058106672</c:v>
                </c:pt>
                <c:pt idx="7">
                  <c:v>12144.926731958538</c:v>
                </c:pt>
                <c:pt idx="8">
                  <c:v>11299.1892331082</c:v>
                </c:pt>
                <c:pt idx="9">
                  <c:v>11113.845787991901</c:v>
                </c:pt>
                <c:pt idx="10">
                  <c:v>10415.710777083699</c:v>
                </c:pt>
                <c:pt idx="11">
                  <c:v>8744.6750995529528</c:v>
                </c:pt>
                <c:pt idx="12">
                  <c:v>7124.7383119369397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D7D31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19186991869918699"/>
                  <c:y val="3.92156862745097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5609756097560964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6260162601626016"/>
                  <c:y val="5.771113169677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8.4552845528455225E-2"/>
                  <c:y val="0.1669820132777520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17073170731707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8292682926829266"/>
                  <c:y val="0.2058823529411764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21138211382113822"/>
                  <c:y val="-4.90196078431390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886178861788618"/>
                  <c:y val="3.92156862745098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0.78767694422434542</c:v>
                </c:pt>
                <c:pt idx="1">
                  <c:v>25.500203627967249</c:v>
                </c:pt>
                <c:pt idx="2">
                  <c:v>1.5861028143178812</c:v>
                </c:pt>
                <c:pt idx="3">
                  <c:v>16.46386411560287</c:v>
                </c:pt>
                <c:pt idx="4">
                  <c:v>10.385857089373147</c:v>
                </c:pt>
                <c:pt idx="5">
                  <c:v>0.98232702684001638</c:v>
                </c:pt>
                <c:pt idx="6">
                  <c:v>0.33643533103272633</c:v>
                </c:pt>
                <c:pt idx="7">
                  <c:v>17.810155710869992</c:v>
                </c:pt>
                <c:pt idx="8">
                  <c:v>9.3073642383151309</c:v>
                </c:pt>
                <c:pt idx="9">
                  <c:v>11.537573963522826</c:v>
                </c:pt>
                <c:pt idx="10">
                  <c:v>3.2743635012186494</c:v>
                </c:pt>
                <c:pt idx="11">
                  <c:v>2.0280756367151849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0.2107544645154649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42.792370874062797</c:v>
                </c:pt>
                <c:pt idx="1">
                  <c:v>57.207629125937203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47953260536225573"/>
                  <c:y val="-0.1503267973856209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82157377386650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36257389379186239"/>
                  <c:y val="0.14379084967320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55.706031618325511</c:v>
                </c:pt>
                <c:pt idx="1">
                  <c:v>44.29396838167451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17/08/2021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08130081300813"/>
                  <c:y val="-4.1830065359477121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45.036879277808268</c:v>
                </c:pt>
                <c:pt idx="1">
                  <c:v>54.963120722191725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19512195121951206"/>
                  <c:y val="-8.236982141938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22113821138211381"/>
                  <c:y val="-9.41176470588235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9.1056910569105698E-2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678430318161449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6747378528903401"/>
                  <c:y val="3.564613246873552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20139402086934255"/>
                  <c:y val="5.94456281200143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5.5284552845528454E-2"/>
                  <c:y val="0.214071946888991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4634146341463414"/>
                  <c:y val="6.797385620915041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0.39096298937046725</c:v>
                </c:pt>
                <c:pt idx="1">
                  <c:v>22.680259436613795</c:v>
                </c:pt>
                <c:pt idx="2">
                  <c:v>1.2941919426830188</c:v>
                </c:pt>
                <c:pt idx="3">
                  <c:v>10.859041806963537</c:v>
                </c:pt>
                <c:pt idx="4">
                  <c:v>8.9285956539197144</c:v>
                </c:pt>
                <c:pt idx="5">
                  <c:v>0.88382744825773329</c:v>
                </c:pt>
                <c:pt idx="6">
                  <c:v>0.30245614758509637</c:v>
                </c:pt>
                <c:pt idx="7">
                  <c:v>33.604283170856966</c:v>
                </c:pt>
                <c:pt idx="8">
                  <c:v>5.0850753299784328</c:v>
                </c:pt>
                <c:pt idx="9">
                  <c:v>10.677012636965751</c:v>
                </c:pt>
                <c:pt idx="10">
                  <c:v>3.5589171063392855</c:v>
                </c:pt>
                <c:pt idx="11">
                  <c:v>1.7353763304661929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30/01/2021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 rtl="0">
            <a:defRPr lang="en-US" sz="1000" b="1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032520325203253"/>
                  <c:y val="8.88888888888887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91"/>
                  <c:y val="-5.2994905048633627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29.009561479847868</c:v>
                </c:pt>
                <c:pt idx="1">
                  <c:v>71.050048170977988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7317073170731709"/>
                  <c:y val="2.3513766661520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2020631201587605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2600140836054019"/>
                  <c:y val="6.1937934228809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1136342103578516"/>
                  <c:y val="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9.3627296587926387E-2"/>
                  <c:y val="0.163485564304461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2.2764227642276303E-2"/>
                  <c:y val="0.314019041737429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6585365853658537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26016247359323991"/>
                  <c:y val="4.44444444444444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0.16422764227642275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0.69287353503403215</c:v>
                </c:pt>
                <c:pt idx="1">
                  <c:v>17.396233501341406</c:v>
                </c:pt>
                <c:pt idx="2">
                  <c:v>0</c:v>
                </c:pt>
                <c:pt idx="3">
                  <c:v>2.8866594676324682</c:v>
                </c:pt>
                <c:pt idx="4">
                  <c:v>7.3717055656322099</c:v>
                </c:pt>
                <c:pt idx="5">
                  <c:v>0.66208941020774792</c:v>
                </c:pt>
                <c:pt idx="6">
                  <c:v>0.22788295173986686</c:v>
                </c:pt>
                <c:pt idx="7">
                  <c:v>49.409597566100615</c:v>
                </c:pt>
                <c:pt idx="8">
                  <c:v>15.77299788250706</c:v>
                </c:pt>
                <c:pt idx="9">
                  <c:v>3.6790456418855046</c:v>
                </c:pt>
                <c:pt idx="10">
                  <c:v>0.17164642589485377</c:v>
                </c:pt>
                <c:pt idx="11">
                  <c:v>1.7888777028500891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38.984551652076327</c:v>
                </c:pt>
                <c:pt idx="1">
                  <c:v>39.199366315904015</c:v>
                </c:pt>
                <c:pt idx="2">
                  <c:v>48.429321696340907</c:v>
                </c:pt>
                <c:pt idx="3">
                  <c:v>42.082593677627422</c:v>
                </c:pt>
                <c:pt idx="4">
                  <c:v>52.100836322105295</c:v>
                </c:pt>
                <c:pt idx="5">
                  <c:v>53.431533558498792</c:v>
                </c:pt>
                <c:pt idx="6">
                  <c:v>60.442861862806282</c:v>
                </c:pt>
                <c:pt idx="7">
                  <c:v>55.162403354928152</c:v>
                </c:pt>
                <c:pt idx="8">
                  <c:v>48.13191198088132</c:v>
                </c:pt>
                <c:pt idx="9">
                  <c:v>52.255888575764992</c:v>
                </c:pt>
                <c:pt idx="10">
                  <c:v>48.282460509559954</c:v>
                </c:pt>
                <c:pt idx="11">
                  <c:v>47.72951546829556</c:v>
                </c:pt>
                <c:pt idx="12">
                  <c:v>44.29396838167451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61.015448347923694</c:v>
                </c:pt>
                <c:pt idx="1">
                  <c:v>60.800633684095999</c:v>
                </c:pt>
                <c:pt idx="2">
                  <c:v>51.570678303659108</c:v>
                </c:pt>
                <c:pt idx="3">
                  <c:v>57.917406322372578</c:v>
                </c:pt>
                <c:pt idx="4">
                  <c:v>47.899163677894705</c:v>
                </c:pt>
                <c:pt idx="5">
                  <c:v>46.568466441501208</c:v>
                </c:pt>
                <c:pt idx="6">
                  <c:v>39.557138137193718</c:v>
                </c:pt>
                <c:pt idx="7">
                  <c:v>44.837596645071848</c:v>
                </c:pt>
                <c:pt idx="8">
                  <c:v>51.86808801911868</c:v>
                </c:pt>
                <c:pt idx="9">
                  <c:v>47.744111424235008</c:v>
                </c:pt>
                <c:pt idx="10">
                  <c:v>51.717539490440046</c:v>
                </c:pt>
                <c:pt idx="11">
                  <c:v>52.27048453170444</c:v>
                </c:pt>
                <c:pt idx="12">
                  <c:v>55.70603161832549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3076782.1556899999</c:v>
                </c:pt>
                <c:pt idx="1">
                  <c:v>2874627.5634499998</c:v>
                </c:pt>
                <c:pt idx="2">
                  <c:v>2190686.3617799999</c:v>
                </c:pt>
                <c:pt idx="3">
                  <c:v>2472772.88014</c:v>
                </c:pt>
                <c:pt idx="4">
                  <c:v>2104721.4178900002</c:v>
                </c:pt>
                <c:pt idx="5">
                  <c:v>2306031.16542</c:v>
                </c:pt>
                <c:pt idx="6">
                  <c:v>1316298.26563</c:v>
                </c:pt>
                <c:pt idx="7">
                  <c:v>1739042.33048</c:v>
                </c:pt>
                <c:pt idx="8">
                  <c:v>2186657.4454600001</c:v>
                </c:pt>
                <c:pt idx="9">
                  <c:v>1941284.8501899999</c:v>
                </c:pt>
                <c:pt idx="10">
                  <c:v>2437296.4367399998</c:v>
                </c:pt>
                <c:pt idx="11">
                  <c:v>2318993.4486500002</c:v>
                </c:pt>
                <c:pt idx="12">
                  <c:v>2397081.1027899999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63.775498984847594</c:v>
                </c:pt>
                <c:pt idx="1">
                  <c:v>64.071970906964054</c:v>
                </c:pt>
                <c:pt idx="2">
                  <c:v>72.271197428317706</c:v>
                </c:pt>
                <c:pt idx="3">
                  <c:v>67.664244519508046</c:v>
                </c:pt>
                <c:pt idx="4">
                  <c:v>76.676155978886854</c:v>
                </c:pt>
                <c:pt idx="5">
                  <c:v>77.139707285732712</c:v>
                </c:pt>
                <c:pt idx="6">
                  <c:v>83.916984896469884</c:v>
                </c:pt>
                <c:pt idx="7">
                  <c:v>79.59747774264504</c:v>
                </c:pt>
                <c:pt idx="8">
                  <c:v>71.059107179732194</c:v>
                </c:pt>
                <c:pt idx="9">
                  <c:v>75.879362087268532</c:v>
                </c:pt>
                <c:pt idx="10">
                  <c:v>68.492658279358281</c:v>
                </c:pt>
                <c:pt idx="11">
                  <c:v>72.617555933613914</c:v>
                </c:pt>
                <c:pt idx="12">
                  <c:v>70.581848953866114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36.224501015152406</c:v>
                </c:pt>
                <c:pt idx="1">
                  <c:v>35.928029093035939</c:v>
                </c:pt>
                <c:pt idx="2">
                  <c:v>27.728802571682301</c:v>
                </c:pt>
                <c:pt idx="3">
                  <c:v>32.335755480491947</c:v>
                </c:pt>
                <c:pt idx="4">
                  <c:v>23.32384402111316</c:v>
                </c:pt>
                <c:pt idx="5">
                  <c:v>22.860292714267313</c:v>
                </c:pt>
                <c:pt idx="6">
                  <c:v>16.083015103530119</c:v>
                </c:pt>
                <c:pt idx="7">
                  <c:v>20.40252225735496</c:v>
                </c:pt>
                <c:pt idx="8">
                  <c:v>28.940892820267809</c:v>
                </c:pt>
                <c:pt idx="9">
                  <c:v>24.120637912731453</c:v>
                </c:pt>
                <c:pt idx="10">
                  <c:v>31.507341720641712</c:v>
                </c:pt>
                <c:pt idx="11">
                  <c:v>27.382444066386078</c:v>
                </c:pt>
                <c:pt idx="12">
                  <c:v>29.418151046133911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1886.0039274440001</c:v>
                </c:pt>
                <c:pt idx="1">
                  <c:v>1678.3274013719999</c:v>
                </c:pt>
                <c:pt idx="2">
                  <c:v>1892.9846669420001</c:v>
                </c:pt>
                <c:pt idx="3">
                  <c:v>2459.7328362960002</c:v>
                </c:pt>
                <c:pt idx="4">
                  <c:v>3191.3531995479998</c:v>
                </c:pt>
                <c:pt idx="5">
                  <c:v>4055.5224591820001</c:v>
                </c:pt>
                <c:pt idx="6">
                  <c:v>4515.6890129479998</c:v>
                </c:pt>
                <c:pt idx="7">
                  <c:v>3713.0280040799998</c:v>
                </c:pt>
                <c:pt idx="8">
                  <c:v>2742.9927041320002</c:v>
                </c:pt>
                <c:pt idx="9">
                  <c:v>2156.5677169599999</c:v>
                </c:pt>
                <c:pt idx="10">
                  <c:v>2178.1559084280002</c:v>
                </c:pt>
                <c:pt idx="11">
                  <c:v>2203.5825142980002</c:v>
                </c:pt>
                <c:pt idx="12">
                  <c:v>1879.8039341619999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3508.4515270000002</c:v>
                </c:pt>
                <c:pt idx="1">
                  <c:v>3962.2430210000002</c:v>
                </c:pt>
                <c:pt idx="2">
                  <c:v>5669.7146759999996</c:v>
                </c:pt>
                <c:pt idx="3">
                  <c:v>4154.0834599999998</c:v>
                </c:pt>
                <c:pt idx="4">
                  <c:v>7378.7336489999998</c:v>
                </c:pt>
                <c:pt idx="5">
                  <c:v>7019.2746690000004</c:v>
                </c:pt>
                <c:pt idx="6">
                  <c:v>6235.5684270000002</c:v>
                </c:pt>
                <c:pt idx="7">
                  <c:v>5521.443166</c:v>
                </c:pt>
                <c:pt idx="8">
                  <c:v>4041.7178789999998</c:v>
                </c:pt>
                <c:pt idx="9">
                  <c:v>4620.819896</c:v>
                </c:pt>
                <c:pt idx="10">
                  <c:v>3532.9370509999999</c:v>
                </c:pt>
                <c:pt idx="11">
                  <c:v>4120.4592439999997</c:v>
                </c:pt>
                <c:pt idx="12">
                  <c:v>3597.1086890000001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1778.4640589999999</c:v>
                </c:pt>
                <c:pt idx="1">
                  <c:v>1426.722043</c:v>
                </c:pt>
                <c:pt idx="2">
                  <c:v>1283.3937249999999</c:v>
                </c:pt>
                <c:pt idx="3">
                  <c:v>788.93134899999995</c:v>
                </c:pt>
                <c:pt idx="4">
                  <c:v>719.15622399999995</c:v>
                </c:pt>
                <c:pt idx="5">
                  <c:v>821.66945299999998</c:v>
                </c:pt>
                <c:pt idx="6">
                  <c:v>944.59647700000005</c:v>
                </c:pt>
                <c:pt idx="7">
                  <c:v>1648.188848</c:v>
                </c:pt>
                <c:pt idx="8">
                  <c:v>1625.0275710000001</c:v>
                </c:pt>
                <c:pt idx="9">
                  <c:v>2335.6640040000002</c:v>
                </c:pt>
                <c:pt idx="10">
                  <c:v>2265.4350840000002</c:v>
                </c:pt>
                <c:pt idx="11">
                  <c:v>2465.699314</c:v>
                </c:pt>
                <c:pt idx="12">
                  <c:v>2330.2383329999998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744.54166099999998</c:v>
                </c:pt>
                <c:pt idx="1">
                  <c:v>452.15923299999997</c:v>
                </c:pt>
                <c:pt idx="2">
                  <c:v>340.27470899999997</c:v>
                </c:pt>
                <c:pt idx="3">
                  <c:v>108.048269</c:v>
                </c:pt>
                <c:pt idx="4">
                  <c:v>76.225913000000006</c:v>
                </c:pt>
                <c:pt idx="5">
                  <c:v>102.634029</c:v>
                </c:pt>
                <c:pt idx="6">
                  <c:v>138.18132700000001</c:v>
                </c:pt>
                <c:pt idx="7">
                  <c:v>355.01542699999999</c:v>
                </c:pt>
                <c:pt idx="8">
                  <c:v>266.78751899999997</c:v>
                </c:pt>
                <c:pt idx="9">
                  <c:v>645.65319899999997</c:v>
                </c:pt>
                <c:pt idx="10">
                  <c:v>655.36365000000001</c:v>
                </c:pt>
                <c:pt idx="11">
                  <c:v>828.47839999999997</c:v>
                </c:pt>
                <c:pt idx="12">
                  <c:v>661.321641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367.860117</c:v>
                </c:pt>
                <c:pt idx="1">
                  <c:v>394.86022600000001</c:v>
                </c:pt>
                <c:pt idx="2">
                  <c:v>414.07609600000001</c:v>
                </c:pt>
                <c:pt idx="3">
                  <c:v>393.05924800000003</c:v>
                </c:pt>
                <c:pt idx="4">
                  <c:v>422.601923</c:v>
                </c:pt>
                <c:pt idx="5">
                  <c:v>389.92807800000003</c:v>
                </c:pt>
                <c:pt idx="6">
                  <c:v>364.09361200000001</c:v>
                </c:pt>
                <c:pt idx="7">
                  <c:v>358.00908700000002</c:v>
                </c:pt>
                <c:pt idx="8">
                  <c:v>391.39413100000002</c:v>
                </c:pt>
                <c:pt idx="9">
                  <c:v>390.09032500000001</c:v>
                </c:pt>
                <c:pt idx="10">
                  <c:v>357.15492699999999</c:v>
                </c:pt>
                <c:pt idx="11">
                  <c:v>351.58971200000002</c:v>
                </c:pt>
                <c:pt idx="12">
                  <c:v>409.60947299999998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66.037119500000003</c:v>
                </c:pt>
                <c:pt idx="1">
                  <c:v>58.507686499999998</c:v>
                </c:pt>
                <c:pt idx="2">
                  <c:v>64.967821499999999</c:v>
                </c:pt>
                <c:pt idx="3">
                  <c:v>67.556750500000007</c:v>
                </c:pt>
                <c:pt idx="4">
                  <c:v>66.683813999999998</c:v>
                </c:pt>
                <c:pt idx="5">
                  <c:v>52.060037999999999</c:v>
                </c:pt>
                <c:pt idx="6">
                  <c:v>57.768275000000003</c:v>
                </c:pt>
                <c:pt idx="7">
                  <c:v>61.963368000000003</c:v>
                </c:pt>
                <c:pt idx="8">
                  <c:v>66.322567500000005</c:v>
                </c:pt>
                <c:pt idx="9">
                  <c:v>53.009402999999999</c:v>
                </c:pt>
                <c:pt idx="10">
                  <c:v>65.533088500000005</c:v>
                </c:pt>
                <c:pt idx="11">
                  <c:v>70.069165499999997</c:v>
                </c:pt>
                <c:pt idx="12">
                  <c:v>67.949684000000005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0.41088</cdr:x>
      <cdr:y>0.06546</cdr:y>
    </cdr:from>
    <cdr:to>
      <cdr:x>0.41301</cdr:x>
      <cdr:y>0.81021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766955" y="238187"/>
          <a:ext cx="14344" cy="270981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0.4092</cdr:x>
      <cdr:y>0.09441</cdr:y>
    </cdr:from>
    <cdr:to>
      <cdr:x>0.40928</cdr:x>
      <cdr:y>0.75705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864778" y="289564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0.21496</cdr:x>
      <cdr:y>0.65517</cdr:y>
    </cdr:from>
    <cdr:to>
      <cdr:x>0.34558</cdr:x>
      <cdr:y>0.74993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04925" y="2009439"/>
          <a:ext cx="914455" cy="290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8</xdr:row>
      <xdr:rowOff>152400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33525"/>
          <a:ext cx="236220" cy="22552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9</xdr:row>
      <xdr:rowOff>104775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647825"/>
          <a:ext cx="255270" cy="9307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9</xdr:row>
      <xdr:rowOff>38100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81150"/>
          <a:ext cx="261620" cy="161926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1487805</xdr:colOff>
      <xdr:row>7</xdr:row>
      <xdr:rowOff>114300</xdr:rowOff>
    </xdr:from>
    <xdr:to>
      <xdr:col>4</xdr:col>
      <xdr:colOff>1811655</xdr:colOff>
      <xdr:row>8</xdr:row>
      <xdr:rowOff>152400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5180" y="13335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1714500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571875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57150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085975"/>
          <a:ext cx="252000" cy="2175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76201</xdr:rowOff>
    </xdr:from>
    <xdr:to>
      <xdr:col>4</xdr:col>
      <xdr:colOff>1795050</xdr:colOff>
      <xdr:row>13</xdr:row>
      <xdr:rowOff>102374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05026"/>
          <a:ext cx="252000" cy="18809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53,0%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866775</xdr:colOff>
      <xdr:row>11</xdr:row>
      <xdr:rowOff>28575</xdr:rowOff>
    </xdr:from>
    <xdr:to>
      <xdr:col>4</xdr:col>
      <xdr:colOff>1190625</xdr:colOff>
      <xdr:row>11</xdr:row>
      <xdr:rowOff>152400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24150" y="1895475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556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1209675</xdr:colOff>
      <xdr:row>11</xdr:row>
      <xdr:rowOff>28575</xdr:rowOff>
    </xdr:from>
    <xdr:to>
      <xdr:col>4</xdr:col>
      <xdr:colOff>1533525</xdr:colOff>
      <xdr:row>12</xdr:row>
      <xdr:rowOff>68580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67050" y="189547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1533525</xdr:colOff>
      <xdr:row>11</xdr:row>
      <xdr:rowOff>38100</xdr:rowOff>
    </xdr:from>
    <xdr:to>
      <xdr:col>4</xdr:col>
      <xdr:colOff>1857375</xdr:colOff>
      <xdr:row>12</xdr:row>
      <xdr:rowOff>9525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90900" y="1905000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2.547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1.087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76199</xdr:rowOff>
    </xdr:from>
    <xdr:to>
      <xdr:col>4</xdr:col>
      <xdr:colOff>2854230</xdr:colOff>
      <xdr:row>12</xdr:row>
      <xdr:rowOff>99529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43099"/>
          <a:ext cx="252000" cy="18525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76200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752725"/>
          <a:ext cx="260350" cy="140206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1.161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95250</xdr:rowOff>
    </xdr:from>
    <xdr:to>
      <xdr:col>4</xdr:col>
      <xdr:colOff>2933700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71775"/>
          <a:ext cx="200024" cy="1249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31,8%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114299</xdr:rowOff>
    </xdr:from>
    <xdr:to>
      <xdr:col>4</xdr:col>
      <xdr:colOff>1771650</xdr:colOff>
      <xdr:row>20</xdr:row>
      <xdr:rowOff>152293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76599"/>
          <a:ext cx="247650" cy="19991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62,9%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38099</xdr:rowOff>
    </xdr:from>
    <xdr:to>
      <xdr:col>4</xdr:col>
      <xdr:colOff>2085974</xdr:colOff>
      <xdr:row>20</xdr:row>
      <xdr:rowOff>148042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62324"/>
          <a:ext cx="257175" cy="1099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13,7%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2133599</xdr:colOff>
      <xdr:row>20</xdr:row>
      <xdr:rowOff>9525</xdr:rowOff>
    </xdr:from>
    <xdr:to>
      <xdr:col>4</xdr:col>
      <xdr:colOff>2352674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4" y="3333750"/>
          <a:ext cx="219075" cy="142544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2074544</xdr:colOff>
      <xdr:row>20</xdr:row>
      <xdr:rowOff>131445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3931919" y="345567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3.403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3.722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47625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81475"/>
          <a:ext cx="304800" cy="174312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41,5%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7.125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47625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81475"/>
          <a:ext cx="292100" cy="169357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E16" sqref="E16"/>
    </sheetView>
  </sheetViews>
  <sheetFormatPr baseColWidth="10" defaultColWidth="11.42578125" defaultRowHeight="12.75"/>
  <cols>
    <col min="1" max="1" width="0.140625" style="134" customWidth="1"/>
    <col min="2" max="2" width="2.7109375" style="134" customWidth="1"/>
    <col min="3" max="3" width="16.42578125" style="134" customWidth="1"/>
    <col min="4" max="4" width="4.7109375" style="134" customWidth="1"/>
    <col min="5" max="5" width="95.7109375" style="134" customWidth="1"/>
    <col min="6" max="16384" width="11.42578125" style="134"/>
  </cols>
  <sheetData>
    <row r="1" spans="2:15" ht="0.75" customHeight="1"/>
    <row r="2" spans="2:15" ht="21" customHeight="1">
      <c r="B2" s="134" t="s">
        <v>65</v>
      </c>
      <c r="C2" s="135"/>
      <c r="D2" s="135"/>
      <c r="E2" s="103" t="s">
        <v>1</v>
      </c>
    </row>
    <row r="3" spans="2:15" ht="15" customHeight="1">
      <c r="C3" s="135"/>
      <c r="D3" s="135"/>
      <c r="E3" s="104" t="str">
        <f>Dat_01!A2</f>
        <v>Agosto 2021</v>
      </c>
    </row>
    <row r="4" spans="2:15" s="137" customFormat="1" ht="20.25" customHeight="1">
      <c r="B4" s="136"/>
      <c r="C4" s="102" t="s">
        <v>67</v>
      </c>
    </row>
    <row r="5" spans="2:15" s="137" customFormat="1" ht="8.25" customHeight="1">
      <c r="B5" s="136"/>
      <c r="C5" s="138"/>
    </row>
    <row r="6" spans="2:15" s="137" customFormat="1" ht="3" customHeight="1">
      <c r="B6" s="136"/>
      <c r="C6" s="138"/>
    </row>
    <row r="7" spans="2:15" s="137" customFormat="1" ht="7.5" customHeight="1">
      <c r="B7" s="136"/>
      <c r="C7" s="139"/>
      <c r="D7" s="140"/>
      <c r="E7" s="140"/>
    </row>
    <row r="8" spans="2:15" ht="12.6" customHeight="1">
      <c r="D8" s="141" t="s">
        <v>66</v>
      </c>
      <c r="E8" s="142" t="s">
        <v>78</v>
      </c>
    </row>
    <row r="9" spans="2:15" s="137" customFormat="1" ht="12.6" customHeight="1">
      <c r="B9" s="136"/>
      <c r="C9" s="143"/>
      <c r="D9" s="141" t="s">
        <v>66</v>
      </c>
      <c r="E9" s="142" t="str">
        <f>'P2'!C7</f>
        <v>Estructura de potencia instalada peninsular</v>
      </c>
      <c r="F9" s="144"/>
      <c r="G9" s="144"/>
      <c r="H9" s="144"/>
      <c r="I9" s="144"/>
      <c r="J9" s="144"/>
      <c r="K9" s="144"/>
      <c r="L9" s="144"/>
      <c r="M9" s="144"/>
      <c r="N9" s="144"/>
      <c r="O9" s="144"/>
    </row>
    <row r="10" spans="2:15" s="137" customFormat="1" ht="12.6" customHeight="1">
      <c r="B10" s="136"/>
      <c r="C10" s="143"/>
      <c r="D10" s="141" t="s">
        <v>66</v>
      </c>
      <c r="E10" s="142" t="str">
        <f>'P2'!C23</f>
        <v>Estructura de generación mensual peninsular</v>
      </c>
      <c r="F10" s="134"/>
      <c r="G10" s="144"/>
      <c r="H10" s="144"/>
      <c r="I10" s="144"/>
      <c r="J10" s="144"/>
      <c r="K10" s="144"/>
      <c r="L10" s="144"/>
      <c r="M10" s="144"/>
      <c r="N10" s="144"/>
      <c r="O10" s="144"/>
    </row>
    <row r="11" spans="2:15" ht="12.6" customHeight="1">
      <c r="D11" s="141" t="s">
        <v>66</v>
      </c>
      <c r="E11" s="142" t="str">
        <f>'P3'!C7</f>
        <v xml:space="preserve">Estructura de generación diaria del día de máxima generación de energía renovable peninsular
</v>
      </c>
      <c r="F11" s="144"/>
    </row>
    <row r="12" spans="2:15" ht="12.6" customHeight="1">
      <c r="D12" s="141" t="s">
        <v>66</v>
      </c>
      <c r="E12" s="142" t="str">
        <f>'P4'!C7</f>
        <v>Evolución del peso de la generación renovable y no renovable peninsular</v>
      </c>
    </row>
    <row r="13" spans="2:15" ht="12.6" customHeight="1">
      <c r="D13" s="141" t="s">
        <v>66</v>
      </c>
      <c r="E13" s="142" t="str">
        <f>'P5'!C7</f>
        <v>Evolución de las emisiones de CO2 equivalente y peso de la generación libre de CO2 peninsular</v>
      </c>
      <c r="F13" s="144"/>
    </row>
    <row r="14" spans="2:15" ht="12.6" customHeight="1">
      <c r="D14" s="141" t="s">
        <v>66</v>
      </c>
      <c r="E14" s="142" t="str">
        <f>'P6'!C7</f>
        <v xml:space="preserve">Evolución de la generación renovable peninsular </v>
      </c>
      <c r="F14" s="144"/>
    </row>
    <row r="15" spans="2:15" ht="12.6" customHeight="1">
      <c r="D15" s="141" t="s">
        <v>66</v>
      </c>
      <c r="E15" s="142" t="str">
        <f>'P7'!C7</f>
        <v xml:space="preserve">Evolución de la generación no renovable peninsular </v>
      </c>
      <c r="F15" s="144"/>
    </row>
    <row r="16" spans="2:15" ht="12.6" customHeight="1">
      <c r="D16" s="141" t="s">
        <v>66</v>
      </c>
      <c r="E16" s="142" t="str">
        <f>'P8'!C7</f>
        <v>Generación eólica diaria peninsular</v>
      </c>
      <c r="F16" s="144"/>
    </row>
    <row r="17" spans="2:6" ht="12.6" customHeight="1">
      <c r="D17" s="141" t="s">
        <v>66</v>
      </c>
      <c r="E17" s="142" t="str">
        <f>'P9'!C7</f>
        <v>Máximos de generación de energía eólica peninsular</v>
      </c>
      <c r="F17" s="144"/>
    </row>
    <row r="18" spans="2:6" ht="12.6" customHeight="1">
      <c r="D18" s="141" t="s">
        <v>66</v>
      </c>
      <c r="E18" s="142" t="str">
        <f>'P10'!C7</f>
        <v>Energía producible eólica comparada con el producible eólico medio histórico</v>
      </c>
      <c r="F18" s="144"/>
    </row>
    <row r="19" spans="2:6" ht="12.6" customHeight="1">
      <c r="D19" s="141" t="s">
        <v>66</v>
      </c>
      <c r="E19" s="142" t="str">
        <f>'P11'!B7</f>
        <v>Energía producible hidráulica diaria comparada con el producible medio histórico</v>
      </c>
      <c r="F19" s="144"/>
    </row>
    <row r="20" spans="2:6" ht="12.6" customHeight="1">
      <c r="D20" s="141" t="s">
        <v>66</v>
      </c>
      <c r="E20" s="142" t="str">
        <f>'P12'!B7</f>
        <v>Reservas hidroeléctricas</v>
      </c>
      <c r="F20" s="144"/>
    </row>
    <row r="21" spans="2:6" ht="12.6" customHeight="1">
      <c r="D21" s="141" t="s">
        <v>66</v>
      </c>
      <c r="E21" s="142" t="str">
        <f>'P13'!C7</f>
        <v>Reservas hidroeléctricas a finales de mes por cuencas hidrográficas</v>
      </c>
      <c r="F21" s="144"/>
    </row>
    <row r="22" spans="2:6" s="137" customFormat="1" ht="7.5" customHeight="1">
      <c r="B22" s="136"/>
      <c r="C22" s="139"/>
      <c r="D22" s="140"/>
      <c r="E22" s="140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L30" sqref="L3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Agosto 2021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7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G10" sqref="G10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Agosto 2021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9" t="s">
        <v>25</v>
      </c>
      <c r="E7" s="114"/>
      <c r="F7" s="330" t="str">
        <f>Dat_01!A2</f>
        <v>Agosto 2021</v>
      </c>
      <c r="G7" s="331"/>
      <c r="H7" s="332" t="s">
        <v>27</v>
      </c>
      <c r="I7" s="33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9"/>
      <c r="E8" s="115" t="s">
        <v>28</v>
      </c>
      <c r="F8" s="307">
        <v>13459</v>
      </c>
      <c r="G8" s="308" t="s">
        <v>248</v>
      </c>
      <c r="H8" s="307">
        <v>19588</v>
      </c>
      <c r="I8" s="308" t="s">
        <v>202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7"/>
      <c r="E9" s="116" t="s">
        <v>29</v>
      </c>
      <c r="F9" s="285">
        <v>48.81</v>
      </c>
      <c r="G9" s="286" t="s">
        <v>249</v>
      </c>
      <c r="H9" s="281">
        <v>75.900000000000006</v>
      </c>
      <c r="I9" s="286" t="s">
        <v>182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2"/>
      <c r="I10" s="284"/>
      <c r="J10" s="283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8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0" zoomScaleNormal="80" workbookViewId="0">
      <selection activeCell="N21" sqref="N21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Agosto 2021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9" t="s">
        <v>191</v>
      </c>
      <c r="E7" s="4"/>
    </row>
    <row r="8" spans="3:34">
      <c r="C8" s="329"/>
      <c r="E8" s="4"/>
    </row>
    <row r="9" spans="3:34">
      <c r="C9" s="329"/>
      <c r="E9" s="4"/>
    </row>
    <row r="10" spans="3:34">
      <c r="C10" s="329"/>
      <c r="E10" s="4"/>
    </row>
    <row r="11" spans="3:34">
      <c r="E11" s="4"/>
    </row>
    <row r="12" spans="3:34">
      <c r="C12" s="117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7"/>
    </row>
    <row r="25" spans="3:32">
      <c r="C25" s="117"/>
      <c r="E25" s="113"/>
    </row>
    <row r="26" spans="3:32">
      <c r="C26" s="117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7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7"/>
    </row>
    <row r="29" spans="3:32">
      <c r="C29" s="117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G16" sqref="G16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Agosto 2021</v>
      </c>
    </row>
    <row r="4" spans="2:22" ht="20.100000000000001" customHeight="1">
      <c r="B4" s="102" t="s">
        <v>150</v>
      </c>
      <c r="V4" s="54"/>
    </row>
    <row r="5" spans="2:22">
      <c r="V5" s="54"/>
    </row>
    <row r="6" spans="2:22">
      <c r="V6" s="54"/>
    </row>
    <row r="7" spans="2:22">
      <c r="B7" s="329" t="s">
        <v>26</v>
      </c>
      <c r="V7" s="54"/>
    </row>
    <row r="8" spans="2:22">
      <c r="B8" s="329"/>
      <c r="V8" s="54"/>
    </row>
    <row r="9" spans="2:22">
      <c r="B9" s="329"/>
      <c r="V9" s="54"/>
    </row>
    <row r="10" spans="2:22">
      <c r="B10" s="269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>
      <selection activeCell="D31" sqref="D31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Agosto 2021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7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3"/>
      <c r="P8" s="63"/>
      <c r="Q8" s="145"/>
      <c r="R8" s="146"/>
      <c r="S8" s="146"/>
      <c r="T8" s="146"/>
      <c r="U8" s="146"/>
      <c r="X8" s="146"/>
      <c r="Y8" s="146"/>
      <c r="Z8" s="146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7"/>
      <c r="R9" s="147"/>
      <c r="S9" s="147"/>
      <c r="T9" s="147"/>
      <c r="U9" s="147"/>
      <c r="V9" s="148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7"/>
      <c r="R10" s="147"/>
      <c r="S10" s="147"/>
      <c r="T10" s="147"/>
      <c r="U10" s="147"/>
      <c r="V10" s="148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7"/>
      <c r="R11" s="147"/>
      <c r="S11" s="147"/>
      <c r="T11" s="147"/>
      <c r="U11" s="147"/>
      <c r="V11" s="148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7"/>
      <c r="R12" s="147"/>
      <c r="S12" s="147"/>
      <c r="T12" s="147"/>
      <c r="U12" s="147"/>
      <c r="V12" s="148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7"/>
      <c r="R13" s="147"/>
      <c r="S13" s="147"/>
      <c r="T13" s="147"/>
      <c r="U13" s="147"/>
      <c r="V13" s="148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7"/>
      <c r="R14" s="147"/>
      <c r="S14" s="147"/>
      <c r="T14" s="147"/>
      <c r="U14" s="147"/>
      <c r="V14" s="148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7"/>
      <c r="R15" s="147"/>
      <c r="S15" s="147"/>
      <c r="T15" s="147"/>
      <c r="U15" s="147"/>
      <c r="V15" s="148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7"/>
      <c r="R16" s="147"/>
      <c r="S16" s="147"/>
      <c r="T16" s="147"/>
      <c r="U16" s="147"/>
      <c r="V16" s="148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7"/>
      <c r="R17" s="147"/>
      <c r="S17" s="147"/>
      <c r="T17" s="147"/>
      <c r="U17" s="147"/>
      <c r="V17" s="148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7"/>
      <c r="R18" s="147"/>
      <c r="S18" s="147"/>
      <c r="T18" s="147"/>
      <c r="U18" s="147"/>
      <c r="V18" s="148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7"/>
      <c r="R19" s="147"/>
      <c r="S19" s="147"/>
      <c r="T19" s="147"/>
      <c r="U19" s="147"/>
      <c r="V19" s="148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7"/>
      <c r="R20" s="147"/>
      <c r="S20" s="147"/>
      <c r="T20" s="147"/>
      <c r="U20" s="147"/>
      <c r="V20" s="148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7"/>
      <c r="R21" s="147"/>
      <c r="S21" s="147"/>
      <c r="T21" s="147"/>
      <c r="U21" s="147"/>
      <c r="V21" s="148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7"/>
      <c r="R22" s="147"/>
      <c r="S22" s="147"/>
      <c r="T22" s="147"/>
      <c r="U22" s="147"/>
      <c r="V22" s="148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7"/>
      <c r="R23" s="147"/>
      <c r="S23" s="147"/>
      <c r="T23" s="147"/>
      <c r="U23" s="147"/>
      <c r="V23" s="148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7"/>
      <c r="R24" s="147"/>
      <c r="S24" s="147"/>
      <c r="T24" s="147"/>
      <c r="U24" s="147"/>
      <c r="V24" s="148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7"/>
      <c r="R25" s="147"/>
      <c r="S25" s="147"/>
      <c r="T25" s="147"/>
      <c r="U25" s="147"/>
      <c r="V25" s="148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7"/>
      <c r="R26" s="147"/>
      <c r="S26" s="147"/>
      <c r="T26" s="147"/>
      <c r="U26" s="147"/>
      <c r="V26" s="148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7"/>
      <c r="R27" s="147"/>
      <c r="S27" s="147"/>
      <c r="T27" s="147"/>
      <c r="U27" s="147"/>
      <c r="V27" s="148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7"/>
      <c r="R28" s="147"/>
      <c r="S28" s="147"/>
      <c r="T28" s="147"/>
      <c r="U28" s="147"/>
      <c r="V28" s="148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7"/>
      <c r="R29" s="147"/>
      <c r="S29" s="147"/>
      <c r="T29" s="147"/>
      <c r="U29" s="147"/>
      <c r="V29" s="148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7"/>
      <c r="R30" s="147"/>
      <c r="S30" s="147"/>
      <c r="T30" s="147"/>
      <c r="U30" s="147"/>
      <c r="V30" s="148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7"/>
      <c r="R31" s="147"/>
      <c r="S31" s="147"/>
      <c r="T31" s="147"/>
      <c r="U31" s="147"/>
      <c r="V31" s="148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7"/>
      <c r="R32" s="147"/>
      <c r="S32" s="147"/>
      <c r="T32" s="147"/>
      <c r="U32" s="147"/>
      <c r="V32" s="148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7"/>
      <c r="R33" s="147"/>
      <c r="S33" s="147"/>
      <c r="T33" s="147"/>
      <c r="U33" s="147"/>
      <c r="V33" s="148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7"/>
      <c r="R34" s="147"/>
      <c r="S34" s="147"/>
      <c r="T34" s="147"/>
      <c r="U34" s="147"/>
      <c r="V34" s="148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7"/>
      <c r="R35" s="147"/>
      <c r="S35" s="147"/>
      <c r="T35" s="147"/>
      <c r="U35" s="147"/>
      <c r="V35" s="148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7"/>
      <c r="R36" s="147"/>
      <c r="S36" s="147"/>
      <c r="T36" s="147"/>
      <c r="U36" s="147"/>
      <c r="V36" s="148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7"/>
      <c r="R37" s="147"/>
      <c r="S37" s="147"/>
      <c r="T37" s="147"/>
      <c r="U37" s="147"/>
      <c r="V37" s="148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7"/>
      <c r="R38" s="147"/>
      <c r="S38" s="147"/>
      <c r="T38" s="147"/>
      <c r="U38" s="147"/>
      <c r="V38" s="148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7"/>
      <c r="R39" s="147"/>
      <c r="S39" s="147"/>
      <c r="T39" s="147"/>
      <c r="U39" s="147"/>
      <c r="V39" s="148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7"/>
      <c r="R40" s="147"/>
      <c r="S40" s="147"/>
      <c r="T40" s="147"/>
      <c r="U40" s="147"/>
      <c r="V40" s="148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7"/>
      <c r="R41" s="147"/>
      <c r="S41" s="147"/>
      <c r="T41" s="147"/>
      <c r="U41" s="147"/>
      <c r="V41" s="148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7"/>
      <c r="R42" s="147"/>
      <c r="S42" s="147"/>
      <c r="T42" s="147"/>
      <c r="U42" s="147"/>
      <c r="V42" s="148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7"/>
      <c r="R43" s="147"/>
      <c r="S43" s="147"/>
      <c r="T43" s="147"/>
      <c r="U43" s="147"/>
      <c r="V43" s="148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7"/>
      <c r="R44" s="147"/>
      <c r="S44" s="147"/>
      <c r="T44" s="147"/>
      <c r="U44" s="147"/>
      <c r="V44" s="148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7"/>
      <c r="R45" s="147"/>
      <c r="S45" s="147"/>
      <c r="T45" s="147"/>
      <c r="U45" s="147"/>
      <c r="V45" s="148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7"/>
      <c r="R46" s="147"/>
      <c r="S46" s="147"/>
      <c r="T46" s="147"/>
      <c r="U46" s="147"/>
      <c r="V46" s="148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7"/>
      <c r="R47" s="147"/>
      <c r="S47" s="147"/>
      <c r="T47" s="147"/>
      <c r="U47" s="147"/>
      <c r="V47" s="148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7"/>
      <c r="R48" s="147"/>
      <c r="S48" s="147"/>
      <c r="T48" s="147"/>
      <c r="U48" s="147"/>
      <c r="V48" s="148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7"/>
      <c r="R49" s="147"/>
      <c r="S49" s="147"/>
      <c r="T49" s="147"/>
      <c r="U49" s="147"/>
      <c r="V49" s="148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7"/>
      <c r="R50" s="147"/>
      <c r="S50" s="147"/>
      <c r="T50" s="147"/>
      <c r="U50" s="147"/>
      <c r="V50" s="148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7"/>
      <c r="R51" s="147"/>
      <c r="S51" s="147"/>
      <c r="T51" s="147"/>
      <c r="U51" s="147"/>
      <c r="V51" s="148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7"/>
      <c r="R52" s="147"/>
      <c r="S52" s="147"/>
      <c r="T52" s="147"/>
      <c r="U52" s="147"/>
      <c r="V52" s="148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7"/>
      <c r="R53" s="147"/>
      <c r="S53" s="147"/>
      <c r="T53" s="147"/>
      <c r="U53" s="147"/>
      <c r="V53" s="148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7"/>
      <c r="R54" s="147"/>
      <c r="S54" s="147"/>
      <c r="T54" s="147"/>
      <c r="U54" s="147"/>
      <c r="V54" s="148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7"/>
      <c r="R55" s="147"/>
      <c r="S55" s="147"/>
      <c r="T55" s="147"/>
      <c r="U55" s="147"/>
      <c r="V55" s="148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7"/>
      <c r="R56" s="147"/>
      <c r="S56" s="147"/>
      <c r="T56" s="147"/>
      <c r="U56" s="147"/>
      <c r="V56" s="148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7"/>
      <c r="R57" s="147"/>
      <c r="S57" s="147"/>
      <c r="T57" s="147"/>
      <c r="U57" s="147"/>
      <c r="V57" s="148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7"/>
      <c r="R58" s="147"/>
      <c r="S58" s="147"/>
      <c r="T58" s="147"/>
      <c r="U58" s="147"/>
      <c r="V58" s="148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7"/>
      <c r="R59" s="147"/>
      <c r="S59" s="147"/>
      <c r="T59" s="147"/>
      <c r="U59" s="147"/>
      <c r="V59" s="148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7"/>
      <c r="R60" s="147"/>
      <c r="S60" s="147"/>
      <c r="T60" s="147"/>
      <c r="U60" s="147"/>
      <c r="V60" s="148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7"/>
      <c r="R61" s="147"/>
      <c r="S61" s="147"/>
      <c r="T61" s="147"/>
      <c r="U61" s="147"/>
      <c r="V61" s="148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7"/>
      <c r="R62" s="147"/>
      <c r="S62" s="147"/>
      <c r="T62" s="147"/>
      <c r="U62" s="147"/>
      <c r="V62" s="148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7"/>
      <c r="R63" s="147"/>
      <c r="S63" s="147"/>
      <c r="T63" s="147"/>
      <c r="U63" s="147"/>
      <c r="V63" s="148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-8.7384323191771855</v>
      </c>
      <c r="O64" s="62">
        <f>'Data 3'!I60-'Data 3'!I48</f>
        <v>-12.778205001545473</v>
      </c>
      <c r="P64" s="64"/>
      <c r="Q64" s="147"/>
      <c r="R64" s="147"/>
      <c r="S64" s="147"/>
      <c r="T64" s="147"/>
      <c r="U64" s="147"/>
      <c r="V64" s="148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7"/>
      <c r="R65" s="147"/>
      <c r="S65" s="147"/>
      <c r="T65" s="147"/>
      <c r="U65" s="147"/>
      <c r="V65" s="148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7"/>
      <c r="R66" s="147"/>
      <c r="S66" s="147"/>
      <c r="T66" s="147"/>
      <c r="U66" s="147"/>
      <c r="V66" s="148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7"/>
      <c r="R67" s="147"/>
      <c r="S67" s="147"/>
      <c r="T67" s="147"/>
      <c r="U67" s="147"/>
      <c r="V67" s="148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7"/>
      <c r="R68" s="147"/>
      <c r="S68" s="147"/>
      <c r="T68" s="147"/>
      <c r="U68" s="147"/>
      <c r="V68" s="148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7"/>
      <c r="R69" s="147"/>
      <c r="S69" s="147"/>
      <c r="T69" s="147"/>
      <c r="U69" s="147"/>
      <c r="V69" s="148"/>
      <c r="X69" s="65"/>
      <c r="Y69" s="65"/>
      <c r="Z69" s="65"/>
    </row>
    <row r="70" spans="5:26">
      <c r="O70" s="60"/>
      <c r="P70" s="64"/>
      <c r="Q70" s="147"/>
      <c r="R70" s="147"/>
      <c r="S70" s="147"/>
      <c r="T70" s="147"/>
      <c r="U70" s="147"/>
      <c r="V70" s="148"/>
      <c r="X70" s="65"/>
      <c r="Y70" s="65"/>
      <c r="Z70" s="65"/>
    </row>
    <row r="71" spans="5:26">
      <c r="O71" s="60"/>
      <c r="P71" s="64"/>
      <c r="Q71" s="147"/>
      <c r="R71" s="147"/>
      <c r="S71" s="147"/>
      <c r="T71" s="147"/>
      <c r="U71" s="147"/>
      <c r="V71" s="148"/>
      <c r="X71" s="65"/>
      <c r="Y71" s="65"/>
      <c r="Z71" s="65"/>
    </row>
    <row r="72" spans="5:26">
      <c r="O72" s="60"/>
      <c r="P72" s="64"/>
      <c r="Q72" s="147"/>
      <c r="R72" s="147"/>
      <c r="S72" s="147"/>
      <c r="T72" s="147"/>
      <c r="U72" s="147"/>
      <c r="V72" s="148"/>
      <c r="X72" s="65"/>
      <c r="Y72" s="65"/>
      <c r="Z72" s="65"/>
    </row>
    <row r="73" spans="5:26">
      <c r="O73" s="60"/>
      <c r="P73" s="64"/>
      <c r="Q73" s="147"/>
      <c r="R73" s="147"/>
      <c r="S73" s="147"/>
      <c r="T73" s="147"/>
      <c r="U73" s="147"/>
      <c r="V73" s="148"/>
      <c r="X73" s="65"/>
      <c r="Y73" s="65"/>
      <c r="Z73" s="65"/>
    </row>
    <row r="74" spans="5:26">
      <c r="O74" s="60"/>
      <c r="P74" s="64"/>
      <c r="Q74" s="147"/>
      <c r="R74" s="147"/>
      <c r="S74" s="147"/>
      <c r="T74" s="147"/>
      <c r="U74" s="147"/>
      <c r="V74" s="148"/>
      <c r="X74" s="65"/>
      <c r="Y74" s="65"/>
      <c r="Z74" s="65"/>
    </row>
    <row r="75" spans="5:26">
      <c r="O75" s="60"/>
      <c r="P75" s="64"/>
      <c r="Q75" s="147"/>
      <c r="R75" s="147"/>
      <c r="S75" s="147"/>
      <c r="T75" s="147"/>
      <c r="U75" s="147"/>
      <c r="V75" s="148"/>
      <c r="X75" s="65"/>
      <c r="Y75" s="65"/>
      <c r="Z75" s="65"/>
    </row>
    <row r="76" spans="5:26">
      <c r="O76" s="60"/>
      <c r="P76" s="64"/>
      <c r="Q76" s="147"/>
      <c r="R76" s="147"/>
      <c r="S76" s="147"/>
      <c r="T76" s="147"/>
      <c r="U76" s="147"/>
      <c r="V76" s="148"/>
      <c r="X76" s="65"/>
      <c r="Y76" s="65"/>
      <c r="Z76" s="65"/>
    </row>
    <row r="77" spans="5:26">
      <c r="O77" s="60"/>
      <c r="P77" s="64"/>
      <c r="Q77" s="147"/>
      <c r="R77" s="147"/>
      <c r="S77" s="147"/>
      <c r="T77" s="147"/>
      <c r="U77" s="147"/>
      <c r="V77" s="148"/>
      <c r="X77" s="65"/>
      <c r="Y77" s="65"/>
      <c r="Z77" s="65"/>
    </row>
    <row r="78" spans="5:26">
      <c r="O78" s="60"/>
      <c r="P78" s="64"/>
      <c r="Q78" s="147"/>
      <c r="R78" s="147"/>
      <c r="S78" s="147"/>
      <c r="T78" s="147"/>
      <c r="U78" s="147"/>
      <c r="V78" s="148"/>
      <c r="X78" s="65"/>
      <c r="Y78" s="65"/>
      <c r="Z78" s="65"/>
    </row>
    <row r="79" spans="5:26">
      <c r="O79" s="60"/>
      <c r="P79" s="64"/>
      <c r="Q79" s="147"/>
      <c r="R79" s="147"/>
      <c r="S79" s="147"/>
      <c r="T79" s="147"/>
      <c r="U79" s="147"/>
      <c r="V79" s="148"/>
      <c r="X79" s="65"/>
      <c r="Y79" s="65"/>
      <c r="Z79" s="65"/>
    </row>
    <row r="80" spans="5:26">
      <c r="O80" s="60"/>
      <c r="P80" s="64"/>
      <c r="Q80" s="147"/>
      <c r="R80" s="147"/>
      <c r="S80" s="147"/>
      <c r="T80" s="147"/>
      <c r="U80" s="147"/>
      <c r="V80" s="148"/>
      <c r="X80" s="65"/>
      <c r="Y80" s="65"/>
      <c r="Z80" s="65"/>
    </row>
    <row r="81" spans="15:26">
      <c r="O81" s="60"/>
      <c r="P81" s="64"/>
      <c r="Q81" s="147"/>
      <c r="R81" s="147"/>
      <c r="S81" s="147"/>
      <c r="T81" s="147"/>
      <c r="U81" s="147"/>
      <c r="V81" s="148"/>
      <c r="X81" s="65"/>
      <c r="Y81" s="65"/>
      <c r="Z81" s="65"/>
    </row>
    <row r="82" spans="15:26">
      <c r="O82" s="60"/>
      <c r="P82" s="64"/>
      <c r="Q82" s="147"/>
      <c r="R82" s="147"/>
      <c r="S82" s="147"/>
      <c r="T82" s="147"/>
      <c r="U82" s="147"/>
      <c r="V82" s="148"/>
      <c r="X82" s="65"/>
      <c r="Y82" s="65"/>
      <c r="Z82" s="65"/>
    </row>
    <row r="83" spans="15:26">
      <c r="O83" s="60"/>
      <c r="P83" s="64"/>
      <c r="Q83" s="147"/>
      <c r="R83" s="147"/>
      <c r="S83" s="147"/>
      <c r="T83" s="147"/>
      <c r="U83" s="147"/>
      <c r="V83" s="148"/>
      <c r="X83" s="65"/>
      <c r="Y83" s="65"/>
      <c r="Z83" s="65"/>
    </row>
    <row r="84" spans="15:26">
      <c r="O84" s="61"/>
      <c r="P84" s="64"/>
      <c r="Q84" s="147"/>
      <c r="R84" s="147"/>
      <c r="S84" s="147"/>
      <c r="T84" s="147"/>
      <c r="U84" s="147"/>
      <c r="V84" s="148"/>
      <c r="X84" s="65"/>
      <c r="Y84" s="65"/>
      <c r="Z84" s="65"/>
    </row>
    <row r="85" spans="15:26">
      <c r="O85" s="61">
        <v>42248</v>
      </c>
      <c r="P85" s="64"/>
      <c r="Q85" s="147"/>
      <c r="R85" s="147"/>
      <c r="S85" s="147"/>
      <c r="T85" s="147"/>
      <c r="U85" s="147"/>
      <c r="V85" s="148"/>
      <c r="X85" s="65"/>
      <c r="Y85" s="65"/>
      <c r="Z85" s="65"/>
    </row>
    <row r="86" spans="15:26">
      <c r="O86" s="60"/>
      <c r="P86" s="64"/>
      <c r="Q86" s="147"/>
      <c r="R86" s="147"/>
      <c r="S86" s="147"/>
      <c r="T86" s="147"/>
      <c r="U86" s="147"/>
      <c r="V86" s="148"/>
      <c r="X86" s="65"/>
      <c r="Y86" s="65"/>
      <c r="Z86" s="65"/>
    </row>
    <row r="87" spans="15:26">
      <c r="O87" s="60"/>
      <c r="P87" s="64"/>
      <c r="Q87" s="147"/>
      <c r="R87" s="147"/>
      <c r="S87" s="147"/>
      <c r="T87" s="147"/>
      <c r="U87" s="147"/>
      <c r="V87" s="148"/>
      <c r="X87" s="65"/>
      <c r="Y87" s="65"/>
      <c r="Z87" s="65"/>
    </row>
    <row r="88" spans="15:26">
      <c r="O88" s="60"/>
      <c r="P88" s="64"/>
      <c r="Q88" s="147"/>
      <c r="R88" s="147"/>
      <c r="S88" s="147"/>
      <c r="T88" s="147"/>
      <c r="U88" s="147"/>
      <c r="V88" s="148"/>
      <c r="X88" s="65"/>
      <c r="Y88" s="65"/>
      <c r="Z88" s="65"/>
    </row>
    <row r="89" spans="15:26">
      <c r="O89" s="60"/>
      <c r="P89" s="64"/>
      <c r="Q89" s="147"/>
      <c r="R89" s="147"/>
      <c r="S89" s="147"/>
      <c r="T89" s="147"/>
      <c r="U89" s="147"/>
      <c r="V89" s="148"/>
      <c r="X89" s="65"/>
      <c r="Y89" s="65"/>
      <c r="Z89" s="65"/>
    </row>
    <row r="90" spans="15:26">
      <c r="O90" s="60"/>
      <c r="P90" s="64"/>
      <c r="Q90" s="147"/>
      <c r="R90" s="147"/>
      <c r="S90" s="147"/>
      <c r="T90" s="147"/>
      <c r="U90" s="147"/>
      <c r="V90" s="148"/>
      <c r="X90" s="65"/>
      <c r="Y90" s="65"/>
      <c r="Z90" s="65"/>
    </row>
    <row r="91" spans="15:26">
      <c r="O91" s="60"/>
      <c r="P91" s="64"/>
      <c r="Q91" s="147"/>
      <c r="R91" s="147"/>
      <c r="S91" s="147"/>
      <c r="T91" s="147"/>
      <c r="U91" s="147"/>
      <c r="V91" s="148"/>
      <c r="X91" s="65"/>
      <c r="Y91" s="65"/>
      <c r="Z91" s="65"/>
    </row>
    <row r="92" spans="15:26">
      <c r="O92" s="60"/>
      <c r="P92" s="64"/>
      <c r="Q92" s="147"/>
      <c r="R92" s="147"/>
      <c r="S92" s="147"/>
      <c r="T92" s="147"/>
      <c r="U92" s="147"/>
      <c r="V92" s="148"/>
      <c r="X92" s="65"/>
      <c r="Y92" s="65"/>
      <c r="Z92" s="65"/>
    </row>
    <row r="93" spans="15:26">
      <c r="O93" s="60"/>
      <c r="P93" s="64"/>
      <c r="Q93" s="147"/>
      <c r="R93" s="147"/>
      <c r="S93" s="147"/>
      <c r="T93" s="147"/>
      <c r="U93" s="147"/>
      <c r="V93" s="148"/>
      <c r="X93" s="65"/>
      <c r="Y93" s="65"/>
      <c r="Z93" s="65"/>
    </row>
    <row r="94" spans="15:26">
      <c r="O94" s="60"/>
      <c r="P94" s="64"/>
      <c r="Q94" s="147"/>
      <c r="R94" s="147"/>
      <c r="S94" s="147"/>
      <c r="T94" s="147"/>
      <c r="U94" s="147"/>
      <c r="V94" s="148"/>
      <c r="X94" s="65"/>
      <c r="Y94" s="65"/>
      <c r="Z94" s="65"/>
    </row>
    <row r="95" spans="15:26">
      <c r="O95" s="60"/>
      <c r="P95" s="64"/>
      <c r="Q95" s="147"/>
      <c r="R95" s="147"/>
      <c r="S95" s="147"/>
      <c r="T95" s="147"/>
      <c r="U95" s="147"/>
      <c r="V95" s="148"/>
      <c r="X95" s="65"/>
      <c r="Y95" s="65"/>
      <c r="Z95" s="65"/>
    </row>
    <row r="96" spans="15:26">
      <c r="O96" s="60"/>
      <c r="P96" s="64"/>
      <c r="Q96" s="147"/>
      <c r="R96" s="147"/>
      <c r="S96" s="147"/>
      <c r="T96" s="147"/>
      <c r="U96" s="147"/>
      <c r="V96" s="148"/>
      <c r="X96" s="65"/>
      <c r="Y96" s="65"/>
      <c r="Z96" s="65"/>
    </row>
    <row r="97" spans="15:26">
      <c r="O97" s="60"/>
      <c r="P97" s="64"/>
      <c r="Q97" s="147"/>
      <c r="R97" s="147"/>
      <c r="S97" s="147"/>
      <c r="T97" s="147"/>
      <c r="U97" s="147"/>
      <c r="V97" s="148"/>
      <c r="X97" s="65"/>
      <c r="Y97" s="65"/>
      <c r="Z97" s="65"/>
    </row>
    <row r="98" spans="15:26">
      <c r="O98" s="60"/>
      <c r="P98" s="64"/>
      <c r="Q98" s="147"/>
      <c r="R98" s="147"/>
      <c r="S98" s="147"/>
      <c r="T98" s="147"/>
      <c r="U98" s="147"/>
      <c r="V98" s="148"/>
      <c r="X98" s="65"/>
      <c r="Y98" s="65"/>
      <c r="Z98" s="65"/>
    </row>
    <row r="99" spans="15:26">
      <c r="O99" s="60"/>
      <c r="P99" s="64"/>
      <c r="Q99" s="147"/>
      <c r="R99" s="147"/>
      <c r="S99" s="147"/>
      <c r="T99" s="147"/>
      <c r="U99" s="147"/>
      <c r="V99" s="148"/>
      <c r="X99" s="65"/>
      <c r="Y99" s="65"/>
      <c r="Z99" s="65"/>
    </row>
    <row r="100" spans="15:26">
      <c r="O100" s="60"/>
      <c r="P100" s="64"/>
      <c r="Q100" s="147"/>
      <c r="R100" s="147"/>
      <c r="S100" s="147"/>
      <c r="T100" s="147"/>
      <c r="U100" s="147"/>
      <c r="V100" s="148"/>
      <c r="X100" s="65"/>
      <c r="Y100" s="65"/>
      <c r="Z100" s="65"/>
    </row>
    <row r="101" spans="15:26">
      <c r="O101" s="60"/>
      <c r="P101" s="64"/>
      <c r="Q101" s="147"/>
      <c r="R101" s="147"/>
      <c r="S101" s="147"/>
      <c r="T101" s="147"/>
      <c r="U101" s="147"/>
      <c r="V101" s="148"/>
      <c r="X101" s="65"/>
      <c r="Y101" s="65"/>
      <c r="Z101" s="65"/>
    </row>
    <row r="102" spans="15:26">
      <c r="O102" s="60"/>
      <c r="P102" s="64"/>
      <c r="Q102" s="147"/>
      <c r="R102" s="147"/>
      <c r="S102" s="147"/>
      <c r="T102" s="147"/>
      <c r="U102" s="147"/>
      <c r="V102" s="148"/>
      <c r="X102" s="65"/>
      <c r="Y102" s="65"/>
      <c r="Z102" s="65"/>
    </row>
    <row r="103" spans="15:26">
      <c r="O103" s="60"/>
      <c r="P103" s="64"/>
      <c r="Q103" s="147"/>
      <c r="R103" s="147"/>
      <c r="S103" s="147"/>
      <c r="T103" s="147"/>
      <c r="U103" s="147"/>
      <c r="V103" s="148"/>
      <c r="X103" s="65"/>
      <c r="Y103" s="65"/>
      <c r="Z103" s="65"/>
    </row>
    <row r="104" spans="15:26">
      <c r="O104" s="60"/>
      <c r="P104" s="64"/>
      <c r="Q104" s="147"/>
      <c r="R104" s="147"/>
      <c r="S104" s="147"/>
      <c r="T104" s="147"/>
      <c r="U104" s="147"/>
      <c r="V104" s="148"/>
      <c r="X104" s="65"/>
      <c r="Y104" s="65"/>
      <c r="Z104" s="65"/>
    </row>
    <row r="105" spans="15:26">
      <c r="O105" s="60"/>
      <c r="P105" s="64"/>
      <c r="Q105" s="147"/>
      <c r="R105" s="147"/>
      <c r="S105" s="147"/>
      <c r="T105" s="147"/>
      <c r="U105" s="147"/>
      <c r="V105" s="148"/>
      <c r="X105" s="65"/>
      <c r="Y105" s="65"/>
      <c r="Z105" s="65"/>
    </row>
    <row r="106" spans="15:26">
      <c r="O106" s="60"/>
      <c r="P106" s="64"/>
      <c r="Q106" s="147"/>
      <c r="R106" s="147"/>
      <c r="S106" s="147"/>
      <c r="T106" s="147"/>
      <c r="U106" s="147"/>
      <c r="V106" s="148"/>
      <c r="X106" s="65"/>
      <c r="Y106" s="65"/>
      <c r="Z106" s="65"/>
    </row>
    <row r="107" spans="15:26">
      <c r="O107" s="60"/>
      <c r="P107" s="64"/>
      <c r="Q107" s="147"/>
      <c r="R107" s="147"/>
      <c r="S107" s="147"/>
      <c r="T107" s="147"/>
      <c r="U107" s="147"/>
      <c r="V107" s="148"/>
      <c r="X107" s="65"/>
      <c r="Y107" s="65"/>
      <c r="Z107" s="65"/>
    </row>
    <row r="108" spans="15:26">
      <c r="O108" s="60"/>
      <c r="P108" s="64"/>
      <c r="Q108" s="147"/>
      <c r="R108" s="147"/>
      <c r="S108" s="147"/>
      <c r="T108" s="147"/>
      <c r="U108" s="147"/>
      <c r="V108" s="148"/>
      <c r="X108" s="65"/>
      <c r="Y108" s="65"/>
      <c r="Z108" s="65"/>
    </row>
    <row r="109" spans="15:26">
      <c r="O109" s="60"/>
      <c r="P109" s="64"/>
      <c r="Q109" s="147"/>
      <c r="R109" s="147"/>
      <c r="S109" s="147"/>
      <c r="T109" s="147"/>
      <c r="U109" s="147"/>
      <c r="V109" s="148"/>
      <c r="X109" s="65"/>
      <c r="Y109" s="65"/>
      <c r="Z109" s="65"/>
    </row>
    <row r="110" spans="15:26">
      <c r="O110" s="60"/>
      <c r="P110" s="64"/>
      <c r="Q110" s="147"/>
      <c r="R110" s="147"/>
      <c r="S110" s="147"/>
      <c r="T110" s="147"/>
      <c r="U110" s="147"/>
      <c r="V110" s="148"/>
      <c r="X110" s="65"/>
      <c r="Y110" s="65"/>
      <c r="Z110" s="65"/>
    </row>
    <row r="111" spans="15:26">
      <c r="O111" s="60"/>
      <c r="P111" s="64"/>
      <c r="Q111" s="147"/>
      <c r="R111" s="147"/>
      <c r="S111" s="147"/>
      <c r="T111" s="147"/>
      <c r="U111" s="147"/>
      <c r="V111" s="148"/>
      <c r="X111" s="65"/>
      <c r="Y111" s="65"/>
      <c r="Z111" s="65"/>
    </row>
    <row r="112" spans="15:26">
      <c r="O112" s="60"/>
      <c r="P112" s="64"/>
      <c r="Q112" s="147"/>
      <c r="R112" s="147"/>
      <c r="S112" s="147"/>
      <c r="T112" s="147"/>
      <c r="U112" s="147"/>
      <c r="V112" s="148"/>
      <c r="X112" s="65"/>
      <c r="Y112" s="65"/>
      <c r="Z112" s="65"/>
    </row>
    <row r="113" spans="15:26">
      <c r="O113" s="60"/>
      <c r="P113" s="64"/>
      <c r="Q113" s="147"/>
      <c r="R113" s="147"/>
      <c r="S113" s="147"/>
      <c r="T113" s="147"/>
      <c r="U113" s="147"/>
      <c r="V113" s="148"/>
      <c r="X113" s="65"/>
      <c r="Y113" s="65"/>
      <c r="Z113" s="65"/>
    </row>
    <row r="114" spans="15:26">
      <c r="O114" s="60"/>
      <c r="P114" s="64"/>
      <c r="Q114" s="147"/>
      <c r="R114" s="147"/>
      <c r="S114" s="147"/>
      <c r="T114" s="147"/>
      <c r="U114" s="147"/>
      <c r="V114" s="148"/>
      <c r="X114" s="65"/>
      <c r="Y114" s="65"/>
      <c r="Z114" s="65"/>
    </row>
    <row r="115" spans="15:26">
      <c r="O115" s="61">
        <v>42278</v>
      </c>
      <c r="P115" s="64"/>
      <c r="Q115" s="147"/>
      <c r="R115" s="147"/>
      <c r="S115" s="147"/>
      <c r="T115" s="147"/>
      <c r="U115" s="147"/>
      <c r="V115" s="148"/>
      <c r="X115" s="65"/>
      <c r="Y115" s="65"/>
      <c r="Z115" s="65"/>
    </row>
    <row r="116" spans="15:26">
      <c r="O116" s="61"/>
      <c r="P116" s="64"/>
      <c r="Q116" s="147"/>
      <c r="R116" s="147"/>
      <c r="S116" s="147"/>
      <c r="T116" s="147"/>
      <c r="U116" s="147"/>
      <c r="V116" s="148"/>
      <c r="X116" s="65"/>
      <c r="Y116" s="65"/>
      <c r="Z116" s="65"/>
    </row>
    <row r="117" spans="15:26">
      <c r="O117" s="60"/>
      <c r="P117" s="64"/>
      <c r="Q117" s="147"/>
      <c r="R117" s="147"/>
      <c r="S117" s="147"/>
      <c r="T117" s="147"/>
      <c r="U117" s="147"/>
      <c r="V117" s="148"/>
      <c r="X117" s="65"/>
      <c r="Y117" s="65"/>
      <c r="Z117" s="65"/>
    </row>
    <row r="118" spans="15:26">
      <c r="O118" s="60"/>
      <c r="P118" s="64"/>
      <c r="Q118" s="147"/>
      <c r="R118" s="147"/>
      <c r="S118" s="147"/>
      <c r="T118" s="147"/>
      <c r="U118" s="147"/>
      <c r="V118" s="148"/>
      <c r="X118" s="65"/>
      <c r="Y118" s="65"/>
      <c r="Z118" s="65"/>
    </row>
    <row r="119" spans="15:26">
      <c r="O119" s="60"/>
      <c r="P119" s="64"/>
      <c r="Q119" s="147"/>
      <c r="R119" s="147"/>
      <c r="S119" s="147"/>
      <c r="T119" s="147"/>
      <c r="U119" s="147"/>
      <c r="V119" s="148"/>
      <c r="X119" s="65"/>
      <c r="Y119" s="65"/>
      <c r="Z119" s="65"/>
    </row>
    <row r="120" spans="15:26">
      <c r="O120" s="60"/>
      <c r="P120" s="64"/>
      <c r="Q120" s="147"/>
      <c r="R120" s="147"/>
      <c r="S120" s="147"/>
      <c r="T120" s="147"/>
      <c r="U120" s="147"/>
      <c r="V120" s="148"/>
      <c r="X120" s="65"/>
      <c r="Y120" s="65"/>
      <c r="Z120" s="65"/>
    </row>
    <row r="121" spans="15:26">
      <c r="O121" s="60"/>
      <c r="P121" s="64"/>
      <c r="Q121" s="147"/>
      <c r="R121" s="147"/>
      <c r="S121" s="147"/>
      <c r="T121" s="147"/>
      <c r="U121" s="147"/>
      <c r="V121" s="148"/>
      <c r="X121" s="65"/>
      <c r="Y121" s="65"/>
      <c r="Z121" s="65"/>
    </row>
    <row r="122" spans="15:26">
      <c r="O122" s="60"/>
      <c r="P122" s="64"/>
      <c r="Q122" s="147"/>
      <c r="R122" s="147"/>
      <c r="S122" s="147"/>
      <c r="T122" s="147"/>
      <c r="U122" s="147"/>
      <c r="V122" s="148"/>
      <c r="X122" s="65"/>
      <c r="Y122" s="65"/>
      <c r="Z122" s="65"/>
    </row>
    <row r="123" spans="15:26">
      <c r="O123" s="60"/>
      <c r="P123" s="64"/>
      <c r="Q123" s="147"/>
      <c r="R123" s="147"/>
      <c r="S123" s="147"/>
      <c r="T123" s="147"/>
      <c r="U123" s="147"/>
      <c r="V123" s="148"/>
      <c r="X123" s="65"/>
      <c r="Y123" s="65"/>
      <c r="Z123" s="65"/>
    </row>
    <row r="124" spans="15:26">
      <c r="O124" s="60"/>
      <c r="P124" s="64"/>
      <c r="Q124" s="147"/>
      <c r="R124" s="147"/>
      <c r="S124" s="147"/>
      <c r="T124" s="147"/>
      <c r="U124" s="147"/>
      <c r="V124" s="148"/>
      <c r="X124" s="65"/>
      <c r="Y124" s="65"/>
      <c r="Z124" s="65"/>
    </row>
    <row r="125" spans="15:26">
      <c r="O125" s="60"/>
      <c r="P125" s="64"/>
      <c r="Q125" s="147"/>
      <c r="R125" s="147"/>
      <c r="S125" s="147"/>
      <c r="T125" s="147"/>
      <c r="U125" s="147"/>
      <c r="V125" s="148"/>
      <c r="X125" s="65"/>
      <c r="Y125" s="65"/>
      <c r="Z125" s="65"/>
    </row>
    <row r="126" spans="15:26">
      <c r="O126" s="60"/>
      <c r="P126" s="64"/>
      <c r="Q126" s="147"/>
      <c r="R126" s="147"/>
      <c r="S126" s="147"/>
      <c r="T126" s="147"/>
      <c r="U126" s="147"/>
      <c r="V126" s="148"/>
      <c r="X126" s="65"/>
      <c r="Y126" s="65"/>
      <c r="Z126" s="65"/>
    </row>
    <row r="127" spans="15:26">
      <c r="O127" s="60"/>
      <c r="P127" s="64"/>
      <c r="Q127" s="147"/>
      <c r="R127" s="147"/>
      <c r="S127" s="147"/>
      <c r="T127" s="147"/>
      <c r="U127" s="147"/>
      <c r="V127" s="148"/>
      <c r="X127" s="65"/>
      <c r="Y127" s="65"/>
      <c r="Z127" s="65"/>
    </row>
    <row r="128" spans="15:26">
      <c r="O128" s="60"/>
      <c r="P128" s="64"/>
      <c r="Q128" s="147"/>
      <c r="R128" s="147"/>
      <c r="S128" s="147"/>
      <c r="T128" s="147"/>
      <c r="U128" s="147"/>
      <c r="V128" s="148"/>
      <c r="X128" s="65"/>
      <c r="Y128" s="65"/>
      <c r="Z128" s="65"/>
    </row>
    <row r="129" spans="15:26">
      <c r="O129" s="60"/>
      <c r="P129" s="64"/>
      <c r="Q129" s="147"/>
      <c r="R129" s="147"/>
      <c r="S129" s="147"/>
      <c r="T129" s="147"/>
      <c r="U129" s="147"/>
      <c r="V129" s="148"/>
      <c r="X129" s="65"/>
      <c r="Y129" s="65"/>
      <c r="Z129" s="65"/>
    </row>
    <row r="130" spans="15:26">
      <c r="O130" s="60"/>
      <c r="P130" s="64"/>
      <c r="Q130" s="147"/>
      <c r="R130" s="147"/>
      <c r="S130" s="147"/>
      <c r="T130" s="147"/>
      <c r="U130" s="147"/>
      <c r="V130" s="148"/>
      <c r="X130" s="65"/>
      <c r="Y130" s="65"/>
      <c r="Z130" s="65"/>
    </row>
    <row r="131" spans="15:26">
      <c r="O131" s="60"/>
      <c r="P131" s="64"/>
      <c r="Q131" s="147"/>
      <c r="R131" s="147"/>
      <c r="S131" s="147"/>
      <c r="T131" s="147"/>
      <c r="U131" s="147"/>
      <c r="V131" s="148"/>
      <c r="X131" s="65"/>
      <c r="Y131" s="65"/>
      <c r="Z131" s="65"/>
    </row>
    <row r="132" spans="15:26">
      <c r="O132" s="60"/>
      <c r="P132" s="64"/>
      <c r="Q132" s="147"/>
      <c r="R132" s="147"/>
      <c r="S132" s="147"/>
      <c r="T132" s="147"/>
      <c r="U132" s="147"/>
      <c r="V132" s="148"/>
      <c r="X132" s="65"/>
      <c r="Y132" s="65"/>
      <c r="Z132" s="65"/>
    </row>
    <row r="133" spans="15:26">
      <c r="O133" s="60"/>
      <c r="P133" s="64"/>
      <c r="Q133" s="147"/>
      <c r="R133" s="147"/>
      <c r="S133" s="147"/>
      <c r="T133" s="147"/>
      <c r="U133" s="147"/>
      <c r="V133" s="148"/>
      <c r="X133" s="65"/>
      <c r="Y133" s="65"/>
      <c r="Z133" s="65"/>
    </row>
    <row r="134" spans="15:26">
      <c r="O134" s="60"/>
      <c r="P134" s="64"/>
      <c r="Q134" s="147"/>
      <c r="R134" s="147"/>
      <c r="S134" s="147"/>
      <c r="T134" s="147"/>
      <c r="U134" s="147"/>
      <c r="V134" s="148"/>
      <c r="X134" s="65"/>
      <c r="Y134" s="65"/>
      <c r="Z134" s="65"/>
    </row>
    <row r="135" spans="15:26">
      <c r="O135" s="60"/>
      <c r="P135" s="64"/>
      <c r="Q135" s="147"/>
      <c r="R135" s="147"/>
      <c r="S135" s="147"/>
      <c r="T135" s="147"/>
      <c r="U135" s="147"/>
      <c r="V135" s="148"/>
      <c r="X135" s="65"/>
      <c r="Y135" s="65"/>
      <c r="Z135" s="65"/>
    </row>
    <row r="136" spans="15:26">
      <c r="O136" s="60"/>
      <c r="P136" s="64"/>
      <c r="Q136" s="147"/>
      <c r="R136" s="147"/>
      <c r="S136" s="147"/>
      <c r="T136" s="147"/>
      <c r="U136" s="147"/>
      <c r="V136" s="148"/>
      <c r="X136" s="65"/>
      <c r="Y136" s="65"/>
      <c r="Z136" s="65"/>
    </row>
    <row r="137" spans="15:26">
      <c r="O137" s="60"/>
      <c r="P137" s="64"/>
      <c r="Q137" s="147"/>
      <c r="R137" s="147"/>
      <c r="S137" s="147"/>
      <c r="T137" s="147"/>
      <c r="U137" s="147"/>
      <c r="V137" s="148"/>
      <c r="X137" s="65"/>
      <c r="Y137" s="65"/>
      <c r="Z137" s="65"/>
    </row>
    <row r="138" spans="15:26">
      <c r="O138" s="60"/>
      <c r="P138" s="64"/>
      <c r="Q138" s="147"/>
      <c r="R138" s="147"/>
      <c r="S138" s="147"/>
      <c r="T138" s="147"/>
      <c r="U138" s="147"/>
      <c r="V138" s="148"/>
      <c r="X138" s="65"/>
      <c r="Y138" s="65"/>
      <c r="Z138" s="65"/>
    </row>
    <row r="139" spans="15:26">
      <c r="O139" s="60"/>
      <c r="P139" s="64"/>
      <c r="Q139" s="147"/>
      <c r="R139" s="147"/>
      <c r="S139" s="147"/>
      <c r="T139" s="147"/>
      <c r="U139" s="147"/>
      <c r="V139" s="148"/>
      <c r="X139" s="65"/>
      <c r="Y139" s="65"/>
      <c r="Z139" s="65"/>
    </row>
    <row r="140" spans="15:26">
      <c r="O140" s="60"/>
      <c r="P140" s="64"/>
      <c r="Q140" s="147"/>
      <c r="R140" s="147"/>
      <c r="S140" s="147"/>
      <c r="T140" s="147"/>
      <c r="U140" s="147"/>
      <c r="V140" s="148"/>
      <c r="X140" s="65"/>
      <c r="Y140" s="65"/>
      <c r="Z140" s="65"/>
    </row>
    <row r="141" spans="15:26">
      <c r="O141" s="60"/>
      <c r="P141" s="64"/>
      <c r="Q141" s="147"/>
      <c r="R141" s="147"/>
      <c r="S141" s="147"/>
      <c r="T141" s="147"/>
      <c r="U141" s="147"/>
      <c r="V141" s="148"/>
      <c r="X141" s="65"/>
      <c r="Y141" s="65"/>
      <c r="Z141" s="65"/>
    </row>
    <row r="142" spans="15:26">
      <c r="O142" s="60"/>
      <c r="P142" s="64"/>
      <c r="Q142" s="147"/>
      <c r="R142" s="147"/>
      <c r="S142" s="147"/>
      <c r="T142" s="147"/>
      <c r="U142" s="147"/>
      <c r="V142" s="148"/>
      <c r="X142" s="65"/>
      <c r="Y142" s="65"/>
      <c r="Z142" s="65"/>
    </row>
    <row r="143" spans="15:26">
      <c r="O143" s="60"/>
      <c r="P143" s="64"/>
      <c r="Q143" s="147"/>
      <c r="R143" s="147"/>
      <c r="S143" s="147"/>
      <c r="T143" s="147"/>
      <c r="U143" s="147"/>
      <c r="V143" s="148"/>
      <c r="X143" s="65"/>
      <c r="Y143" s="65"/>
      <c r="Z143" s="65"/>
    </row>
    <row r="144" spans="15:26">
      <c r="O144" s="60"/>
      <c r="P144" s="64"/>
      <c r="Q144" s="147"/>
      <c r="R144" s="147"/>
      <c r="S144" s="147"/>
      <c r="T144" s="147"/>
      <c r="U144" s="147"/>
      <c r="V144" s="148"/>
      <c r="X144" s="65"/>
      <c r="Y144" s="65"/>
      <c r="Z144" s="65"/>
    </row>
    <row r="145" spans="15:26">
      <c r="O145" s="60"/>
      <c r="P145" s="64"/>
      <c r="Q145" s="147"/>
      <c r="R145" s="147"/>
      <c r="S145" s="147"/>
      <c r="T145" s="147"/>
      <c r="U145" s="147"/>
      <c r="V145" s="148"/>
      <c r="X145" s="65"/>
      <c r="Y145" s="65"/>
      <c r="Z145" s="65"/>
    </row>
    <row r="146" spans="15:26">
      <c r="O146" s="61">
        <v>42309</v>
      </c>
      <c r="P146" s="64"/>
      <c r="Q146" s="147"/>
      <c r="R146" s="147"/>
      <c r="S146" s="147"/>
      <c r="T146" s="147"/>
      <c r="U146" s="147"/>
      <c r="V146" s="148"/>
      <c r="X146" s="65"/>
      <c r="Y146" s="65"/>
      <c r="Z146" s="65"/>
    </row>
    <row r="147" spans="15:26">
      <c r="O147" s="61"/>
      <c r="P147" s="64"/>
      <c r="Q147" s="147"/>
      <c r="R147" s="147"/>
      <c r="S147" s="147"/>
      <c r="T147" s="147"/>
      <c r="U147" s="147"/>
      <c r="V147" s="148"/>
      <c r="X147" s="65"/>
      <c r="Y147" s="65"/>
      <c r="Z147" s="65"/>
    </row>
    <row r="148" spans="15:26">
      <c r="O148" s="60"/>
      <c r="P148" s="64"/>
      <c r="Q148" s="147"/>
      <c r="R148" s="147"/>
      <c r="S148" s="147"/>
      <c r="T148" s="147"/>
      <c r="U148" s="147"/>
      <c r="V148" s="148"/>
      <c r="X148" s="65"/>
      <c r="Y148" s="65"/>
      <c r="Z148" s="65"/>
    </row>
    <row r="149" spans="15:26">
      <c r="O149" s="60"/>
      <c r="P149" s="64"/>
      <c r="Q149" s="147"/>
      <c r="R149" s="147"/>
      <c r="S149" s="147"/>
      <c r="T149" s="147"/>
      <c r="U149" s="147"/>
      <c r="V149" s="148"/>
      <c r="X149" s="65"/>
      <c r="Y149" s="65"/>
      <c r="Z149" s="65"/>
    </row>
    <row r="150" spans="15:26">
      <c r="O150" s="60"/>
      <c r="P150" s="64"/>
      <c r="Q150" s="147"/>
      <c r="R150" s="147"/>
      <c r="S150" s="147"/>
      <c r="T150" s="147"/>
      <c r="U150" s="147"/>
      <c r="V150" s="148"/>
      <c r="X150" s="65"/>
      <c r="Y150" s="65"/>
      <c r="Z150" s="65"/>
    </row>
    <row r="151" spans="15:26">
      <c r="O151" s="60"/>
      <c r="P151" s="64"/>
      <c r="Q151" s="147"/>
      <c r="R151" s="147"/>
      <c r="S151" s="147"/>
      <c r="T151" s="147"/>
      <c r="U151" s="147"/>
      <c r="V151" s="148"/>
      <c r="X151" s="65"/>
      <c r="Y151" s="65"/>
      <c r="Z151" s="65"/>
    </row>
    <row r="152" spans="15:26">
      <c r="O152" s="60"/>
      <c r="P152" s="64"/>
      <c r="Q152" s="147"/>
      <c r="R152" s="147"/>
      <c r="S152" s="147"/>
      <c r="T152" s="147"/>
      <c r="U152" s="147"/>
      <c r="V152" s="148"/>
      <c r="X152" s="65"/>
      <c r="Y152" s="65"/>
      <c r="Z152" s="65"/>
    </row>
    <row r="153" spans="15:26">
      <c r="O153" s="60"/>
      <c r="P153" s="64"/>
      <c r="Q153" s="147"/>
      <c r="R153" s="147"/>
      <c r="S153" s="147"/>
      <c r="T153" s="147"/>
      <c r="U153" s="147"/>
      <c r="V153" s="148"/>
      <c r="X153" s="65"/>
      <c r="Y153" s="65"/>
      <c r="Z153" s="65"/>
    </row>
    <row r="154" spans="15:26">
      <c r="O154" s="60"/>
      <c r="P154" s="64"/>
      <c r="Q154" s="147"/>
      <c r="R154" s="147"/>
      <c r="S154" s="147"/>
      <c r="T154" s="147"/>
      <c r="U154" s="147"/>
      <c r="V154" s="148"/>
      <c r="X154" s="65"/>
      <c r="Y154" s="65"/>
      <c r="Z154" s="65"/>
    </row>
    <row r="155" spans="15:26">
      <c r="O155" s="60"/>
      <c r="P155" s="64"/>
      <c r="Q155" s="147"/>
      <c r="R155" s="147"/>
      <c r="S155" s="147"/>
      <c r="T155" s="147"/>
      <c r="U155" s="147"/>
      <c r="V155" s="148"/>
      <c r="X155" s="65"/>
      <c r="Y155" s="65"/>
      <c r="Z155" s="65"/>
    </row>
    <row r="156" spans="15:26">
      <c r="O156" s="60"/>
      <c r="P156" s="64"/>
      <c r="Q156" s="147"/>
      <c r="R156" s="147"/>
      <c r="S156" s="147"/>
      <c r="T156" s="147"/>
      <c r="U156" s="147"/>
      <c r="V156" s="148"/>
      <c r="X156" s="65"/>
      <c r="Y156" s="65"/>
      <c r="Z156" s="65"/>
    </row>
    <row r="157" spans="15:26">
      <c r="O157" s="60"/>
      <c r="P157" s="64"/>
      <c r="Q157" s="147"/>
      <c r="R157" s="147"/>
      <c r="S157" s="147"/>
      <c r="T157" s="147"/>
      <c r="U157" s="147"/>
      <c r="V157" s="148"/>
      <c r="X157" s="65"/>
      <c r="Y157" s="65"/>
      <c r="Z157" s="65"/>
    </row>
    <row r="158" spans="15:26">
      <c r="O158" s="60"/>
      <c r="P158" s="64"/>
      <c r="Q158" s="147"/>
      <c r="R158" s="147"/>
      <c r="S158" s="147"/>
      <c r="T158" s="147"/>
      <c r="U158" s="147"/>
      <c r="V158" s="148"/>
      <c r="X158" s="65"/>
      <c r="Y158" s="65"/>
      <c r="Z158" s="65"/>
    </row>
    <row r="159" spans="15:26">
      <c r="O159" s="60"/>
      <c r="P159" s="64"/>
      <c r="Q159" s="147"/>
      <c r="R159" s="147"/>
      <c r="S159" s="147"/>
      <c r="T159" s="147"/>
      <c r="U159" s="147"/>
      <c r="V159" s="148"/>
      <c r="X159" s="65"/>
      <c r="Y159" s="65"/>
      <c r="Z159" s="65"/>
    </row>
    <row r="160" spans="15:26">
      <c r="O160" s="60"/>
      <c r="P160" s="64"/>
      <c r="Q160" s="147"/>
      <c r="R160" s="147"/>
      <c r="S160" s="147"/>
      <c r="T160" s="147"/>
      <c r="U160" s="147"/>
      <c r="V160" s="148"/>
      <c r="X160" s="65"/>
      <c r="Y160" s="65"/>
      <c r="Z160" s="65"/>
    </row>
    <row r="161" spans="15:26">
      <c r="O161" s="60"/>
      <c r="P161" s="64"/>
      <c r="Q161" s="147"/>
      <c r="R161" s="147"/>
      <c r="S161" s="147"/>
      <c r="T161" s="147"/>
      <c r="U161" s="147"/>
      <c r="V161" s="148"/>
      <c r="X161" s="65"/>
      <c r="Y161" s="65"/>
      <c r="Z161" s="65"/>
    </row>
    <row r="162" spans="15:26">
      <c r="O162" s="60"/>
      <c r="P162" s="64"/>
      <c r="Q162" s="147"/>
      <c r="R162" s="147"/>
      <c r="S162" s="147"/>
      <c r="T162" s="147"/>
      <c r="U162" s="147"/>
      <c r="V162" s="148"/>
      <c r="X162" s="65"/>
      <c r="Y162" s="65"/>
      <c r="Z162" s="65"/>
    </row>
    <row r="163" spans="15:26">
      <c r="O163" s="60"/>
      <c r="P163" s="64"/>
      <c r="Q163" s="147"/>
      <c r="R163" s="147"/>
      <c r="S163" s="147"/>
      <c r="T163" s="147"/>
      <c r="U163" s="147"/>
      <c r="V163" s="148"/>
      <c r="X163" s="65"/>
      <c r="Y163" s="65"/>
      <c r="Z163" s="65"/>
    </row>
    <row r="164" spans="15:26">
      <c r="O164" s="60"/>
      <c r="P164" s="64"/>
      <c r="Q164" s="147"/>
      <c r="R164" s="147"/>
      <c r="S164" s="147"/>
      <c r="T164" s="147"/>
      <c r="U164" s="147"/>
      <c r="V164" s="148"/>
      <c r="X164" s="65"/>
      <c r="Y164" s="65"/>
      <c r="Z164" s="65"/>
    </row>
    <row r="165" spans="15:26">
      <c r="O165" s="60"/>
      <c r="P165" s="64"/>
      <c r="Q165" s="147"/>
      <c r="R165" s="147"/>
      <c r="S165" s="147"/>
      <c r="T165" s="147"/>
      <c r="U165" s="147"/>
      <c r="V165" s="148"/>
      <c r="X165" s="65"/>
      <c r="Y165" s="65"/>
      <c r="Z165" s="65"/>
    </row>
    <row r="166" spans="15:26">
      <c r="O166" s="60"/>
      <c r="P166" s="64"/>
      <c r="Q166" s="147"/>
      <c r="R166" s="147"/>
      <c r="S166" s="147"/>
      <c r="T166" s="147"/>
      <c r="U166" s="147"/>
      <c r="V166" s="148"/>
      <c r="X166" s="65"/>
      <c r="Y166" s="65"/>
      <c r="Z166" s="65"/>
    </row>
    <row r="167" spans="15:26">
      <c r="O167" s="60"/>
      <c r="P167" s="64"/>
      <c r="Q167" s="147"/>
      <c r="R167" s="147"/>
      <c r="S167" s="147"/>
      <c r="T167" s="147"/>
      <c r="U167" s="147"/>
      <c r="V167" s="148"/>
      <c r="X167" s="65"/>
      <c r="Y167" s="65"/>
      <c r="Z167" s="65"/>
    </row>
    <row r="168" spans="15:26">
      <c r="O168" s="60"/>
      <c r="P168" s="64"/>
      <c r="Q168" s="147"/>
      <c r="R168" s="147"/>
      <c r="S168" s="147"/>
      <c r="T168" s="147"/>
      <c r="U168" s="147"/>
      <c r="V168" s="148"/>
      <c r="X168" s="65"/>
      <c r="Y168" s="65"/>
      <c r="Z168" s="65"/>
    </row>
    <row r="169" spans="15:26">
      <c r="O169" s="60"/>
      <c r="P169" s="64"/>
      <c r="Q169" s="147"/>
      <c r="R169" s="147"/>
      <c r="S169" s="147"/>
      <c r="T169" s="147"/>
      <c r="U169" s="147"/>
      <c r="V169" s="148"/>
      <c r="X169" s="65"/>
      <c r="Y169" s="65"/>
      <c r="Z169" s="65"/>
    </row>
    <row r="170" spans="15:26">
      <c r="O170" s="60"/>
      <c r="P170" s="64"/>
      <c r="Q170" s="147"/>
      <c r="R170" s="147"/>
      <c r="S170" s="147"/>
      <c r="T170" s="147"/>
      <c r="U170" s="147"/>
      <c r="V170" s="148"/>
      <c r="X170" s="65"/>
      <c r="Y170" s="65"/>
      <c r="Z170" s="65"/>
    </row>
    <row r="171" spans="15:26">
      <c r="O171" s="60"/>
      <c r="P171" s="64"/>
      <c r="Q171" s="147"/>
      <c r="R171" s="147"/>
      <c r="S171" s="147"/>
      <c r="T171" s="147"/>
      <c r="U171" s="147"/>
      <c r="V171" s="148"/>
      <c r="X171" s="65"/>
      <c r="Y171" s="65"/>
      <c r="Z171" s="65"/>
    </row>
    <row r="172" spans="15:26">
      <c r="O172" s="60"/>
      <c r="P172" s="64"/>
      <c r="Q172" s="147"/>
      <c r="R172" s="147"/>
      <c r="S172" s="147"/>
      <c r="T172" s="147"/>
      <c r="U172" s="147"/>
      <c r="V172" s="148"/>
      <c r="X172" s="65"/>
      <c r="Y172" s="65"/>
      <c r="Z172" s="65"/>
    </row>
    <row r="173" spans="15:26">
      <c r="O173" s="60"/>
      <c r="P173" s="64"/>
      <c r="Q173" s="147"/>
      <c r="R173" s="147"/>
      <c r="S173" s="147"/>
      <c r="T173" s="147"/>
      <c r="U173" s="147"/>
      <c r="V173" s="148"/>
      <c r="X173" s="65"/>
      <c r="Y173" s="65"/>
      <c r="Z173" s="65"/>
    </row>
    <row r="174" spans="15:26">
      <c r="O174" s="60"/>
      <c r="P174" s="64"/>
      <c r="Q174" s="147"/>
      <c r="R174" s="147"/>
      <c r="S174" s="147"/>
      <c r="T174" s="147"/>
      <c r="U174" s="147"/>
      <c r="V174" s="148"/>
      <c r="X174" s="65"/>
      <c r="Y174" s="65"/>
      <c r="Z174" s="65"/>
    </row>
    <row r="175" spans="15:26">
      <c r="O175" s="60"/>
      <c r="P175" s="64"/>
      <c r="Q175" s="147"/>
      <c r="R175" s="147"/>
      <c r="S175" s="147"/>
      <c r="T175" s="147"/>
      <c r="U175" s="147"/>
      <c r="V175" s="148"/>
      <c r="X175" s="65"/>
      <c r="Y175" s="65"/>
      <c r="Z175" s="65"/>
    </row>
    <row r="176" spans="15:26">
      <c r="O176" s="61">
        <v>42339</v>
      </c>
      <c r="P176" s="64"/>
      <c r="Q176" s="147"/>
      <c r="R176" s="147"/>
      <c r="S176" s="147"/>
      <c r="T176" s="147"/>
      <c r="U176" s="147"/>
      <c r="V176" s="148"/>
      <c r="X176" s="65"/>
      <c r="Y176" s="65"/>
      <c r="Z176" s="65"/>
    </row>
    <row r="177" spans="15:26">
      <c r="O177" s="61"/>
      <c r="P177" s="64"/>
      <c r="Q177" s="147"/>
      <c r="R177" s="147"/>
      <c r="S177" s="147"/>
      <c r="T177" s="147"/>
      <c r="U177" s="147"/>
      <c r="V177" s="148"/>
      <c r="X177" s="65"/>
      <c r="Y177" s="65"/>
      <c r="Z177" s="65"/>
    </row>
    <row r="178" spans="15:26">
      <c r="O178" s="60"/>
      <c r="P178" s="64"/>
      <c r="Q178" s="147"/>
      <c r="R178" s="147"/>
      <c r="S178" s="147"/>
      <c r="T178" s="147"/>
      <c r="U178" s="147"/>
      <c r="V178" s="148"/>
      <c r="X178" s="65"/>
      <c r="Y178" s="65"/>
      <c r="Z178" s="65"/>
    </row>
    <row r="179" spans="15:26">
      <c r="O179" s="60"/>
      <c r="P179" s="64"/>
      <c r="Q179" s="147"/>
      <c r="R179" s="147"/>
      <c r="S179" s="147"/>
      <c r="T179" s="147"/>
      <c r="U179" s="147"/>
      <c r="V179" s="148"/>
      <c r="X179" s="65"/>
      <c r="Y179" s="65"/>
      <c r="Z179" s="65"/>
    </row>
    <row r="180" spans="15:26">
      <c r="O180" s="60"/>
      <c r="P180" s="64"/>
      <c r="Q180" s="147"/>
      <c r="R180" s="147"/>
      <c r="S180" s="147"/>
      <c r="T180" s="147"/>
      <c r="U180" s="147"/>
      <c r="V180" s="148"/>
      <c r="X180" s="65"/>
      <c r="Y180" s="65"/>
      <c r="Z180" s="65"/>
    </row>
    <row r="181" spans="15:26">
      <c r="O181" s="60"/>
      <c r="P181" s="64"/>
      <c r="Q181" s="147"/>
      <c r="R181" s="147"/>
      <c r="S181" s="147"/>
      <c r="T181" s="147"/>
      <c r="U181" s="147"/>
      <c r="V181" s="148"/>
      <c r="X181" s="65"/>
      <c r="Y181" s="65"/>
      <c r="Z181" s="65"/>
    </row>
    <row r="182" spans="15:26">
      <c r="O182" s="60"/>
      <c r="P182" s="64"/>
      <c r="Q182" s="147"/>
      <c r="R182" s="147"/>
      <c r="S182" s="147"/>
      <c r="T182" s="147"/>
      <c r="U182" s="147"/>
      <c r="V182" s="148"/>
      <c r="X182" s="65"/>
      <c r="Y182" s="65"/>
      <c r="Z182" s="65"/>
    </row>
    <row r="183" spans="15:26">
      <c r="O183" s="60"/>
      <c r="P183" s="64"/>
      <c r="Q183" s="147"/>
      <c r="R183" s="147"/>
      <c r="S183" s="147"/>
      <c r="T183" s="147"/>
      <c r="U183" s="147"/>
      <c r="V183" s="148"/>
      <c r="X183" s="65"/>
      <c r="Y183" s="65"/>
      <c r="Z183" s="65"/>
    </row>
    <row r="184" spans="15:26">
      <c r="O184" s="60"/>
      <c r="P184" s="64"/>
      <c r="Q184" s="147"/>
      <c r="R184" s="147"/>
      <c r="S184" s="147"/>
      <c r="T184" s="147"/>
      <c r="U184" s="147"/>
      <c r="V184" s="148"/>
      <c r="X184" s="65"/>
      <c r="Y184" s="65"/>
      <c r="Z184" s="65"/>
    </row>
    <row r="185" spans="15:26">
      <c r="O185" s="60"/>
      <c r="P185" s="64"/>
      <c r="Q185" s="147"/>
      <c r="R185" s="147"/>
      <c r="S185" s="147"/>
      <c r="T185" s="147"/>
      <c r="U185" s="147"/>
      <c r="V185" s="148"/>
      <c r="X185" s="65"/>
      <c r="Y185" s="65"/>
      <c r="Z185" s="65"/>
    </row>
    <row r="186" spans="15:26">
      <c r="O186" s="60"/>
      <c r="P186" s="64"/>
      <c r="Q186" s="147"/>
      <c r="R186" s="147"/>
      <c r="S186" s="147"/>
      <c r="T186" s="147"/>
      <c r="U186" s="147"/>
      <c r="V186" s="148"/>
      <c r="X186" s="65"/>
      <c r="Y186" s="65"/>
      <c r="Z186" s="65"/>
    </row>
    <row r="187" spans="15:26">
      <c r="O187" s="60"/>
      <c r="P187" s="64"/>
      <c r="Q187" s="147"/>
      <c r="R187" s="147"/>
      <c r="S187" s="147"/>
      <c r="T187" s="147"/>
      <c r="U187" s="147"/>
      <c r="V187" s="148"/>
      <c r="X187" s="65"/>
      <c r="Y187" s="65"/>
      <c r="Z187" s="65"/>
    </row>
    <row r="188" spans="15:26">
      <c r="O188" s="60"/>
      <c r="P188" s="64"/>
      <c r="Q188" s="147"/>
      <c r="R188" s="147"/>
      <c r="S188" s="147"/>
      <c r="T188" s="147"/>
      <c r="U188" s="147"/>
      <c r="V188" s="148"/>
      <c r="X188" s="65"/>
      <c r="Y188" s="65"/>
      <c r="Z188" s="65"/>
    </row>
    <row r="189" spans="15:26">
      <c r="O189" s="60"/>
      <c r="P189" s="64"/>
      <c r="Q189" s="147"/>
      <c r="R189" s="147"/>
      <c r="S189" s="147"/>
      <c r="T189" s="147"/>
      <c r="U189" s="147"/>
      <c r="V189" s="148"/>
      <c r="X189" s="65"/>
      <c r="Y189" s="65"/>
      <c r="Z189" s="65"/>
    </row>
    <row r="190" spans="15:26">
      <c r="O190" s="60"/>
      <c r="P190" s="64"/>
      <c r="Q190" s="147"/>
      <c r="R190" s="147"/>
      <c r="S190" s="147"/>
      <c r="T190" s="147"/>
      <c r="U190" s="147"/>
      <c r="V190" s="148"/>
      <c r="X190" s="65"/>
      <c r="Y190" s="65"/>
      <c r="Z190" s="65"/>
    </row>
    <row r="191" spans="15:26">
      <c r="O191" s="60"/>
      <c r="P191" s="64"/>
      <c r="Q191" s="147"/>
      <c r="R191" s="147"/>
      <c r="S191" s="147"/>
      <c r="T191" s="147"/>
      <c r="U191" s="147"/>
      <c r="V191" s="148"/>
      <c r="X191" s="65"/>
      <c r="Y191" s="65"/>
      <c r="Z191" s="65"/>
    </row>
    <row r="192" spans="15:26">
      <c r="O192" s="60"/>
      <c r="P192" s="64"/>
      <c r="Q192" s="147"/>
      <c r="R192" s="147"/>
      <c r="S192" s="147"/>
      <c r="T192" s="147"/>
      <c r="U192" s="147"/>
      <c r="V192" s="148"/>
      <c r="X192" s="65"/>
      <c r="Y192" s="65"/>
      <c r="Z192" s="65"/>
    </row>
    <row r="193" spans="15:26">
      <c r="O193" s="60"/>
      <c r="P193" s="64"/>
      <c r="Q193" s="147"/>
      <c r="R193" s="147"/>
      <c r="S193" s="147"/>
      <c r="T193" s="147"/>
      <c r="U193" s="147"/>
      <c r="V193" s="148"/>
      <c r="X193" s="65"/>
      <c r="Y193" s="65"/>
      <c r="Z193" s="65"/>
    </row>
    <row r="194" spans="15:26">
      <c r="O194" s="60"/>
      <c r="P194" s="64"/>
      <c r="Q194" s="147"/>
      <c r="R194" s="147"/>
      <c r="S194" s="147"/>
      <c r="T194" s="147"/>
      <c r="U194" s="147"/>
      <c r="V194" s="148"/>
      <c r="X194" s="65"/>
      <c r="Y194" s="65"/>
      <c r="Z194" s="65"/>
    </row>
    <row r="195" spans="15:26">
      <c r="O195" s="60"/>
      <c r="P195" s="64"/>
      <c r="Q195" s="147"/>
      <c r="R195" s="147"/>
      <c r="S195" s="147"/>
      <c r="T195" s="147"/>
      <c r="U195" s="147"/>
      <c r="V195" s="148"/>
      <c r="X195" s="65"/>
      <c r="Y195" s="65"/>
      <c r="Z195" s="65"/>
    </row>
    <row r="196" spans="15:26">
      <c r="O196" s="60"/>
      <c r="P196" s="64"/>
      <c r="Q196" s="147"/>
      <c r="R196" s="147"/>
      <c r="S196" s="147"/>
      <c r="T196" s="147"/>
      <c r="U196" s="147"/>
      <c r="V196" s="148"/>
      <c r="X196" s="65"/>
      <c r="Y196" s="65"/>
      <c r="Z196" s="65"/>
    </row>
    <row r="197" spans="15:26">
      <c r="O197" s="60"/>
      <c r="P197" s="64"/>
      <c r="Q197" s="147"/>
      <c r="R197" s="147"/>
      <c r="S197" s="147"/>
      <c r="T197" s="147"/>
      <c r="U197" s="147"/>
      <c r="V197" s="148"/>
      <c r="X197" s="65"/>
      <c r="Y197" s="65"/>
      <c r="Z197" s="65"/>
    </row>
    <row r="198" spans="15:26">
      <c r="O198" s="60"/>
      <c r="P198" s="64"/>
      <c r="Q198" s="147"/>
      <c r="R198" s="147"/>
      <c r="S198" s="147"/>
      <c r="T198" s="147"/>
      <c r="U198" s="147"/>
      <c r="V198" s="148"/>
      <c r="X198" s="65"/>
      <c r="Y198" s="65"/>
      <c r="Z198" s="65"/>
    </row>
    <row r="199" spans="15:26">
      <c r="O199" s="60"/>
      <c r="P199" s="64"/>
      <c r="Q199" s="147"/>
      <c r="R199" s="147"/>
      <c r="S199" s="147"/>
      <c r="T199" s="147"/>
      <c r="U199" s="147"/>
      <c r="V199" s="148"/>
      <c r="X199" s="65"/>
      <c r="Y199" s="65"/>
      <c r="Z199" s="65"/>
    </row>
    <row r="200" spans="15:26">
      <c r="O200" s="60"/>
      <c r="P200" s="64"/>
      <c r="Q200" s="147"/>
      <c r="R200" s="147"/>
      <c r="S200" s="147"/>
      <c r="T200" s="147"/>
      <c r="U200" s="147"/>
      <c r="V200" s="148"/>
      <c r="X200" s="65"/>
      <c r="Y200" s="65"/>
      <c r="Z200" s="65"/>
    </row>
    <row r="201" spans="15:26">
      <c r="O201" s="60"/>
      <c r="P201" s="64"/>
      <c r="Q201" s="147"/>
      <c r="R201" s="147"/>
      <c r="S201" s="147"/>
      <c r="T201" s="147"/>
      <c r="U201" s="147"/>
      <c r="V201" s="148"/>
      <c r="X201" s="65"/>
      <c r="Y201" s="65"/>
      <c r="Z201" s="65"/>
    </row>
    <row r="202" spans="15:26">
      <c r="O202" s="60"/>
      <c r="P202" s="64"/>
      <c r="Q202" s="147"/>
      <c r="R202" s="147"/>
      <c r="S202" s="147"/>
      <c r="T202" s="147"/>
      <c r="U202" s="147"/>
      <c r="V202" s="148"/>
      <c r="X202" s="65"/>
      <c r="Y202" s="65"/>
      <c r="Z202" s="65"/>
    </row>
    <row r="203" spans="15:26">
      <c r="O203" s="60"/>
      <c r="P203" s="64"/>
      <c r="Q203" s="147"/>
      <c r="R203" s="147"/>
      <c r="S203" s="147"/>
      <c r="T203" s="147"/>
      <c r="U203" s="147"/>
      <c r="V203" s="148"/>
      <c r="X203" s="65"/>
      <c r="Y203" s="65"/>
      <c r="Z203" s="65"/>
    </row>
    <row r="204" spans="15:26">
      <c r="O204" s="60"/>
      <c r="P204" s="64"/>
      <c r="Q204" s="147"/>
      <c r="R204" s="147"/>
      <c r="S204" s="147"/>
      <c r="T204" s="147"/>
      <c r="U204" s="147"/>
      <c r="V204" s="148"/>
      <c r="X204" s="65"/>
      <c r="Y204" s="65"/>
      <c r="Z204" s="65"/>
    </row>
    <row r="205" spans="15:26">
      <c r="O205" s="60"/>
      <c r="P205" s="64"/>
      <c r="Q205" s="147"/>
      <c r="R205" s="147"/>
      <c r="S205" s="147"/>
      <c r="T205" s="147"/>
      <c r="U205" s="147"/>
      <c r="V205" s="148"/>
      <c r="X205" s="65"/>
      <c r="Y205" s="65"/>
      <c r="Z205" s="65"/>
    </row>
    <row r="206" spans="15:26">
      <c r="O206" s="60"/>
      <c r="P206" s="64"/>
      <c r="Q206" s="147"/>
      <c r="R206" s="147"/>
      <c r="S206" s="147"/>
      <c r="T206" s="147"/>
      <c r="U206" s="147"/>
      <c r="V206" s="148"/>
      <c r="X206" s="65"/>
      <c r="Y206" s="65"/>
      <c r="Z206" s="65"/>
    </row>
    <row r="207" spans="15:26">
      <c r="O207" s="61">
        <v>42370</v>
      </c>
      <c r="P207" s="64"/>
      <c r="Q207" s="147"/>
      <c r="R207" s="147"/>
      <c r="S207" s="147"/>
      <c r="T207" s="147"/>
      <c r="U207" s="147"/>
      <c r="V207" s="148"/>
      <c r="X207" s="65"/>
      <c r="Y207" s="65"/>
      <c r="Z207" s="65"/>
    </row>
    <row r="208" spans="15:26">
      <c r="O208" s="61"/>
      <c r="P208" s="64"/>
      <c r="Q208" s="147"/>
      <c r="R208" s="147"/>
      <c r="S208" s="147"/>
      <c r="T208" s="147"/>
      <c r="U208" s="147"/>
      <c r="V208" s="148"/>
      <c r="X208" s="65"/>
      <c r="Y208" s="65"/>
      <c r="Z208" s="65"/>
    </row>
    <row r="209" spans="15:26">
      <c r="O209" s="60"/>
      <c r="P209" s="64"/>
      <c r="Q209" s="147"/>
      <c r="R209" s="147"/>
      <c r="S209" s="147"/>
      <c r="T209" s="147"/>
      <c r="U209" s="147"/>
      <c r="V209" s="148"/>
      <c r="X209" s="65"/>
      <c r="Y209" s="65"/>
      <c r="Z209" s="65"/>
    </row>
    <row r="210" spans="15:26">
      <c r="O210" s="60"/>
      <c r="P210" s="64"/>
      <c r="Q210" s="147"/>
      <c r="R210" s="147"/>
      <c r="S210" s="147"/>
      <c r="T210" s="147"/>
      <c r="U210" s="147"/>
      <c r="V210" s="148"/>
      <c r="X210" s="65"/>
      <c r="Y210" s="65"/>
      <c r="Z210" s="65"/>
    </row>
    <row r="211" spans="15:26">
      <c r="O211" s="60"/>
      <c r="P211" s="64"/>
      <c r="Q211" s="147"/>
      <c r="R211" s="147"/>
      <c r="S211" s="147"/>
      <c r="T211" s="147"/>
      <c r="U211" s="147"/>
      <c r="V211" s="148"/>
      <c r="X211" s="65"/>
      <c r="Y211" s="65"/>
      <c r="Z211" s="65"/>
    </row>
    <row r="212" spans="15:26">
      <c r="O212" s="60"/>
      <c r="P212" s="64"/>
      <c r="Q212" s="147"/>
      <c r="R212" s="147"/>
      <c r="S212" s="147"/>
      <c r="T212" s="147"/>
      <c r="U212" s="147"/>
      <c r="V212" s="148"/>
      <c r="X212" s="65"/>
      <c r="Y212" s="65"/>
      <c r="Z212" s="65"/>
    </row>
    <row r="213" spans="15:26">
      <c r="O213" s="60"/>
      <c r="P213" s="64"/>
      <c r="Q213" s="147"/>
      <c r="R213" s="147"/>
      <c r="S213" s="147"/>
      <c r="T213" s="147"/>
      <c r="U213" s="147"/>
      <c r="V213" s="148"/>
      <c r="X213" s="65"/>
      <c r="Y213" s="65"/>
      <c r="Z213" s="65"/>
    </row>
    <row r="214" spans="15:26">
      <c r="O214" s="60"/>
      <c r="P214" s="64"/>
      <c r="Q214" s="147"/>
      <c r="R214" s="147"/>
      <c r="S214" s="147"/>
      <c r="T214" s="147"/>
      <c r="U214" s="147"/>
      <c r="V214" s="148"/>
      <c r="X214" s="65"/>
      <c r="Y214" s="65"/>
      <c r="Z214" s="65"/>
    </row>
    <row r="215" spans="15:26">
      <c r="O215" s="60"/>
      <c r="P215" s="64"/>
      <c r="Q215" s="147"/>
      <c r="R215" s="147"/>
      <c r="S215" s="147"/>
      <c r="T215" s="147"/>
      <c r="U215" s="147"/>
      <c r="V215" s="148"/>
      <c r="X215" s="65"/>
      <c r="Y215" s="65"/>
      <c r="Z215" s="65"/>
    </row>
    <row r="216" spans="15:26">
      <c r="O216" s="60"/>
      <c r="P216" s="64"/>
      <c r="Q216" s="147"/>
      <c r="R216" s="147"/>
      <c r="S216" s="147"/>
      <c r="T216" s="147"/>
      <c r="U216" s="147"/>
      <c r="V216" s="148"/>
      <c r="X216" s="65"/>
      <c r="Y216" s="65"/>
      <c r="Z216" s="65"/>
    </row>
    <row r="217" spans="15:26">
      <c r="O217" s="60"/>
      <c r="P217" s="64"/>
      <c r="Q217" s="147"/>
      <c r="R217" s="147"/>
      <c r="S217" s="147"/>
      <c r="T217" s="147"/>
      <c r="U217" s="147"/>
      <c r="V217" s="148"/>
      <c r="X217" s="65"/>
      <c r="Y217" s="65"/>
      <c r="Z217" s="65"/>
    </row>
    <row r="218" spans="15:26">
      <c r="O218" s="60"/>
      <c r="P218" s="64"/>
      <c r="Q218" s="147"/>
      <c r="R218" s="147"/>
      <c r="S218" s="147"/>
      <c r="T218" s="147"/>
      <c r="U218" s="147"/>
      <c r="V218" s="148"/>
      <c r="X218" s="65"/>
      <c r="Y218" s="65"/>
      <c r="Z218" s="65"/>
    </row>
    <row r="219" spans="15:26">
      <c r="O219" s="60"/>
      <c r="P219" s="64"/>
      <c r="Q219" s="147"/>
      <c r="R219" s="147"/>
      <c r="S219" s="147"/>
      <c r="T219" s="147"/>
      <c r="U219" s="147"/>
      <c r="V219" s="148"/>
      <c r="X219" s="65"/>
      <c r="Y219" s="65"/>
      <c r="Z219" s="65"/>
    </row>
    <row r="220" spans="15:26">
      <c r="O220" s="60"/>
      <c r="P220" s="64"/>
      <c r="Q220" s="147"/>
      <c r="R220" s="147"/>
      <c r="S220" s="147"/>
      <c r="T220" s="147"/>
      <c r="U220" s="147"/>
      <c r="V220" s="148"/>
      <c r="X220" s="65"/>
      <c r="Y220" s="65"/>
      <c r="Z220" s="65"/>
    </row>
    <row r="221" spans="15:26">
      <c r="O221" s="60"/>
      <c r="P221" s="64"/>
      <c r="Q221" s="147"/>
      <c r="R221" s="147"/>
      <c r="S221" s="147"/>
      <c r="T221" s="147"/>
      <c r="U221" s="147"/>
      <c r="V221" s="148"/>
      <c r="X221" s="65"/>
      <c r="Y221" s="65"/>
      <c r="Z221" s="65"/>
    </row>
    <row r="222" spans="15:26">
      <c r="O222" s="60"/>
      <c r="P222" s="64"/>
      <c r="Q222" s="147"/>
      <c r="R222" s="147"/>
      <c r="S222" s="147"/>
      <c r="T222" s="147"/>
      <c r="U222" s="147"/>
      <c r="V222" s="148"/>
      <c r="X222" s="65"/>
      <c r="Y222" s="65"/>
      <c r="Z222" s="65"/>
    </row>
    <row r="223" spans="15:26">
      <c r="O223" s="60"/>
      <c r="P223" s="64"/>
      <c r="Q223" s="147"/>
      <c r="R223" s="147"/>
      <c r="S223" s="147"/>
      <c r="T223" s="147"/>
      <c r="U223" s="147"/>
      <c r="V223" s="148"/>
      <c r="X223" s="65"/>
      <c r="Y223" s="65"/>
      <c r="Z223" s="65"/>
    </row>
    <row r="224" spans="15:26">
      <c r="O224" s="60"/>
      <c r="P224" s="64"/>
      <c r="Q224" s="147"/>
      <c r="R224" s="147"/>
      <c r="S224" s="147"/>
      <c r="T224" s="147"/>
      <c r="U224" s="147"/>
      <c r="V224" s="148"/>
      <c r="X224" s="65"/>
      <c r="Y224" s="65"/>
      <c r="Z224" s="65"/>
    </row>
    <row r="225" spans="15:26">
      <c r="O225" s="60"/>
      <c r="P225" s="64"/>
      <c r="Q225" s="147"/>
      <c r="R225" s="147"/>
      <c r="S225" s="147"/>
      <c r="T225" s="147"/>
      <c r="U225" s="147"/>
      <c r="V225" s="148"/>
      <c r="X225" s="65"/>
      <c r="Y225" s="65"/>
      <c r="Z225" s="65"/>
    </row>
    <row r="226" spans="15:26">
      <c r="O226" s="60"/>
      <c r="P226" s="64"/>
      <c r="Q226" s="147"/>
      <c r="R226" s="147"/>
      <c r="S226" s="147"/>
      <c r="T226" s="147"/>
      <c r="U226" s="147"/>
      <c r="V226" s="148"/>
      <c r="X226" s="65"/>
      <c r="Y226" s="65"/>
      <c r="Z226" s="65"/>
    </row>
    <row r="227" spans="15:26">
      <c r="O227" s="60"/>
      <c r="P227" s="64"/>
      <c r="Q227" s="147"/>
      <c r="R227" s="147"/>
      <c r="S227" s="147"/>
      <c r="T227" s="147"/>
      <c r="U227" s="147"/>
      <c r="V227" s="148"/>
      <c r="X227" s="65"/>
      <c r="Y227" s="65"/>
      <c r="Z227" s="65"/>
    </row>
    <row r="228" spans="15:26">
      <c r="O228" s="60"/>
      <c r="P228" s="64"/>
      <c r="Q228" s="147"/>
      <c r="R228" s="147"/>
      <c r="S228" s="147"/>
      <c r="T228" s="147"/>
      <c r="U228" s="147"/>
      <c r="V228" s="148"/>
      <c r="X228" s="65"/>
      <c r="Y228" s="65"/>
      <c r="Z228" s="65"/>
    </row>
    <row r="229" spans="15:26">
      <c r="O229" s="60"/>
      <c r="P229" s="64"/>
      <c r="Q229" s="147"/>
      <c r="R229" s="147"/>
      <c r="S229" s="147"/>
      <c r="T229" s="147"/>
      <c r="U229" s="147"/>
      <c r="V229" s="148"/>
      <c r="X229" s="65"/>
      <c r="Y229" s="65"/>
      <c r="Z229" s="65"/>
    </row>
    <row r="230" spans="15:26">
      <c r="O230" s="60"/>
      <c r="P230" s="64"/>
      <c r="Q230" s="147"/>
      <c r="R230" s="147"/>
      <c r="S230" s="147"/>
      <c r="T230" s="147"/>
      <c r="U230" s="147"/>
      <c r="V230" s="148"/>
      <c r="X230" s="65"/>
      <c r="Y230" s="65"/>
      <c r="Z230" s="65"/>
    </row>
    <row r="231" spans="15:26">
      <c r="O231" s="60"/>
      <c r="P231" s="64"/>
      <c r="Q231" s="147"/>
      <c r="R231" s="147"/>
      <c r="S231" s="147"/>
      <c r="T231" s="147"/>
      <c r="U231" s="147"/>
      <c r="V231" s="148"/>
      <c r="X231" s="65"/>
      <c r="Y231" s="65"/>
      <c r="Z231" s="65"/>
    </row>
    <row r="232" spans="15:26">
      <c r="O232" s="60"/>
      <c r="P232" s="64"/>
      <c r="Q232" s="147"/>
      <c r="R232" s="147"/>
      <c r="S232" s="147"/>
      <c r="T232" s="147"/>
      <c r="U232" s="147"/>
      <c r="V232" s="148"/>
      <c r="X232" s="65"/>
      <c r="Y232" s="65"/>
      <c r="Z232" s="65"/>
    </row>
    <row r="233" spans="15:26">
      <c r="O233" s="60"/>
      <c r="P233" s="64"/>
      <c r="Q233" s="147"/>
      <c r="R233" s="147"/>
      <c r="S233" s="147"/>
      <c r="T233" s="147"/>
      <c r="U233" s="147"/>
      <c r="V233" s="148"/>
      <c r="X233" s="65"/>
      <c r="Y233" s="65"/>
      <c r="Z233" s="65"/>
    </row>
    <row r="234" spans="15:26">
      <c r="O234" s="60"/>
      <c r="P234" s="64"/>
      <c r="Q234" s="147"/>
      <c r="R234" s="147"/>
      <c r="S234" s="147"/>
      <c r="T234" s="147"/>
      <c r="U234" s="147"/>
      <c r="V234" s="148"/>
      <c r="X234" s="65"/>
      <c r="Y234" s="65"/>
      <c r="Z234" s="65"/>
    </row>
    <row r="235" spans="15:26">
      <c r="O235" s="60"/>
      <c r="P235" s="64"/>
      <c r="Q235" s="147"/>
      <c r="R235" s="147"/>
      <c r="S235" s="147"/>
      <c r="T235" s="147"/>
      <c r="U235" s="147"/>
      <c r="V235" s="148"/>
      <c r="X235" s="65"/>
      <c r="Y235" s="65"/>
      <c r="Z235" s="65"/>
    </row>
    <row r="236" spans="15:26">
      <c r="O236" s="60"/>
      <c r="P236" s="64"/>
      <c r="Q236" s="147"/>
      <c r="R236" s="147"/>
      <c r="S236" s="147"/>
      <c r="T236" s="147"/>
      <c r="U236" s="147"/>
      <c r="V236" s="148"/>
      <c r="X236" s="65"/>
      <c r="Y236" s="65"/>
      <c r="Z236" s="65"/>
    </row>
    <row r="237" spans="15:26">
      <c r="O237" s="60"/>
      <c r="P237" s="64"/>
      <c r="Q237" s="147"/>
      <c r="R237" s="147"/>
      <c r="S237" s="147"/>
      <c r="T237" s="147"/>
      <c r="U237" s="147"/>
      <c r="V237" s="148"/>
      <c r="X237" s="65"/>
      <c r="Y237" s="65"/>
      <c r="Z237" s="65"/>
    </row>
    <row r="238" spans="15:26">
      <c r="O238" s="61">
        <v>42401</v>
      </c>
      <c r="P238" s="64"/>
      <c r="Q238" s="147"/>
      <c r="R238" s="147"/>
      <c r="S238" s="147"/>
      <c r="T238" s="147"/>
      <c r="U238" s="147"/>
      <c r="V238" s="148"/>
      <c r="X238" s="65"/>
      <c r="Y238" s="65"/>
      <c r="Z238" s="65"/>
    </row>
    <row r="239" spans="15:26">
      <c r="O239" s="61"/>
      <c r="P239" s="64"/>
      <c r="Q239" s="147"/>
      <c r="R239" s="147"/>
      <c r="S239" s="147"/>
      <c r="T239" s="147"/>
      <c r="U239" s="147"/>
      <c r="V239" s="148"/>
      <c r="X239" s="65"/>
      <c r="Y239" s="65"/>
      <c r="Z239" s="65"/>
    </row>
    <row r="240" spans="15:26">
      <c r="O240" s="60"/>
      <c r="P240" s="64"/>
      <c r="Q240" s="147"/>
      <c r="R240" s="147"/>
      <c r="S240" s="147"/>
      <c r="T240" s="147"/>
      <c r="U240" s="147"/>
      <c r="V240" s="148"/>
      <c r="X240" s="65"/>
      <c r="Y240" s="65"/>
      <c r="Z240" s="65"/>
    </row>
    <row r="241" spans="15:26">
      <c r="O241" s="60"/>
      <c r="P241" s="64"/>
      <c r="Q241" s="147"/>
      <c r="R241" s="147"/>
      <c r="S241" s="147"/>
      <c r="T241" s="147"/>
      <c r="U241" s="147"/>
      <c r="V241" s="148"/>
      <c r="X241" s="65"/>
      <c r="Y241" s="65"/>
      <c r="Z241" s="65"/>
    </row>
    <row r="242" spans="15:26">
      <c r="O242" s="60"/>
      <c r="P242" s="64"/>
      <c r="Q242" s="147"/>
      <c r="R242" s="147"/>
      <c r="S242" s="147"/>
      <c r="T242" s="147"/>
      <c r="U242" s="147"/>
      <c r="V242" s="148"/>
      <c r="X242" s="65"/>
      <c r="Y242" s="65"/>
      <c r="Z242" s="65"/>
    </row>
    <row r="243" spans="15:26">
      <c r="O243" s="60"/>
      <c r="P243" s="64"/>
      <c r="Q243" s="147"/>
      <c r="R243" s="147"/>
      <c r="S243" s="147"/>
      <c r="T243" s="147"/>
      <c r="U243" s="147"/>
      <c r="V243" s="148"/>
      <c r="X243" s="65"/>
      <c r="Y243" s="65"/>
      <c r="Z243" s="65"/>
    </row>
    <row r="244" spans="15:26">
      <c r="O244" s="60"/>
      <c r="P244" s="64"/>
      <c r="Q244" s="147"/>
      <c r="R244" s="147"/>
      <c r="S244" s="147"/>
      <c r="T244" s="147"/>
      <c r="U244" s="147"/>
      <c r="V244" s="148"/>
      <c r="X244" s="65"/>
      <c r="Y244" s="65"/>
      <c r="Z244" s="65"/>
    </row>
    <row r="245" spans="15:26">
      <c r="O245" s="60"/>
      <c r="P245" s="64"/>
      <c r="Q245" s="147"/>
      <c r="R245" s="147"/>
      <c r="S245" s="147"/>
      <c r="T245" s="147"/>
      <c r="U245" s="147"/>
      <c r="V245" s="148"/>
      <c r="X245" s="65"/>
      <c r="Y245" s="65"/>
      <c r="Z245" s="65"/>
    </row>
    <row r="246" spans="15:26">
      <c r="O246" s="60"/>
      <c r="P246" s="64"/>
      <c r="Q246" s="147"/>
      <c r="R246" s="147"/>
      <c r="S246" s="147"/>
      <c r="T246" s="147"/>
      <c r="U246" s="147"/>
      <c r="V246" s="148"/>
      <c r="X246" s="65"/>
      <c r="Y246" s="65"/>
      <c r="Z246" s="65"/>
    </row>
    <row r="247" spans="15:26">
      <c r="O247" s="60"/>
      <c r="P247" s="64"/>
      <c r="Q247" s="147"/>
      <c r="R247" s="147"/>
      <c r="S247" s="147"/>
      <c r="T247" s="147"/>
      <c r="U247" s="147"/>
      <c r="V247" s="148"/>
      <c r="X247" s="65"/>
      <c r="Y247" s="65"/>
      <c r="Z247" s="65"/>
    </row>
    <row r="248" spans="15:26">
      <c r="O248" s="60"/>
      <c r="P248" s="64"/>
      <c r="Q248" s="147"/>
      <c r="R248" s="147"/>
      <c r="S248" s="147"/>
      <c r="T248" s="147"/>
      <c r="U248" s="147"/>
      <c r="V248" s="148"/>
      <c r="X248" s="65"/>
      <c r="Y248" s="65"/>
      <c r="Z248" s="65"/>
    </row>
    <row r="249" spans="15:26">
      <c r="O249" s="60"/>
      <c r="P249" s="64"/>
      <c r="Q249" s="147"/>
      <c r="R249" s="147"/>
      <c r="S249" s="147"/>
      <c r="T249" s="147"/>
      <c r="U249" s="147"/>
      <c r="V249" s="148"/>
      <c r="X249" s="65"/>
      <c r="Y249" s="65"/>
      <c r="Z249" s="65"/>
    </row>
    <row r="250" spans="15:26">
      <c r="O250" s="60"/>
      <c r="P250" s="64"/>
      <c r="Q250" s="147"/>
      <c r="R250" s="147"/>
      <c r="S250" s="147"/>
      <c r="T250" s="147"/>
      <c r="U250" s="147"/>
      <c r="V250" s="148"/>
      <c r="X250" s="65"/>
      <c r="Y250" s="65"/>
      <c r="Z250" s="65"/>
    </row>
    <row r="251" spans="15:26">
      <c r="O251" s="60"/>
      <c r="P251" s="64"/>
      <c r="Q251" s="147"/>
      <c r="R251" s="147"/>
      <c r="S251" s="147"/>
      <c r="T251" s="147"/>
      <c r="U251" s="147"/>
      <c r="V251" s="148"/>
      <c r="X251" s="65"/>
      <c r="Y251" s="65"/>
      <c r="Z251" s="65"/>
    </row>
    <row r="252" spans="15:26">
      <c r="O252" s="60"/>
      <c r="P252" s="64"/>
      <c r="Q252" s="147"/>
      <c r="R252" s="147"/>
      <c r="S252" s="147"/>
      <c r="T252" s="147"/>
      <c r="U252" s="147"/>
      <c r="V252" s="148"/>
      <c r="X252" s="65"/>
      <c r="Y252" s="65"/>
      <c r="Z252" s="65"/>
    </row>
    <row r="253" spans="15:26">
      <c r="O253" s="60"/>
      <c r="P253" s="64"/>
      <c r="Q253" s="147"/>
      <c r="R253" s="147"/>
      <c r="S253" s="147"/>
      <c r="T253" s="147"/>
      <c r="U253" s="147"/>
      <c r="V253" s="148"/>
      <c r="X253" s="65"/>
      <c r="Y253" s="65"/>
      <c r="Z253" s="65"/>
    </row>
    <row r="254" spans="15:26">
      <c r="O254" s="60"/>
      <c r="P254" s="64"/>
      <c r="Q254" s="147"/>
      <c r="R254" s="147"/>
      <c r="S254" s="147"/>
      <c r="T254" s="147"/>
      <c r="U254" s="147"/>
      <c r="V254" s="148"/>
      <c r="X254" s="65"/>
      <c r="Y254" s="65"/>
      <c r="Z254" s="65"/>
    </row>
    <row r="255" spans="15:26">
      <c r="O255" s="60"/>
      <c r="P255" s="64"/>
      <c r="Q255" s="147"/>
      <c r="R255" s="147"/>
      <c r="S255" s="147"/>
      <c r="T255" s="147"/>
      <c r="U255" s="147"/>
      <c r="V255" s="148"/>
      <c r="X255" s="65"/>
      <c r="Y255" s="65"/>
      <c r="Z255" s="65"/>
    </row>
    <row r="256" spans="15:26">
      <c r="O256" s="60"/>
      <c r="P256" s="64"/>
      <c r="Q256" s="147"/>
      <c r="R256" s="147"/>
      <c r="S256" s="147"/>
      <c r="T256" s="147"/>
      <c r="U256" s="147"/>
      <c r="V256" s="148"/>
      <c r="X256" s="65"/>
      <c r="Y256" s="65"/>
      <c r="Z256" s="65"/>
    </row>
    <row r="257" spans="15:26">
      <c r="O257" s="60"/>
      <c r="P257" s="64"/>
      <c r="Q257" s="147"/>
      <c r="R257" s="147"/>
      <c r="S257" s="147"/>
      <c r="T257" s="147"/>
      <c r="U257" s="147"/>
      <c r="V257" s="148"/>
      <c r="X257" s="65"/>
      <c r="Y257" s="65"/>
      <c r="Z257" s="65"/>
    </row>
    <row r="258" spans="15:26">
      <c r="O258" s="60"/>
      <c r="P258" s="64"/>
      <c r="Q258" s="147"/>
      <c r="R258" s="147"/>
      <c r="S258" s="147"/>
      <c r="T258" s="147"/>
      <c r="U258" s="147"/>
      <c r="V258" s="148"/>
      <c r="X258" s="65"/>
      <c r="Y258" s="65"/>
      <c r="Z258" s="65"/>
    </row>
    <row r="259" spans="15:26">
      <c r="O259" s="60"/>
      <c r="P259" s="64"/>
      <c r="Q259" s="147"/>
      <c r="R259" s="147"/>
      <c r="S259" s="147"/>
      <c r="T259" s="147"/>
      <c r="U259" s="147"/>
      <c r="V259" s="148"/>
      <c r="X259" s="65"/>
      <c r="Y259" s="65"/>
      <c r="Z259" s="65"/>
    </row>
    <row r="260" spans="15:26">
      <c r="O260" s="60"/>
      <c r="P260" s="64"/>
      <c r="Q260" s="147"/>
      <c r="R260" s="147"/>
      <c r="S260" s="147"/>
      <c r="T260" s="147"/>
      <c r="U260" s="147"/>
      <c r="V260" s="148"/>
      <c r="X260" s="65"/>
      <c r="Y260" s="65"/>
      <c r="Z260" s="65"/>
    </row>
    <row r="261" spans="15:26">
      <c r="O261" s="60"/>
      <c r="P261" s="64"/>
      <c r="Q261" s="147"/>
      <c r="R261" s="147"/>
      <c r="S261" s="147"/>
      <c r="T261" s="147"/>
      <c r="U261" s="147"/>
      <c r="V261" s="148"/>
      <c r="X261" s="65"/>
      <c r="Y261" s="65"/>
      <c r="Z261" s="65"/>
    </row>
    <row r="262" spans="15:26">
      <c r="O262" s="60"/>
      <c r="P262" s="64"/>
      <c r="Q262" s="147"/>
      <c r="R262" s="147"/>
      <c r="S262" s="147"/>
      <c r="T262" s="147"/>
      <c r="U262" s="147"/>
      <c r="V262" s="148"/>
      <c r="X262" s="65"/>
      <c r="Y262" s="65"/>
      <c r="Z262" s="65"/>
    </row>
    <row r="263" spans="15:26">
      <c r="O263" s="60"/>
      <c r="P263" s="64"/>
      <c r="Q263" s="147"/>
      <c r="R263" s="147"/>
      <c r="S263" s="147"/>
      <c r="T263" s="147"/>
      <c r="U263" s="147"/>
      <c r="V263" s="148"/>
      <c r="X263" s="65"/>
      <c r="Y263" s="65"/>
      <c r="Z263" s="65"/>
    </row>
    <row r="264" spans="15:26">
      <c r="O264" s="60"/>
      <c r="P264" s="64"/>
      <c r="Q264" s="147"/>
      <c r="R264" s="147"/>
      <c r="S264" s="147"/>
      <c r="T264" s="147"/>
      <c r="U264" s="147"/>
      <c r="V264" s="148"/>
      <c r="X264" s="65"/>
      <c r="Y264" s="65"/>
      <c r="Z264" s="65"/>
    </row>
    <row r="265" spans="15:26">
      <c r="O265" s="60"/>
      <c r="P265" s="64"/>
      <c r="Q265" s="147"/>
      <c r="R265" s="147"/>
      <c r="S265" s="147"/>
      <c r="T265" s="147"/>
      <c r="U265" s="147"/>
      <c r="V265" s="148"/>
      <c r="X265" s="65"/>
      <c r="Y265" s="65"/>
      <c r="Z265" s="65"/>
    </row>
    <row r="266" spans="15:26">
      <c r="O266" s="60"/>
      <c r="P266" s="64"/>
      <c r="Q266" s="147"/>
      <c r="R266" s="147"/>
      <c r="S266" s="147"/>
      <c r="T266" s="147"/>
      <c r="U266" s="147"/>
      <c r="V266" s="148"/>
      <c r="X266" s="65"/>
      <c r="Y266" s="65"/>
      <c r="Z266" s="65"/>
    </row>
    <row r="267" spans="15:26">
      <c r="O267" s="61">
        <v>42430</v>
      </c>
      <c r="P267" s="64"/>
      <c r="Q267" s="147"/>
      <c r="R267" s="147"/>
      <c r="S267" s="147"/>
      <c r="T267" s="147"/>
      <c r="U267" s="147"/>
      <c r="V267" s="148"/>
      <c r="X267" s="65"/>
      <c r="Y267" s="65"/>
      <c r="Z267" s="65"/>
    </row>
    <row r="268" spans="15:26">
      <c r="O268" s="60"/>
      <c r="P268" s="64"/>
      <c r="Q268" s="147"/>
      <c r="R268" s="147"/>
      <c r="S268" s="147"/>
      <c r="T268" s="147"/>
      <c r="U268" s="147"/>
      <c r="V268" s="148"/>
      <c r="X268" s="65"/>
      <c r="Y268" s="65"/>
      <c r="Z268" s="65"/>
    </row>
    <row r="269" spans="15:26">
      <c r="O269" s="61"/>
      <c r="P269" s="64"/>
      <c r="Q269" s="147"/>
      <c r="R269" s="147"/>
      <c r="S269" s="147"/>
      <c r="T269" s="147"/>
      <c r="U269" s="147"/>
      <c r="V269" s="148"/>
      <c r="X269" s="65"/>
      <c r="Y269" s="65"/>
      <c r="Z269" s="65"/>
    </row>
    <row r="270" spans="15:26">
      <c r="O270" s="61"/>
      <c r="P270" s="64"/>
      <c r="Q270" s="147"/>
      <c r="R270" s="147"/>
      <c r="S270" s="147"/>
      <c r="T270" s="147"/>
      <c r="U270" s="147"/>
      <c r="V270" s="148"/>
      <c r="X270" s="65"/>
      <c r="Y270" s="65"/>
      <c r="Z270" s="65"/>
    </row>
    <row r="271" spans="15:26">
      <c r="O271" s="60"/>
      <c r="P271" s="64"/>
      <c r="Q271" s="147"/>
      <c r="R271" s="147"/>
      <c r="S271" s="147"/>
      <c r="T271" s="147"/>
      <c r="U271" s="147"/>
      <c r="V271" s="148"/>
      <c r="X271" s="65"/>
      <c r="Y271" s="65"/>
      <c r="Z271" s="65"/>
    </row>
    <row r="272" spans="15:26">
      <c r="O272" s="60"/>
      <c r="P272" s="64"/>
      <c r="Q272" s="147"/>
      <c r="R272" s="147"/>
      <c r="S272" s="147"/>
      <c r="T272" s="147"/>
      <c r="U272" s="147"/>
      <c r="V272" s="148"/>
      <c r="X272" s="65"/>
      <c r="Y272" s="65"/>
      <c r="Z272" s="65"/>
    </row>
    <row r="273" spans="15:26">
      <c r="O273" s="60"/>
      <c r="P273" s="64"/>
      <c r="Q273" s="147"/>
      <c r="R273" s="147"/>
      <c r="S273" s="147"/>
      <c r="T273" s="147"/>
      <c r="U273" s="147"/>
      <c r="V273" s="148"/>
      <c r="X273" s="65"/>
      <c r="Y273" s="65"/>
      <c r="Z273" s="65"/>
    </row>
    <row r="274" spans="15:26">
      <c r="O274" s="60"/>
      <c r="P274" s="64"/>
      <c r="Q274" s="147"/>
      <c r="R274" s="147"/>
      <c r="S274" s="147"/>
      <c r="T274" s="147"/>
      <c r="U274" s="147"/>
      <c r="V274" s="148"/>
      <c r="X274" s="65"/>
      <c r="Y274" s="65"/>
      <c r="Z274" s="65"/>
    </row>
    <row r="275" spans="15:26">
      <c r="O275" s="60"/>
      <c r="P275" s="64"/>
      <c r="Q275" s="147"/>
      <c r="R275" s="147"/>
      <c r="S275" s="147"/>
      <c r="T275" s="147"/>
      <c r="U275" s="147"/>
      <c r="V275" s="148"/>
      <c r="X275" s="65"/>
      <c r="Y275" s="65"/>
      <c r="Z275" s="65"/>
    </row>
    <row r="276" spans="15:26">
      <c r="O276" s="60"/>
      <c r="P276" s="64"/>
      <c r="Q276" s="147"/>
      <c r="R276" s="147"/>
      <c r="S276" s="147"/>
      <c r="T276" s="147"/>
      <c r="U276" s="147"/>
      <c r="V276" s="148"/>
      <c r="X276" s="65"/>
      <c r="Y276" s="65"/>
      <c r="Z276" s="65"/>
    </row>
    <row r="277" spans="15:26">
      <c r="O277" s="60"/>
      <c r="P277" s="64"/>
      <c r="Q277" s="147"/>
      <c r="R277" s="147"/>
      <c r="S277" s="147"/>
      <c r="T277" s="147"/>
      <c r="U277" s="147"/>
      <c r="V277" s="148"/>
      <c r="X277" s="65"/>
      <c r="Y277" s="65"/>
      <c r="Z277" s="65"/>
    </row>
    <row r="278" spans="15:26">
      <c r="O278" s="60"/>
      <c r="P278" s="64"/>
      <c r="Q278" s="147"/>
      <c r="R278" s="147"/>
      <c r="S278" s="147"/>
      <c r="T278" s="147"/>
      <c r="U278" s="147"/>
      <c r="V278" s="148"/>
      <c r="X278" s="65"/>
      <c r="Y278" s="65"/>
      <c r="Z278" s="65"/>
    </row>
    <row r="279" spans="15:26">
      <c r="O279" s="60"/>
      <c r="P279" s="64"/>
      <c r="Q279" s="147"/>
      <c r="R279" s="147"/>
      <c r="S279" s="147"/>
      <c r="T279" s="147"/>
      <c r="U279" s="147"/>
      <c r="V279" s="148"/>
      <c r="X279" s="65"/>
      <c r="Y279" s="65"/>
      <c r="Z279" s="65"/>
    </row>
    <row r="280" spans="15:26">
      <c r="O280" s="60"/>
      <c r="P280" s="64"/>
      <c r="Q280" s="147"/>
      <c r="R280" s="147"/>
      <c r="S280" s="147"/>
      <c r="T280" s="147"/>
      <c r="U280" s="147"/>
      <c r="V280" s="148"/>
      <c r="X280" s="65"/>
      <c r="Y280" s="65"/>
      <c r="Z280" s="65"/>
    </row>
    <row r="281" spans="15:26">
      <c r="O281" s="60"/>
      <c r="P281" s="64"/>
      <c r="Q281" s="147"/>
      <c r="R281" s="147"/>
      <c r="S281" s="147"/>
      <c r="T281" s="147"/>
      <c r="U281" s="147"/>
      <c r="V281" s="148"/>
      <c r="X281" s="65"/>
      <c r="Y281" s="65"/>
      <c r="Z281" s="65"/>
    </row>
    <row r="282" spans="15:26">
      <c r="O282" s="60"/>
      <c r="P282" s="64"/>
      <c r="Q282" s="147"/>
      <c r="R282" s="147"/>
      <c r="S282" s="147"/>
      <c r="T282" s="147"/>
      <c r="U282" s="147"/>
      <c r="V282" s="148"/>
      <c r="X282" s="65"/>
      <c r="Y282" s="65"/>
      <c r="Z282" s="65"/>
    </row>
    <row r="283" spans="15:26">
      <c r="O283" s="60"/>
      <c r="P283" s="64"/>
      <c r="Q283" s="147"/>
      <c r="R283" s="147"/>
      <c r="S283" s="147"/>
      <c r="T283" s="147"/>
      <c r="U283" s="147"/>
      <c r="V283" s="148"/>
      <c r="X283" s="65"/>
      <c r="Y283" s="65"/>
      <c r="Z283" s="65"/>
    </row>
    <row r="284" spans="15:26">
      <c r="O284" s="60"/>
      <c r="P284" s="64"/>
      <c r="Q284" s="147"/>
      <c r="R284" s="147"/>
      <c r="S284" s="147"/>
      <c r="T284" s="147"/>
      <c r="U284" s="147"/>
      <c r="V284" s="148"/>
      <c r="X284" s="65"/>
      <c r="Y284" s="65"/>
      <c r="Z284" s="65"/>
    </row>
    <row r="285" spans="15:26">
      <c r="O285" s="60"/>
      <c r="P285" s="64"/>
      <c r="Q285" s="147"/>
      <c r="R285" s="147"/>
      <c r="S285" s="147"/>
      <c r="T285" s="147"/>
      <c r="U285" s="147"/>
      <c r="V285" s="148"/>
      <c r="X285" s="65"/>
      <c r="Y285" s="65"/>
      <c r="Z285" s="65"/>
    </row>
    <row r="286" spans="15:26">
      <c r="O286" s="60"/>
      <c r="P286" s="64"/>
      <c r="Q286" s="147"/>
      <c r="R286" s="147"/>
      <c r="S286" s="147"/>
      <c r="T286" s="147"/>
      <c r="U286" s="147"/>
      <c r="V286" s="148"/>
      <c r="X286" s="65"/>
      <c r="Y286" s="65"/>
      <c r="Z286" s="65"/>
    </row>
    <row r="287" spans="15:26">
      <c r="O287" s="60"/>
      <c r="P287" s="64"/>
      <c r="Q287" s="147"/>
      <c r="R287" s="147"/>
      <c r="S287" s="147"/>
      <c r="T287" s="147"/>
      <c r="U287" s="147"/>
      <c r="V287" s="148"/>
      <c r="X287" s="65"/>
      <c r="Y287" s="65"/>
      <c r="Z287" s="65"/>
    </row>
    <row r="288" spans="15:26">
      <c r="O288" s="60"/>
      <c r="P288" s="64"/>
      <c r="Q288" s="147"/>
      <c r="R288" s="147"/>
      <c r="S288" s="147"/>
      <c r="T288" s="147"/>
      <c r="U288" s="147"/>
      <c r="V288" s="148"/>
      <c r="X288" s="65"/>
      <c r="Y288" s="65"/>
      <c r="Z288" s="65"/>
    </row>
    <row r="289" spans="15:26">
      <c r="O289" s="60"/>
      <c r="P289" s="64"/>
      <c r="Q289" s="147"/>
      <c r="R289" s="147"/>
      <c r="S289" s="147"/>
      <c r="T289" s="147"/>
      <c r="U289" s="147"/>
      <c r="V289" s="148"/>
      <c r="X289" s="65"/>
      <c r="Y289" s="65"/>
      <c r="Z289" s="65"/>
    </row>
    <row r="290" spans="15:26">
      <c r="O290" s="60"/>
      <c r="P290" s="64"/>
      <c r="Q290" s="147"/>
      <c r="R290" s="147"/>
      <c r="S290" s="147"/>
      <c r="T290" s="147"/>
      <c r="U290" s="147"/>
      <c r="V290" s="148"/>
      <c r="X290" s="65"/>
      <c r="Y290" s="65"/>
      <c r="Z290" s="65"/>
    </row>
    <row r="291" spans="15:26">
      <c r="O291" s="60"/>
      <c r="P291" s="64"/>
      <c r="Q291" s="147"/>
      <c r="R291" s="147"/>
      <c r="S291" s="147"/>
      <c r="T291" s="147"/>
      <c r="U291" s="147"/>
      <c r="V291" s="148"/>
      <c r="X291" s="65"/>
      <c r="Y291" s="65"/>
      <c r="Z291" s="65"/>
    </row>
    <row r="292" spans="15:26">
      <c r="O292" s="60"/>
      <c r="P292" s="64"/>
      <c r="Q292" s="147"/>
      <c r="R292" s="147"/>
      <c r="S292" s="147"/>
      <c r="T292" s="147"/>
      <c r="U292" s="147"/>
      <c r="V292" s="148"/>
      <c r="X292" s="65"/>
      <c r="Y292" s="65"/>
      <c r="Z292" s="65"/>
    </row>
    <row r="293" spans="15:26">
      <c r="O293" s="60"/>
      <c r="P293" s="64"/>
      <c r="Q293" s="147"/>
      <c r="R293" s="147"/>
      <c r="S293" s="147"/>
      <c r="T293" s="147"/>
      <c r="U293" s="147"/>
      <c r="V293" s="148"/>
      <c r="X293" s="65"/>
      <c r="Y293" s="65"/>
      <c r="Z293" s="65"/>
    </row>
    <row r="294" spans="15:26">
      <c r="O294" s="60"/>
      <c r="P294" s="64"/>
      <c r="Q294" s="147"/>
      <c r="R294" s="147"/>
      <c r="S294" s="147"/>
      <c r="T294" s="147"/>
      <c r="U294" s="147"/>
      <c r="V294" s="148"/>
      <c r="X294" s="65"/>
      <c r="Y294" s="65"/>
      <c r="Z294" s="65"/>
    </row>
    <row r="295" spans="15:26">
      <c r="O295" s="60"/>
      <c r="P295" s="64"/>
      <c r="Q295" s="147"/>
      <c r="R295" s="147"/>
      <c r="S295" s="147"/>
      <c r="T295" s="147"/>
      <c r="U295" s="147"/>
      <c r="V295" s="148"/>
      <c r="X295" s="65"/>
      <c r="Y295" s="65"/>
      <c r="Z295" s="65"/>
    </row>
    <row r="296" spans="15:26">
      <c r="O296" s="60"/>
      <c r="P296" s="64"/>
      <c r="Q296" s="147"/>
      <c r="R296" s="147"/>
      <c r="S296" s="147"/>
      <c r="T296" s="147"/>
      <c r="U296" s="147"/>
      <c r="V296" s="148"/>
      <c r="X296" s="65"/>
      <c r="Y296" s="65"/>
      <c r="Z296" s="65"/>
    </row>
    <row r="297" spans="15:26">
      <c r="O297" s="61"/>
      <c r="P297" s="64"/>
      <c r="Q297" s="147"/>
      <c r="R297" s="147"/>
      <c r="S297" s="147"/>
      <c r="T297" s="147"/>
      <c r="U297" s="147"/>
      <c r="V297" s="148"/>
      <c r="X297" s="65"/>
      <c r="Y297" s="65"/>
      <c r="Z297" s="65"/>
    </row>
    <row r="298" spans="15:26">
      <c r="O298" s="61">
        <v>42461</v>
      </c>
      <c r="P298" s="64"/>
      <c r="Q298" s="147"/>
      <c r="R298" s="147"/>
      <c r="S298" s="147"/>
      <c r="T298" s="147"/>
      <c r="U298" s="147"/>
      <c r="V298" s="148"/>
      <c r="X298" s="65"/>
      <c r="Y298" s="65"/>
      <c r="Z298" s="65"/>
    </row>
    <row r="299" spans="15:26">
      <c r="O299" s="60"/>
      <c r="P299" s="64"/>
      <c r="Q299" s="147"/>
      <c r="R299" s="147"/>
      <c r="S299" s="147"/>
      <c r="T299" s="147"/>
      <c r="U299" s="147"/>
      <c r="V299" s="148"/>
      <c r="X299" s="65"/>
      <c r="Y299" s="65"/>
      <c r="Z299" s="65"/>
    </row>
    <row r="300" spans="15:26">
      <c r="O300" s="60"/>
      <c r="P300" s="64"/>
      <c r="Q300" s="147"/>
      <c r="R300" s="147"/>
      <c r="S300" s="147"/>
      <c r="T300" s="147"/>
      <c r="U300" s="147"/>
      <c r="V300" s="148"/>
      <c r="X300" s="65"/>
      <c r="Y300" s="65"/>
      <c r="Z300" s="65"/>
    </row>
    <row r="301" spans="15:26">
      <c r="O301" s="60"/>
      <c r="P301" s="64"/>
      <c r="Q301" s="147"/>
      <c r="R301" s="147"/>
      <c r="S301" s="147"/>
      <c r="T301" s="147"/>
      <c r="U301" s="147"/>
      <c r="V301" s="148"/>
      <c r="X301" s="65"/>
      <c r="Y301" s="65"/>
      <c r="Z301" s="65"/>
    </row>
    <row r="302" spans="15:26">
      <c r="O302" s="60"/>
      <c r="P302" s="64"/>
      <c r="Q302" s="147"/>
      <c r="R302" s="147"/>
      <c r="S302" s="147"/>
      <c r="T302" s="147"/>
      <c r="U302" s="147"/>
      <c r="V302" s="148"/>
      <c r="X302" s="65"/>
      <c r="Y302" s="65"/>
      <c r="Z302" s="65"/>
    </row>
    <row r="303" spans="15:26">
      <c r="O303" s="60"/>
      <c r="P303" s="64"/>
      <c r="Q303" s="147"/>
      <c r="R303" s="147"/>
      <c r="S303" s="147"/>
      <c r="T303" s="147"/>
      <c r="U303" s="147"/>
      <c r="V303" s="148"/>
      <c r="X303" s="65"/>
      <c r="Y303" s="65"/>
      <c r="Z303" s="65"/>
    </row>
    <row r="304" spans="15:26">
      <c r="O304" s="60"/>
      <c r="P304" s="64"/>
      <c r="Q304" s="147"/>
      <c r="R304" s="147"/>
      <c r="S304" s="147"/>
      <c r="T304" s="147"/>
      <c r="U304" s="147"/>
      <c r="V304" s="148"/>
      <c r="X304" s="65"/>
      <c r="Y304" s="65"/>
      <c r="Z304" s="65"/>
    </row>
    <row r="305" spans="15:26">
      <c r="O305" s="60"/>
      <c r="P305" s="64"/>
      <c r="Q305" s="147"/>
      <c r="R305" s="147"/>
      <c r="S305" s="147"/>
      <c r="T305" s="147"/>
      <c r="U305" s="147"/>
      <c r="V305" s="148"/>
      <c r="X305" s="65"/>
      <c r="Y305" s="65"/>
      <c r="Z305" s="65"/>
    </row>
    <row r="306" spans="15:26">
      <c r="O306" s="60"/>
      <c r="P306" s="64"/>
      <c r="Q306" s="147"/>
      <c r="R306" s="147"/>
      <c r="S306" s="147"/>
      <c r="T306" s="147"/>
      <c r="U306" s="147"/>
      <c r="V306" s="148"/>
      <c r="X306" s="65"/>
      <c r="Y306" s="65"/>
      <c r="Z306" s="65"/>
    </row>
    <row r="307" spans="15:26">
      <c r="O307" s="60"/>
      <c r="P307" s="64"/>
      <c r="Q307" s="147"/>
      <c r="R307" s="147"/>
      <c r="S307" s="147"/>
      <c r="T307" s="147"/>
      <c r="U307" s="147"/>
      <c r="V307" s="148"/>
      <c r="X307" s="65"/>
      <c r="Y307" s="65"/>
      <c r="Z307" s="65"/>
    </row>
    <row r="308" spans="15:26">
      <c r="O308" s="60"/>
      <c r="P308" s="64"/>
      <c r="Q308" s="147"/>
      <c r="R308" s="147"/>
      <c r="S308" s="147"/>
      <c r="T308" s="147"/>
      <c r="U308" s="147"/>
      <c r="V308" s="148"/>
      <c r="X308" s="65"/>
      <c r="Y308" s="65"/>
      <c r="Z308" s="65"/>
    </row>
    <row r="309" spans="15:26">
      <c r="O309" s="60"/>
      <c r="P309" s="64"/>
      <c r="Q309" s="147"/>
      <c r="R309" s="147"/>
      <c r="S309" s="147"/>
      <c r="T309" s="147"/>
      <c r="U309" s="147"/>
      <c r="V309" s="148"/>
      <c r="X309" s="65"/>
      <c r="Y309" s="65"/>
      <c r="Z309" s="65"/>
    </row>
    <row r="310" spans="15:26">
      <c r="O310" s="60"/>
      <c r="P310" s="64"/>
      <c r="Q310" s="147"/>
      <c r="R310" s="147"/>
      <c r="S310" s="147"/>
      <c r="T310" s="147"/>
      <c r="U310" s="147"/>
      <c r="V310" s="148"/>
      <c r="X310" s="65"/>
      <c r="Y310" s="65"/>
      <c r="Z310" s="65"/>
    </row>
    <row r="311" spans="15:26">
      <c r="O311" s="60"/>
      <c r="P311" s="64"/>
      <c r="Q311" s="147"/>
      <c r="R311" s="147"/>
      <c r="S311" s="147"/>
      <c r="T311" s="147"/>
      <c r="U311" s="147"/>
      <c r="V311" s="148"/>
      <c r="X311" s="65"/>
      <c r="Y311" s="65"/>
      <c r="Z311" s="65"/>
    </row>
    <row r="312" spans="15:26">
      <c r="O312" s="60"/>
      <c r="P312" s="64"/>
      <c r="Q312" s="147"/>
      <c r="R312" s="147"/>
      <c r="S312" s="147"/>
      <c r="T312" s="147"/>
      <c r="U312" s="147"/>
      <c r="V312" s="148"/>
      <c r="X312" s="65"/>
      <c r="Y312" s="65"/>
      <c r="Z312" s="65"/>
    </row>
    <row r="313" spans="15:26">
      <c r="O313" s="60"/>
      <c r="P313" s="64"/>
      <c r="Q313" s="147"/>
      <c r="R313" s="147"/>
      <c r="S313" s="147"/>
      <c r="T313" s="147"/>
      <c r="U313" s="147"/>
      <c r="V313" s="148"/>
      <c r="X313" s="65"/>
      <c r="Y313" s="65"/>
      <c r="Z313" s="65"/>
    </row>
    <row r="314" spans="15:26">
      <c r="O314" s="60"/>
      <c r="P314" s="64"/>
      <c r="Q314" s="147"/>
      <c r="R314" s="147"/>
      <c r="S314" s="147"/>
      <c r="T314" s="147"/>
      <c r="U314" s="147"/>
      <c r="V314" s="148"/>
      <c r="X314" s="65"/>
      <c r="Y314" s="65"/>
      <c r="Z314" s="65"/>
    </row>
    <row r="315" spans="15:26">
      <c r="O315" s="60"/>
      <c r="P315" s="64"/>
      <c r="Q315" s="147"/>
      <c r="R315" s="147"/>
      <c r="S315" s="147"/>
      <c r="T315" s="147"/>
      <c r="U315" s="147"/>
      <c r="V315" s="148"/>
      <c r="X315" s="65"/>
      <c r="Y315" s="65"/>
      <c r="Z315" s="65"/>
    </row>
    <row r="316" spans="15:26">
      <c r="O316" s="60"/>
      <c r="P316" s="64"/>
      <c r="Q316" s="147"/>
      <c r="R316" s="147"/>
      <c r="S316" s="147"/>
      <c r="T316" s="147"/>
      <c r="U316" s="147"/>
      <c r="V316" s="148"/>
      <c r="X316" s="65"/>
      <c r="Y316" s="65"/>
      <c r="Z316" s="65"/>
    </row>
    <row r="317" spans="15:26">
      <c r="O317" s="60"/>
      <c r="P317" s="64"/>
      <c r="Q317" s="147"/>
      <c r="R317" s="147"/>
      <c r="S317" s="147"/>
      <c r="T317" s="147"/>
      <c r="U317" s="147"/>
      <c r="V317" s="148"/>
      <c r="X317" s="65"/>
      <c r="Y317" s="65"/>
      <c r="Z317" s="65"/>
    </row>
    <row r="318" spans="15:26">
      <c r="O318" s="60"/>
      <c r="P318" s="64"/>
      <c r="Q318" s="147"/>
      <c r="R318" s="147"/>
      <c r="S318" s="147"/>
      <c r="T318" s="147"/>
      <c r="U318" s="147"/>
      <c r="V318" s="148"/>
      <c r="X318" s="65"/>
      <c r="Y318" s="65"/>
      <c r="Z318" s="65"/>
    </row>
    <row r="319" spans="15:26">
      <c r="O319" s="60"/>
      <c r="P319" s="64"/>
      <c r="Q319" s="147"/>
      <c r="R319" s="147"/>
      <c r="S319" s="147"/>
      <c r="T319" s="147"/>
      <c r="U319" s="147"/>
      <c r="V319" s="148"/>
      <c r="X319" s="65"/>
      <c r="Y319" s="65"/>
      <c r="Z319" s="65"/>
    </row>
    <row r="320" spans="15:26">
      <c r="O320" s="60"/>
      <c r="P320" s="64"/>
      <c r="Q320" s="147"/>
      <c r="R320" s="147"/>
      <c r="S320" s="147"/>
      <c r="T320" s="147"/>
      <c r="U320" s="147"/>
      <c r="V320" s="148"/>
      <c r="X320" s="65"/>
      <c r="Y320" s="65"/>
      <c r="Z320" s="65"/>
    </row>
    <row r="321" spans="15:26">
      <c r="O321" s="60"/>
      <c r="P321" s="64"/>
      <c r="Q321" s="147"/>
      <c r="R321" s="147"/>
      <c r="S321" s="147"/>
      <c r="T321" s="147"/>
      <c r="U321" s="147"/>
      <c r="V321" s="148"/>
      <c r="X321" s="65"/>
      <c r="Y321" s="65"/>
      <c r="Z321" s="65"/>
    </row>
    <row r="322" spans="15:26">
      <c r="O322" s="60"/>
      <c r="P322" s="64"/>
      <c r="Q322" s="147"/>
      <c r="R322" s="147"/>
      <c r="S322" s="147"/>
      <c r="T322" s="147"/>
      <c r="U322" s="147"/>
      <c r="V322" s="148"/>
      <c r="X322" s="65"/>
      <c r="Y322" s="65"/>
      <c r="Z322" s="65"/>
    </row>
    <row r="323" spans="15:26">
      <c r="O323" s="60"/>
      <c r="P323" s="64"/>
      <c r="Q323" s="147"/>
      <c r="R323" s="147"/>
      <c r="S323" s="147"/>
      <c r="T323" s="147"/>
      <c r="U323" s="147"/>
      <c r="V323" s="148"/>
      <c r="X323" s="65"/>
      <c r="Y323" s="65"/>
      <c r="Z323" s="65"/>
    </row>
    <row r="324" spans="15:26">
      <c r="O324" s="60"/>
      <c r="P324" s="64"/>
      <c r="Q324" s="147"/>
      <c r="R324" s="147"/>
      <c r="S324" s="147"/>
      <c r="T324" s="147"/>
      <c r="U324" s="147"/>
      <c r="V324" s="148"/>
      <c r="X324" s="65"/>
      <c r="Y324" s="65"/>
      <c r="Z324" s="65"/>
    </row>
    <row r="325" spans="15:26">
      <c r="O325" s="60"/>
      <c r="P325" s="64"/>
      <c r="Q325" s="147"/>
      <c r="R325" s="147"/>
      <c r="S325" s="147"/>
      <c r="T325" s="147"/>
      <c r="U325" s="147"/>
      <c r="V325" s="148"/>
      <c r="X325" s="65"/>
      <c r="Y325" s="65"/>
      <c r="Z325" s="65"/>
    </row>
    <row r="326" spans="15:26">
      <c r="O326" s="60"/>
      <c r="P326" s="64"/>
      <c r="Q326" s="147"/>
      <c r="R326" s="147"/>
      <c r="S326" s="147"/>
      <c r="T326" s="147"/>
      <c r="U326" s="147"/>
      <c r="V326" s="148"/>
      <c r="X326" s="65"/>
      <c r="Y326" s="65"/>
      <c r="Z326" s="65"/>
    </row>
    <row r="327" spans="15:26">
      <c r="O327" s="60"/>
      <c r="P327" s="64"/>
      <c r="Q327" s="147"/>
      <c r="R327" s="147"/>
      <c r="S327" s="147"/>
      <c r="T327" s="147"/>
      <c r="U327" s="147"/>
      <c r="V327" s="148"/>
      <c r="X327" s="65"/>
      <c r="Y327" s="65"/>
      <c r="Z327" s="65"/>
    </row>
    <row r="328" spans="15:26">
      <c r="O328" s="61">
        <v>42491</v>
      </c>
      <c r="P328" s="64"/>
      <c r="Q328" s="147"/>
      <c r="R328" s="147"/>
      <c r="S328" s="147"/>
      <c r="T328" s="147"/>
      <c r="U328" s="147"/>
      <c r="V328" s="148"/>
      <c r="X328" s="65"/>
      <c r="Y328" s="65"/>
      <c r="Z328" s="65"/>
    </row>
    <row r="329" spans="15:26">
      <c r="O329" s="61"/>
      <c r="P329" s="64"/>
      <c r="Q329" s="147"/>
      <c r="R329" s="147"/>
      <c r="S329" s="147"/>
      <c r="T329" s="147"/>
      <c r="U329" s="147"/>
      <c r="V329" s="148"/>
      <c r="X329" s="65"/>
      <c r="Y329" s="65"/>
      <c r="Z329" s="65"/>
    </row>
    <row r="330" spans="15:26">
      <c r="O330" s="60"/>
      <c r="P330" s="64"/>
      <c r="Q330" s="147"/>
      <c r="R330" s="147"/>
      <c r="S330" s="147"/>
      <c r="T330" s="147"/>
      <c r="U330" s="147"/>
      <c r="V330" s="148"/>
      <c r="X330" s="65"/>
      <c r="Y330" s="65"/>
      <c r="Z330" s="65"/>
    </row>
    <row r="331" spans="15:26">
      <c r="O331" s="60"/>
      <c r="P331" s="64"/>
      <c r="Q331" s="147"/>
      <c r="R331" s="147"/>
      <c r="S331" s="147"/>
      <c r="T331" s="147"/>
      <c r="U331" s="147"/>
      <c r="V331" s="148"/>
      <c r="X331" s="65"/>
      <c r="Y331" s="65"/>
      <c r="Z331" s="65"/>
    </row>
    <row r="332" spans="15:26">
      <c r="O332" s="60"/>
      <c r="P332" s="64"/>
      <c r="Q332" s="147"/>
      <c r="R332" s="147"/>
      <c r="S332" s="147"/>
      <c r="T332" s="147"/>
      <c r="U332" s="147"/>
      <c r="V332" s="148"/>
      <c r="X332" s="65"/>
      <c r="Y332" s="65"/>
      <c r="Z332" s="65"/>
    </row>
    <row r="333" spans="15:26">
      <c r="O333" s="60"/>
      <c r="P333" s="64"/>
      <c r="Q333" s="147"/>
      <c r="R333" s="147"/>
      <c r="S333" s="147"/>
      <c r="T333" s="147"/>
      <c r="U333" s="147"/>
      <c r="V333" s="148"/>
      <c r="X333" s="65"/>
      <c r="Y333" s="65"/>
      <c r="Z333" s="65"/>
    </row>
    <row r="334" spans="15:26">
      <c r="O334" s="60"/>
      <c r="P334" s="64"/>
      <c r="Q334" s="147"/>
      <c r="R334" s="147"/>
      <c r="S334" s="147"/>
      <c r="T334" s="147"/>
      <c r="U334" s="147"/>
      <c r="V334" s="148"/>
      <c r="X334" s="65"/>
      <c r="Y334" s="65"/>
      <c r="Z334" s="65"/>
    </row>
    <row r="335" spans="15:26">
      <c r="O335" s="60"/>
      <c r="P335" s="64"/>
      <c r="Q335" s="147"/>
      <c r="R335" s="147"/>
      <c r="S335" s="147"/>
      <c r="T335" s="147"/>
      <c r="U335" s="147"/>
      <c r="V335" s="148"/>
      <c r="X335" s="65"/>
      <c r="Y335" s="65"/>
      <c r="Z335" s="65"/>
    </row>
    <row r="336" spans="15:26">
      <c r="O336" s="60"/>
      <c r="P336" s="64"/>
      <c r="Q336" s="147"/>
      <c r="R336" s="147"/>
      <c r="S336" s="147"/>
      <c r="T336" s="147"/>
      <c r="U336" s="147"/>
      <c r="V336" s="148"/>
      <c r="X336" s="65"/>
      <c r="Y336" s="65"/>
      <c r="Z336" s="65"/>
    </row>
    <row r="337" spans="15:26">
      <c r="O337" s="60"/>
      <c r="P337" s="64"/>
      <c r="Q337" s="147"/>
      <c r="R337" s="147"/>
      <c r="S337" s="147"/>
      <c r="T337" s="147"/>
      <c r="U337" s="147"/>
      <c r="V337" s="148"/>
      <c r="X337" s="65"/>
      <c r="Y337" s="65"/>
      <c r="Z337" s="65"/>
    </row>
    <row r="338" spans="15:26">
      <c r="O338" s="60"/>
      <c r="P338" s="64"/>
      <c r="Q338" s="147"/>
      <c r="R338" s="147"/>
      <c r="S338" s="147"/>
      <c r="T338" s="147"/>
      <c r="U338" s="147"/>
      <c r="V338" s="148"/>
      <c r="X338" s="65"/>
      <c r="Y338" s="65"/>
      <c r="Z338" s="65"/>
    </row>
    <row r="339" spans="15:26">
      <c r="O339" s="60"/>
      <c r="P339" s="64"/>
      <c r="Q339" s="147"/>
      <c r="R339" s="147"/>
      <c r="S339" s="147"/>
      <c r="T339" s="147"/>
      <c r="U339" s="147"/>
      <c r="V339" s="148"/>
      <c r="X339" s="65"/>
      <c r="Y339" s="65"/>
      <c r="Z339" s="65"/>
    </row>
    <row r="340" spans="15:26">
      <c r="O340" s="60"/>
      <c r="P340" s="64"/>
      <c r="Q340" s="147"/>
      <c r="R340" s="147"/>
      <c r="S340" s="147"/>
      <c r="T340" s="147"/>
      <c r="U340" s="147"/>
      <c r="V340" s="148"/>
      <c r="X340" s="65"/>
      <c r="Y340" s="65"/>
      <c r="Z340" s="65"/>
    </row>
    <row r="341" spans="15:26">
      <c r="O341" s="60"/>
      <c r="P341" s="64"/>
      <c r="Q341" s="147"/>
      <c r="R341" s="147"/>
      <c r="S341" s="147"/>
      <c r="T341" s="147"/>
      <c r="U341" s="147"/>
      <c r="V341" s="148"/>
      <c r="X341" s="65"/>
      <c r="Y341" s="65"/>
      <c r="Z341" s="65"/>
    </row>
    <row r="342" spans="15:26">
      <c r="O342" s="60"/>
      <c r="P342" s="64"/>
      <c r="Q342" s="147"/>
      <c r="R342" s="147"/>
      <c r="S342" s="147"/>
      <c r="T342" s="147"/>
      <c r="U342" s="147"/>
      <c r="V342" s="148"/>
      <c r="X342" s="65"/>
      <c r="Y342" s="65"/>
      <c r="Z342" s="65"/>
    </row>
    <row r="343" spans="15:26">
      <c r="O343" s="60"/>
      <c r="P343" s="64"/>
      <c r="Q343" s="147"/>
      <c r="R343" s="147"/>
      <c r="S343" s="147"/>
      <c r="T343" s="147"/>
      <c r="U343" s="147"/>
      <c r="V343" s="148"/>
      <c r="X343" s="65"/>
      <c r="Y343" s="65"/>
      <c r="Z343" s="65"/>
    </row>
    <row r="344" spans="15:26">
      <c r="O344" s="60"/>
      <c r="P344" s="64"/>
      <c r="Q344" s="147"/>
      <c r="R344" s="147"/>
      <c r="S344" s="147"/>
      <c r="T344" s="147"/>
      <c r="U344" s="147"/>
      <c r="V344" s="148"/>
      <c r="X344" s="65"/>
      <c r="Y344" s="65"/>
      <c r="Z344" s="65"/>
    </row>
    <row r="345" spans="15:26">
      <c r="O345" s="60"/>
      <c r="P345" s="64"/>
      <c r="Q345" s="147"/>
      <c r="R345" s="147"/>
      <c r="S345" s="147"/>
      <c r="T345" s="147"/>
      <c r="U345" s="147"/>
      <c r="V345" s="148"/>
      <c r="X345" s="65"/>
      <c r="Y345" s="65"/>
      <c r="Z345" s="65"/>
    </row>
    <row r="346" spans="15:26">
      <c r="O346" s="60"/>
      <c r="P346" s="64"/>
      <c r="Q346" s="147"/>
      <c r="R346" s="147"/>
      <c r="S346" s="147"/>
      <c r="T346" s="147"/>
      <c r="U346" s="147"/>
      <c r="V346" s="148"/>
      <c r="X346" s="65"/>
      <c r="Y346" s="65"/>
      <c r="Z346" s="65"/>
    </row>
    <row r="347" spans="15:26">
      <c r="O347" s="60"/>
      <c r="P347" s="64"/>
      <c r="Q347" s="147"/>
      <c r="R347" s="147"/>
      <c r="S347" s="147"/>
      <c r="T347" s="147"/>
      <c r="U347" s="147"/>
      <c r="V347" s="148"/>
      <c r="X347" s="65"/>
      <c r="Y347" s="65"/>
      <c r="Z347" s="65"/>
    </row>
    <row r="348" spans="15:26">
      <c r="O348" s="60"/>
      <c r="P348" s="64"/>
      <c r="Q348" s="147"/>
      <c r="R348" s="147"/>
      <c r="S348" s="147"/>
      <c r="T348" s="147"/>
      <c r="U348" s="147"/>
      <c r="V348" s="148"/>
      <c r="X348" s="65"/>
      <c r="Y348" s="65"/>
      <c r="Z348" s="65"/>
    </row>
    <row r="349" spans="15:26">
      <c r="O349" s="60"/>
      <c r="P349" s="64"/>
      <c r="Q349" s="147"/>
      <c r="R349" s="147"/>
      <c r="S349" s="147"/>
      <c r="T349" s="147"/>
      <c r="U349" s="147"/>
      <c r="V349" s="148"/>
      <c r="X349" s="65"/>
      <c r="Y349" s="65"/>
      <c r="Z349" s="65"/>
    </row>
    <row r="350" spans="15:26">
      <c r="O350" s="60"/>
      <c r="P350" s="64"/>
      <c r="Q350" s="147"/>
      <c r="R350" s="147"/>
      <c r="S350" s="147"/>
      <c r="T350" s="147"/>
      <c r="U350" s="147"/>
      <c r="V350" s="148"/>
      <c r="X350" s="65"/>
      <c r="Y350" s="65"/>
      <c r="Z350" s="65"/>
    </row>
    <row r="351" spans="15:26">
      <c r="O351" s="60"/>
      <c r="P351" s="64"/>
      <c r="Q351" s="147"/>
      <c r="R351" s="147"/>
      <c r="S351" s="147"/>
      <c r="T351" s="147"/>
      <c r="U351" s="147"/>
      <c r="V351" s="148"/>
      <c r="X351" s="65"/>
      <c r="Y351" s="65"/>
      <c r="Z351" s="65"/>
    </row>
    <row r="352" spans="15:26">
      <c r="O352" s="60"/>
      <c r="P352" s="64"/>
      <c r="Q352" s="147"/>
      <c r="R352" s="147"/>
      <c r="S352" s="147"/>
      <c r="T352" s="147"/>
      <c r="U352" s="147"/>
      <c r="V352" s="148"/>
      <c r="X352" s="65"/>
      <c r="Y352" s="65"/>
      <c r="Z352" s="65"/>
    </row>
    <row r="353" spans="15:26">
      <c r="O353" s="60"/>
      <c r="P353" s="64"/>
      <c r="Q353" s="147"/>
      <c r="R353" s="147"/>
      <c r="S353" s="147"/>
      <c r="T353" s="147"/>
      <c r="U353" s="147"/>
      <c r="V353" s="148"/>
      <c r="X353" s="65"/>
      <c r="Y353" s="65"/>
      <c r="Z353" s="65"/>
    </row>
    <row r="354" spans="15:26">
      <c r="O354" s="60"/>
      <c r="P354" s="64"/>
      <c r="Q354" s="147"/>
      <c r="R354" s="147"/>
      <c r="S354" s="147"/>
      <c r="T354" s="147"/>
      <c r="U354" s="147"/>
      <c r="V354" s="148"/>
      <c r="X354" s="65"/>
      <c r="Y354" s="65"/>
      <c r="Z354" s="65"/>
    </row>
    <row r="355" spans="15:26">
      <c r="O355" s="60"/>
      <c r="P355" s="64"/>
      <c r="Q355" s="147"/>
      <c r="R355" s="147"/>
      <c r="S355" s="147"/>
      <c r="T355" s="147"/>
      <c r="U355" s="147"/>
      <c r="V355" s="148"/>
      <c r="X355" s="65"/>
      <c r="Y355" s="65"/>
      <c r="Z355" s="65"/>
    </row>
    <row r="356" spans="15:26">
      <c r="O356" s="60"/>
      <c r="P356" s="64"/>
      <c r="Q356" s="147"/>
      <c r="R356" s="147"/>
      <c r="S356" s="147"/>
      <c r="T356" s="147"/>
      <c r="U356" s="147"/>
      <c r="V356" s="148"/>
      <c r="X356" s="65"/>
      <c r="Y356" s="65"/>
      <c r="Z356" s="65"/>
    </row>
    <row r="357" spans="15:26">
      <c r="O357" s="60"/>
      <c r="P357" s="64"/>
      <c r="Q357" s="147"/>
      <c r="R357" s="147"/>
      <c r="S357" s="147"/>
      <c r="T357" s="147"/>
      <c r="U357" s="147"/>
      <c r="V357" s="148"/>
      <c r="X357" s="65"/>
      <c r="Y357" s="65"/>
      <c r="Z357" s="65"/>
    </row>
    <row r="358" spans="15:26">
      <c r="O358" s="61"/>
      <c r="P358" s="64"/>
      <c r="Q358" s="147"/>
      <c r="R358" s="147"/>
      <c r="S358" s="147"/>
      <c r="T358" s="147"/>
      <c r="U358" s="147"/>
      <c r="V358" s="148"/>
      <c r="X358" s="65"/>
      <c r="Y358" s="65"/>
      <c r="Z358" s="65"/>
    </row>
    <row r="359" spans="15:26">
      <c r="O359" s="61">
        <v>42522</v>
      </c>
      <c r="P359" s="64"/>
      <c r="Q359" s="147"/>
      <c r="R359" s="147"/>
      <c r="S359" s="147"/>
      <c r="T359" s="147"/>
      <c r="U359" s="147"/>
      <c r="V359" s="148"/>
      <c r="X359" s="65"/>
      <c r="Y359" s="65"/>
      <c r="Z359" s="65"/>
    </row>
    <row r="360" spans="15:26">
      <c r="O360" s="60"/>
      <c r="P360" s="64"/>
      <c r="Q360" s="147"/>
      <c r="R360" s="147"/>
      <c r="S360" s="147"/>
      <c r="T360" s="147"/>
      <c r="U360" s="147"/>
      <c r="V360" s="148"/>
      <c r="X360" s="65"/>
      <c r="Y360" s="65"/>
      <c r="Z360" s="65"/>
    </row>
    <row r="361" spans="15:26">
      <c r="O361" s="60"/>
      <c r="P361" s="64"/>
      <c r="Q361" s="147"/>
      <c r="R361" s="147"/>
      <c r="S361" s="147"/>
      <c r="T361" s="147"/>
      <c r="U361" s="147"/>
      <c r="V361" s="148"/>
      <c r="X361" s="65"/>
      <c r="Y361" s="65"/>
      <c r="Z361" s="65"/>
    </row>
    <row r="362" spans="15:26">
      <c r="O362" s="60"/>
      <c r="P362" s="64"/>
      <c r="Q362" s="147"/>
      <c r="R362" s="147"/>
      <c r="S362" s="147"/>
      <c r="T362" s="147"/>
      <c r="U362" s="147"/>
      <c r="V362" s="148"/>
      <c r="X362" s="65"/>
      <c r="Y362" s="65"/>
      <c r="Z362" s="65"/>
    </row>
    <row r="363" spans="15:26">
      <c r="O363" s="60"/>
      <c r="P363" s="64"/>
      <c r="Q363" s="147"/>
      <c r="R363" s="147"/>
      <c r="S363" s="147"/>
      <c r="T363" s="147"/>
      <c r="U363" s="147"/>
      <c r="V363" s="148"/>
      <c r="X363" s="65"/>
      <c r="Y363" s="65"/>
      <c r="Z363" s="65"/>
    </row>
    <row r="364" spans="15:26">
      <c r="O364" s="60"/>
      <c r="P364" s="64"/>
      <c r="Q364" s="147"/>
      <c r="R364" s="147"/>
      <c r="S364" s="147"/>
      <c r="T364" s="147"/>
      <c r="U364" s="147"/>
      <c r="V364" s="148"/>
      <c r="X364" s="65"/>
      <c r="Y364" s="65"/>
      <c r="Z364" s="65"/>
    </row>
    <row r="365" spans="15:26">
      <c r="O365" s="60"/>
      <c r="P365" s="64"/>
      <c r="Q365" s="147"/>
      <c r="R365" s="147"/>
      <c r="S365" s="147"/>
      <c r="T365" s="147"/>
      <c r="U365" s="147"/>
      <c r="V365" s="148"/>
      <c r="X365" s="65"/>
      <c r="Y365" s="65"/>
      <c r="Z365" s="65"/>
    </row>
    <row r="366" spans="15:26">
      <c r="O366" s="60"/>
      <c r="P366" s="64"/>
      <c r="Q366" s="147"/>
      <c r="R366" s="147"/>
      <c r="S366" s="147"/>
      <c r="T366" s="147"/>
      <c r="U366" s="147"/>
      <c r="V366" s="148"/>
      <c r="X366" s="65"/>
      <c r="Y366" s="65"/>
      <c r="Z366" s="65"/>
    </row>
    <row r="367" spans="15:26">
      <c r="O367" s="60"/>
      <c r="P367" s="64"/>
      <c r="Q367" s="147"/>
      <c r="R367" s="147"/>
      <c r="S367" s="147"/>
      <c r="T367" s="147"/>
      <c r="U367" s="147"/>
      <c r="V367" s="148"/>
      <c r="X367" s="65"/>
      <c r="Y367" s="65"/>
      <c r="Z367" s="65"/>
    </row>
    <row r="368" spans="15:26">
      <c r="O368" s="60"/>
      <c r="P368" s="64"/>
      <c r="Q368" s="147"/>
      <c r="R368" s="147"/>
      <c r="S368" s="147"/>
      <c r="T368" s="147"/>
      <c r="U368" s="147"/>
      <c r="V368" s="148"/>
      <c r="X368" s="65"/>
      <c r="Y368" s="65"/>
      <c r="Z368" s="65"/>
    </row>
    <row r="369" spans="15:26">
      <c r="O369" s="60"/>
      <c r="P369" s="64"/>
      <c r="Q369" s="147"/>
      <c r="R369" s="147"/>
      <c r="S369" s="147"/>
      <c r="T369" s="147"/>
      <c r="U369" s="147"/>
      <c r="V369" s="148"/>
      <c r="X369" s="65"/>
      <c r="Y369" s="65"/>
      <c r="Z369" s="65"/>
    </row>
    <row r="370" spans="15:26">
      <c r="O370" s="60"/>
      <c r="P370" s="64"/>
      <c r="Q370" s="147"/>
      <c r="R370" s="147"/>
      <c r="S370" s="147"/>
      <c r="T370" s="147"/>
      <c r="U370" s="147"/>
      <c r="V370" s="148"/>
      <c r="X370" s="65"/>
      <c r="Y370" s="65"/>
      <c r="Z370" s="65"/>
    </row>
    <row r="371" spans="15:26">
      <c r="O371" s="60"/>
      <c r="P371" s="64"/>
      <c r="Q371" s="147"/>
      <c r="R371" s="147"/>
      <c r="S371" s="147"/>
      <c r="T371" s="147"/>
      <c r="U371" s="147"/>
      <c r="V371" s="148"/>
      <c r="X371" s="65"/>
      <c r="Y371" s="65"/>
      <c r="Z371" s="65"/>
    </row>
    <row r="372" spans="15:26">
      <c r="O372" s="60"/>
      <c r="P372" s="64"/>
      <c r="Q372" s="147"/>
      <c r="R372" s="147"/>
      <c r="S372" s="147"/>
      <c r="T372" s="147"/>
      <c r="U372" s="147"/>
      <c r="V372" s="148"/>
      <c r="X372" s="65"/>
      <c r="Y372" s="65"/>
      <c r="Z372" s="65"/>
    </row>
    <row r="373" spans="15:26">
      <c r="O373" s="60"/>
      <c r="P373" s="64"/>
      <c r="Q373" s="147"/>
      <c r="R373" s="147"/>
      <c r="S373" s="147"/>
      <c r="T373" s="147"/>
      <c r="U373" s="147"/>
      <c r="V373" s="148"/>
      <c r="X373" s="65"/>
      <c r="Y373" s="65"/>
      <c r="Z373" s="65"/>
    </row>
    <row r="374" spans="15:26">
      <c r="O374" s="60"/>
      <c r="P374" s="64"/>
      <c r="Q374" s="147"/>
      <c r="R374" s="147"/>
      <c r="S374" s="147"/>
      <c r="T374" s="147"/>
      <c r="U374" s="147"/>
      <c r="V374" s="148"/>
      <c r="X374" s="65"/>
      <c r="Y374" s="65"/>
      <c r="Z374" s="65"/>
    </row>
    <row r="375" spans="15:26">
      <c r="O375" s="60"/>
      <c r="P375" s="64"/>
      <c r="Q375" s="147"/>
      <c r="R375" s="147"/>
      <c r="S375" s="147"/>
      <c r="T375" s="147"/>
      <c r="U375" s="147"/>
      <c r="V375" s="148"/>
      <c r="X375" s="65"/>
      <c r="Y375" s="65"/>
      <c r="Z375" s="65"/>
    </row>
    <row r="376" spans="15:26">
      <c r="O376" s="60"/>
      <c r="P376" s="64"/>
      <c r="Q376" s="147"/>
      <c r="R376" s="147"/>
      <c r="S376" s="147"/>
      <c r="T376" s="147"/>
      <c r="U376" s="147"/>
      <c r="V376" s="148"/>
      <c r="X376" s="65"/>
      <c r="Y376" s="65"/>
      <c r="Z376" s="65"/>
    </row>
    <row r="377" spans="15:26">
      <c r="O377" s="60"/>
      <c r="P377" s="64"/>
      <c r="Q377" s="147"/>
      <c r="R377" s="147"/>
      <c r="S377" s="147"/>
      <c r="T377" s="147"/>
      <c r="U377" s="147"/>
      <c r="V377" s="148"/>
      <c r="X377" s="65"/>
      <c r="Y377" s="65"/>
      <c r="Z377" s="65"/>
    </row>
    <row r="378" spans="15:26">
      <c r="O378" s="60"/>
      <c r="P378" s="64"/>
      <c r="Q378" s="147"/>
      <c r="R378" s="147"/>
      <c r="S378" s="147"/>
      <c r="T378" s="147"/>
      <c r="U378" s="147"/>
      <c r="V378" s="148"/>
      <c r="X378" s="65"/>
      <c r="Y378" s="65"/>
      <c r="Z378" s="65"/>
    </row>
    <row r="379" spans="15:26">
      <c r="O379" s="60"/>
      <c r="P379" s="64"/>
      <c r="Q379" s="147"/>
      <c r="R379" s="147"/>
      <c r="S379" s="147"/>
      <c r="T379" s="147"/>
      <c r="U379" s="147"/>
      <c r="V379" s="148"/>
      <c r="X379" s="65"/>
      <c r="Y379" s="65"/>
      <c r="Z379" s="65"/>
    </row>
    <row r="380" spans="15:26">
      <c r="O380" s="60"/>
      <c r="P380" s="64"/>
      <c r="Q380" s="147"/>
      <c r="R380" s="147"/>
      <c r="S380" s="147"/>
      <c r="T380" s="147"/>
      <c r="U380" s="147"/>
      <c r="V380" s="148"/>
      <c r="X380" s="65"/>
      <c r="Y380" s="65"/>
      <c r="Z380" s="65"/>
    </row>
    <row r="381" spans="15:26">
      <c r="O381" s="60"/>
      <c r="P381" s="64"/>
      <c r="Q381" s="147"/>
      <c r="R381" s="147"/>
      <c r="S381" s="147"/>
      <c r="T381" s="147"/>
      <c r="U381" s="147"/>
      <c r="V381" s="148"/>
      <c r="X381" s="65"/>
      <c r="Y381" s="65"/>
      <c r="Z381" s="65"/>
    </row>
    <row r="382" spans="15:26">
      <c r="O382" s="60"/>
      <c r="P382" s="64"/>
      <c r="Q382" s="147"/>
      <c r="R382" s="147"/>
      <c r="S382" s="147"/>
      <c r="T382" s="147"/>
      <c r="U382" s="147"/>
      <c r="V382" s="148"/>
      <c r="X382" s="65"/>
      <c r="Y382" s="65"/>
      <c r="Z382" s="65"/>
    </row>
    <row r="383" spans="15:26">
      <c r="O383" s="60"/>
      <c r="P383" s="64"/>
      <c r="Q383" s="147"/>
      <c r="R383" s="147"/>
      <c r="S383" s="147"/>
      <c r="T383" s="147"/>
      <c r="U383" s="147"/>
      <c r="V383" s="148"/>
      <c r="X383" s="65"/>
      <c r="Y383" s="65"/>
      <c r="Z383" s="65"/>
    </row>
    <row r="384" spans="15:26">
      <c r="O384" s="60"/>
      <c r="P384" s="64"/>
      <c r="Q384" s="147"/>
      <c r="R384" s="147"/>
      <c r="S384" s="147"/>
      <c r="T384" s="147"/>
      <c r="U384" s="147"/>
      <c r="V384" s="148"/>
      <c r="X384" s="65"/>
      <c r="Y384" s="65"/>
      <c r="Z384" s="65"/>
    </row>
    <row r="385" spans="15:26">
      <c r="O385" s="60"/>
      <c r="P385" s="64"/>
      <c r="Q385" s="147"/>
      <c r="R385" s="147"/>
      <c r="S385" s="147"/>
      <c r="T385" s="147"/>
      <c r="U385" s="147"/>
      <c r="V385" s="148"/>
      <c r="X385" s="65"/>
      <c r="Y385" s="65"/>
      <c r="Z385" s="65"/>
    </row>
    <row r="386" spans="15:26">
      <c r="O386" s="60"/>
      <c r="P386" s="64"/>
      <c r="Q386" s="147"/>
      <c r="R386" s="147"/>
      <c r="S386" s="147"/>
      <c r="T386" s="147"/>
      <c r="U386" s="147"/>
      <c r="V386" s="148"/>
      <c r="X386" s="65"/>
      <c r="Y386" s="65"/>
      <c r="Z386" s="65"/>
    </row>
    <row r="387" spans="15:26">
      <c r="O387" s="60"/>
      <c r="P387" s="64"/>
      <c r="Q387" s="147"/>
      <c r="R387" s="147"/>
      <c r="S387" s="147"/>
      <c r="T387" s="147"/>
      <c r="U387" s="147"/>
      <c r="V387" s="148"/>
      <c r="X387" s="65"/>
      <c r="Y387" s="65"/>
      <c r="Z387" s="65"/>
    </row>
    <row r="388" spans="15:26">
      <c r="O388" s="61"/>
      <c r="P388" s="64"/>
      <c r="Q388" s="147"/>
      <c r="R388" s="147"/>
      <c r="S388" s="147"/>
      <c r="T388" s="147"/>
      <c r="U388" s="147"/>
      <c r="V388" s="148"/>
      <c r="X388" s="65"/>
      <c r="Y388" s="65"/>
      <c r="Z388" s="65"/>
    </row>
    <row r="389" spans="15:26">
      <c r="O389" s="61">
        <v>42552</v>
      </c>
      <c r="P389" s="64"/>
      <c r="Q389" s="147"/>
      <c r="R389" s="147"/>
      <c r="S389" s="147"/>
      <c r="T389" s="147"/>
      <c r="U389" s="147"/>
      <c r="V389" s="148"/>
      <c r="X389" s="65"/>
      <c r="Y389" s="65"/>
      <c r="Z389" s="65"/>
    </row>
    <row r="390" spans="15:26">
      <c r="O390" s="60"/>
      <c r="P390" s="64"/>
      <c r="Q390" s="147"/>
      <c r="R390" s="147"/>
      <c r="S390" s="147"/>
      <c r="T390" s="147"/>
      <c r="U390" s="147"/>
      <c r="V390" s="148"/>
      <c r="X390" s="65"/>
      <c r="Y390" s="65"/>
      <c r="Z390" s="65"/>
    </row>
    <row r="391" spans="15:26">
      <c r="O391" s="60"/>
      <c r="P391" s="64"/>
      <c r="Q391" s="147"/>
      <c r="R391" s="147"/>
      <c r="S391" s="147"/>
      <c r="T391" s="147"/>
      <c r="U391" s="147"/>
      <c r="V391" s="148"/>
      <c r="X391" s="65"/>
      <c r="Y391" s="65"/>
      <c r="Z391" s="65"/>
    </row>
    <row r="392" spans="15:26">
      <c r="O392" s="60"/>
      <c r="P392" s="64"/>
      <c r="Q392" s="147"/>
      <c r="R392" s="147"/>
      <c r="S392" s="147"/>
      <c r="T392" s="147"/>
      <c r="U392" s="147"/>
      <c r="V392" s="148"/>
      <c r="X392" s="65"/>
      <c r="Y392" s="65"/>
      <c r="Z392" s="65"/>
    </row>
    <row r="393" spans="15:26">
      <c r="O393" s="60"/>
      <c r="P393" s="64"/>
      <c r="Q393" s="147"/>
      <c r="R393" s="147"/>
      <c r="S393" s="147"/>
      <c r="T393" s="147"/>
      <c r="U393" s="147"/>
      <c r="V393" s="148"/>
      <c r="X393" s="65"/>
      <c r="Y393" s="65"/>
      <c r="Z393" s="65"/>
    </row>
    <row r="394" spans="15:26">
      <c r="O394" s="60"/>
      <c r="P394" s="64"/>
      <c r="Q394" s="147"/>
      <c r="R394" s="147"/>
      <c r="S394" s="147"/>
      <c r="T394" s="147"/>
      <c r="U394" s="147"/>
      <c r="V394" s="148"/>
      <c r="X394" s="65"/>
      <c r="Y394" s="65"/>
      <c r="Z394" s="65"/>
    </row>
    <row r="395" spans="15:26">
      <c r="O395" s="60"/>
      <c r="P395" s="64"/>
      <c r="Q395" s="147"/>
      <c r="R395" s="147"/>
      <c r="S395" s="147"/>
      <c r="T395" s="147"/>
      <c r="U395" s="147"/>
      <c r="V395" s="148"/>
      <c r="X395" s="65"/>
      <c r="Y395" s="65"/>
      <c r="Z395" s="65"/>
    </row>
    <row r="396" spans="15:26">
      <c r="O396" s="60"/>
      <c r="P396" s="64"/>
      <c r="Q396" s="147"/>
      <c r="R396" s="147"/>
      <c r="S396" s="147"/>
      <c r="T396" s="147"/>
      <c r="U396" s="147"/>
      <c r="V396" s="148"/>
      <c r="X396" s="65"/>
      <c r="Y396" s="65"/>
      <c r="Z396" s="65"/>
    </row>
    <row r="397" spans="15:26">
      <c r="O397" s="60"/>
      <c r="P397" s="64"/>
      <c r="Q397" s="147"/>
      <c r="R397" s="147"/>
      <c r="S397" s="147"/>
      <c r="T397" s="147"/>
      <c r="U397" s="147"/>
      <c r="V397" s="148"/>
      <c r="X397" s="65"/>
      <c r="Y397" s="65"/>
      <c r="Z397" s="65"/>
    </row>
    <row r="398" spans="15:26">
      <c r="O398" s="60"/>
      <c r="P398" s="64"/>
      <c r="Q398" s="147"/>
      <c r="R398" s="147"/>
      <c r="S398" s="147"/>
      <c r="T398" s="147"/>
      <c r="U398" s="147"/>
      <c r="V398" s="148"/>
      <c r="X398" s="65"/>
      <c r="Y398" s="65"/>
      <c r="Z398" s="65"/>
    </row>
    <row r="399" spans="15:26">
      <c r="O399" s="60"/>
      <c r="P399" s="64"/>
      <c r="Q399" s="147"/>
      <c r="R399" s="147"/>
      <c r="S399" s="147"/>
      <c r="T399" s="147"/>
      <c r="U399" s="147"/>
      <c r="V399" s="148"/>
      <c r="X399" s="65"/>
      <c r="Y399" s="65"/>
      <c r="Z399" s="65"/>
    </row>
    <row r="400" spans="15:26">
      <c r="O400" s="60"/>
      <c r="P400" s="64"/>
      <c r="Q400" s="147"/>
      <c r="R400" s="147"/>
      <c r="S400" s="147"/>
      <c r="T400" s="147"/>
      <c r="U400" s="147"/>
      <c r="V400" s="148"/>
      <c r="X400" s="65"/>
      <c r="Y400" s="65"/>
      <c r="Z400" s="65"/>
    </row>
    <row r="401" spans="15:26">
      <c r="O401" s="60"/>
      <c r="P401" s="64"/>
      <c r="Q401" s="147"/>
      <c r="R401" s="147"/>
      <c r="S401" s="147"/>
      <c r="T401" s="147"/>
      <c r="U401" s="147"/>
      <c r="V401" s="148"/>
      <c r="X401" s="65"/>
      <c r="Y401" s="65"/>
      <c r="Z401" s="65"/>
    </row>
    <row r="402" spans="15:26">
      <c r="O402" s="60"/>
      <c r="P402" s="64"/>
      <c r="Q402" s="147"/>
      <c r="R402" s="147"/>
      <c r="S402" s="147"/>
      <c r="T402" s="147"/>
      <c r="U402" s="147"/>
      <c r="V402" s="148"/>
      <c r="X402" s="65"/>
      <c r="Y402" s="65"/>
      <c r="Z402" s="65"/>
    </row>
    <row r="403" spans="15:26">
      <c r="O403" s="60"/>
      <c r="P403" s="64"/>
      <c r="Q403" s="147"/>
      <c r="R403" s="147"/>
      <c r="S403" s="147"/>
      <c r="T403" s="147"/>
      <c r="U403" s="147"/>
      <c r="V403" s="148"/>
      <c r="X403" s="65"/>
      <c r="Y403" s="65"/>
      <c r="Z403" s="65"/>
    </row>
    <row r="404" spans="15:26">
      <c r="O404" s="60"/>
      <c r="P404" s="64"/>
      <c r="Q404" s="147"/>
      <c r="R404" s="147"/>
      <c r="S404" s="147"/>
      <c r="T404" s="147"/>
      <c r="U404" s="147"/>
      <c r="V404" s="148"/>
      <c r="X404" s="65"/>
      <c r="Y404" s="65"/>
      <c r="Z404" s="65"/>
    </row>
    <row r="405" spans="15:26">
      <c r="O405" s="60"/>
      <c r="P405" s="64"/>
      <c r="Q405" s="147"/>
      <c r="R405" s="147"/>
      <c r="S405" s="147"/>
      <c r="T405" s="147"/>
      <c r="U405" s="147"/>
      <c r="V405" s="148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J29" sqref="J29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Agosto 2021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9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9"/>
      <c r="D8" s="77"/>
      <c r="E8" s="78"/>
      <c r="P8" s="80"/>
      <c r="Q8" s="80"/>
      <c r="R8" s="80"/>
    </row>
    <row r="9" spans="2:18" s="74" customFormat="1" ht="12.75" customHeight="1">
      <c r="B9" s="73"/>
      <c r="C9" s="329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9"/>
    </row>
    <row r="29" spans="2:9">
      <c r="E29" s="319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zoomScaleNormal="100" workbookViewId="0">
      <selection activeCell="E14" sqref="E14"/>
    </sheetView>
  </sheetViews>
  <sheetFormatPr baseColWidth="10" defaultColWidth="11.42578125" defaultRowHeight="11.25"/>
  <cols>
    <col min="1" max="1" width="11.42578125" style="165"/>
    <col min="2" max="2" width="40.5703125" style="165" customWidth="1"/>
    <col min="3" max="16384" width="11.42578125" style="165"/>
  </cols>
  <sheetData>
    <row r="3" spans="2:7">
      <c r="B3" s="105" t="s">
        <v>56</v>
      </c>
      <c r="C3" s="164"/>
      <c r="D3" s="164"/>
      <c r="E3" s="164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1" t="s">
        <v>81</v>
      </c>
      <c r="C5" s="127">
        <f>Dat_01!B33</f>
        <v>3331.4</v>
      </c>
      <c r="D5" s="109">
        <f>C5/$C$17*100</f>
        <v>3.1205017811158404</v>
      </c>
      <c r="E5" s="107"/>
      <c r="F5" s="108" t="s">
        <v>16</v>
      </c>
      <c r="G5" s="109">
        <f>SUM(D5:D10)</f>
        <v>42.784924158219646</v>
      </c>
    </row>
    <row r="6" spans="2:7">
      <c r="B6" s="108" t="s">
        <v>3</v>
      </c>
      <c r="C6" s="127">
        <f>Dat_01!B34</f>
        <v>7117.29</v>
      </c>
      <c r="D6" s="109">
        <f t="shared" ref="D6:D16" si="0">C6/$C$17*100</f>
        <v>6.6667215350056912</v>
      </c>
      <c r="E6" s="107"/>
      <c r="F6" s="211" t="s">
        <v>17</v>
      </c>
      <c r="G6" s="212">
        <f>SUM(D11:D16)</f>
        <v>57.207629125937189</v>
      </c>
    </row>
    <row r="7" spans="2:7">
      <c r="B7" s="108" t="s">
        <v>4</v>
      </c>
      <c r="C7" s="127">
        <f>Dat_01!B35</f>
        <v>4642.5150000000003</v>
      </c>
      <c r="D7" s="109">
        <f t="shared" si="0"/>
        <v>4.3486150946620059</v>
      </c>
      <c r="E7" s="107"/>
    </row>
    <row r="8" spans="2:7">
      <c r="B8" s="108" t="s">
        <v>11</v>
      </c>
      <c r="C8" s="127">
        <f>Dat_01!B36</f>
        <v>24561.845000000001</v>
      </c>
      <c r="D8" s="109">
        <f t="shared" si="0"/>
        <v>23.006928339434232</v>
      </c>
      <c r="E8" s="107"/>
    </row>
    <row r="9" spans="2:7">
      <c r="B9" s="108" t="s">
        <v>9</v>
      </c>
      <c r="C9" s="127">
        <f>Dat_01!B37</f>
        <v>5621.1045000000004</v>
      </c>
      <c r="D9" s="109">
        <f t="shared" si="0"/>
        <v>5.265253828446979</v>
      </c>
      <c r="E9" s="107"/>
    </row>
    <row r="10" spans="2:7">
      <c r="B10" s="108" t="s">
        <v>70</v>
      </c>
      <c r="C10" s="127">
        <f>Dat_01!B39</f>
        <v>402.37650000000002</v>
      </c>
      <c r="D10" s="109">
        <f t="shared" si="0"/>
        <v>0.37690357955488923</v>
      </c>
      <c r="E10" s="107"/>
    </row>
    <row r="11" spans="2:7">
      <c r="B11" s="108" t="s">
        <v>69</v>
      </c>
      <c r="C11" s="127">
        <f>Dat_01!B40</f>
        <v>131.6275</v>
      </c>
      <c r="D11" s="109">
        <f t="shared" si="0"/>
        <v>0.12329466536405874</v>
      </c>
      <c r="E11" s="107"/>
    </row>
    <row r="12" spans="2:7">
      <c r="B12" s="108" t="s">
        <v>5</v>
      </c>
      <c r="C12" s="127">
        <f>Dat_01!B41</f>
        <v>27456.9735</v>
      </c>
      <c r="D12" s="109">
        <f t="shared" si="0"/>
        <v>25.71877730407649</v>
      </c>
      <c r="E12" s="107"/>
    </row>
    <row r="13" spans="2:7">
      <c r="B13" s="108" t="s">
        <v>2</v>
      </c>
      <c r="C13" s="127">
        <f>Dat_01!B42</f>
        <v>17091.654030000002</v>
      </c>
      <c r="D13" s="109">
        <f t="shared" si="0"/>
        <v>16.009646647905004</v>
      </c>
      <c r="E13" s="107"/>
    </row>
    <row r="14" spans="2:7">
      <c r="B14" s="108" t="s">
        <v>6</v>
      </c>
      <c r="C14" s="127">
        <f>Dat_01!B43</f>
        <v>13004.937320999999</v>
      </c>
      <c r="D14" s="109">
        <f t="shared" si="0"/>
        <v>12.181644375782062</v>
      </c>
      <c r="E14" s="107"/>
    </row>
    <row r="15" spans="2:7">
      <c r="B15" s="108" t="s">
        <v>7</v>
      </c>
      <c r="C15" s="127">
        <f>Dat_01!B44</f>
        <v>2304.0129999999999</v>
      </c>
      <c r="D15" s="109">
        <f t="shared" si="0"/>
        <v>2.158154730808084</v>
      </c>
      <c r="E15" s="107"/>
    </row>
    <row r="16" spans="2:7">
      <c r="B16" s="108" t="s">
        <v>8</v>
      </c>
      <c r="C16" s="127">
        <f>Dat_01!B45</f>
        <v>1084.7850000000001</v>
      </c>
      <c r="D16" s="109">
        <f t="shared" si="0"/>
        <v>1.016111402001485</v>
      </c>
      <c r="E16" s="107"/>
    </row>
    <row r="17" spans="2:7">
      <c r="B17" s="110" t="s">
        <v>15</v>
      </c>
      <c r="C17" s="128">
        <f>SUM(C5:C16)+C18</f>
        <v>106758.47135100003</v>
      </c>
      <c r="D17" s="111">
        <f>SUM(D5:D16)+D18</f>
        <v>99.999999999999957</v>
      </c>
      <c r="E17" s="107"/>
    </row>
    <row r="18" spans="2:7">
      <c r="B18" s="108" t="s">
        <v>207</v>
      </c>
      <c r="C18" s="127">
        <f>Dat_01!B38</f>
        <v>7.95</v>
      </c>
      <c r="D18" s="109">
        <f>C18/$C$17*100</f>
        <v>7.446715843150307E-3</v>
      </c>
      <c r="E18" s="164"/>
    </row>
    <row r="19" spans="2:7">
      <c r="B19" s="105" t="s">
        <v>59</v>
      </c>
      <c r="C19" s="164"/>
      <c r="D19" s="164"/>
      <c r="E19" s="164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1" t="s">
        <v>81</v>
      </c>
      <c r="C21" s="127">
        <f>Dat_01!B50</f>
        <v>159.086738274</v>
      </c>
      <c r="D21" s="109">
        <f>C21/$C$33*100</f>
        <v>0.78767694422434542</v>
      </c>
      <c r="E21" s="107"/>
      <c r="F21" s="108" t="s">
        <v>16</v>
      </c>
      <c r="G21" s="109">
        <f>SUM(D21:D26)</f>
        <v>55.706031618325511</v>
      </c>
    </row>
    <row r="22" spans="2:7">
      <c r="B22" s="108" t="s">
        <v>3</v>
      </c>
      <c r="C22" s="127">
        <f>Dat_01!B51</f>
        <v>5150.2640140000003</v>
      </c>
      <c r="D22" s="109">
        <f t="shared" ref="D22:D24" si="1">C22/$C$33*100</f>
        <v>25.500203627967249</v>
      </c>
      <c r="E22" s="129"/>
      <c r="F22" s="211" t="s">
        <v>17</v>
      </c>
      <c r="G22" s="212">
        <f>SUM(D27:D32)</f>
        <v>44.29396838167451</v>
      </c>
    </row>
    <row r="23" spans="2:7">
      <c r="B23" s="108" t="s">
        <v>4</v>
      </c>
      <c r="C23" s="127">
        <f>Dat_01!B52</f>
        <v>320.34443199999998</v>
      </c>
      <c r="D23" s="109">
        <f t="shared" si="1"/>
        <v>1.5861028143178812</v>
      </c>
      <c r="E23" s="129"/>
    </row>
    <row r="24" spans="2:7">
      <c r="B24" s="108" t="s">
        <v>11</v>
      </c>
      <c r="C24" s="127">
        <f>Dat_01!B53</f>
        <v>3325.1988149999997</v>
      </c>
      <c r="D24" s="109">
        <f t="shared" si="1"/>
        <v>16.46386411560287</v>
      </c>
      <c r="E24" s="129"/>
    </row>
    <row r="25" spans="2:7">
      <c r="B25" s="108" t="s">
        <v>9</v>
      </c>
      <c r="C25" s="127">
        <f>Dat_01!B54</f>
        <v>2097.6266230000001</v>
      </c>
      <c r="D25" s="109">
        <f>C25/$C$33*100</f>
        <v>10.385857089373147</v>
      </c>
      <c r="E25" s="129"/>
    </row>
    <row r="26" spans="2:7">
      <c r="B26" s="108" t="s">
        <v>70</v>
      </c>
      <c r="C26" s="127">
        <f>Dat_01!B55</f>
        <v>198.40012299999998</v>
      </c>
      <c r="D26" s="109">
        <f>C26/$C$33*100</f>
        <v>0.98232702684001638</v>
      </c>
      <c r="E26" s="129"/>
    </row>
    <row r="27" spans="2:7">
      <c r="B27" s="108" t="s">
        <v>69</v>
      </c>
      <c r="C27" s="127">
        <f>Dat_01!B56</f>
        <v>67.949683999999991</v>
      </c>
      <c r="D27" s="109">
        <f t="shared" ref="D27:D28" si="2">C27/$C$33*100</f>
        <v>0.33643533103272633</v>
      </c>
      <c r="E27" s="129"/>
    </row>
    <row r="28" spans="2:7">
      <c r="B28" s="108" t="s">
        <v>5</v>
      </c>
      <c r="C28" s="127">
        <f>Dat_01!B57</f>
        <v>3597.1086889999997</v>
      </c>
      <c r="D28" s="109">
        <f t="shared" si="2"/>
        <v>17.810155710869992</v>
      </c>
      <c r="E28" s="129"/>
    </row>
    <row r="29" spans="2:7">
      <c r="B29" s="108" t="s">
        <v>2</v>
      </c>
      <c r="C29" s="127">
        <f>Dat_01!B58</f>
        <v>1879.8039341619999</v>
      </c>
      <c r="D29" s="109">
        <f>C29/$C$33*100</f>
        <v>9.3073642383151309</v>
      </c>
      <c r="E29" s="129"/>
    </row>
    <row r="30" spans="2:7">
      <c r="B30" s="108" t="s">
        <v>6</v>
      </c>
      <c r="C30" s="127">
        <f>Dat_01!B59</f>
        <v>2330.2383330000002</v>
      </c>
      <c r="D30" s="109">
        <f t="shared" ref="D30:D32" si="3">C30/$C$33*100</f>
        <v>11.537573963522826</v>
      </c>
      <c r="E30" s="129"/>
    </row>
    <row r="31" spans="2:7">
      <c r="B31" s="108" t="s">
        <v>7</v>
      </c>
      <c r="C31" s="127">
        <f>Dat_01!B60</f>
        <v>661.321641</v>
      </c>
      <c r="D31" s="109">
        <f t="shared" si="3"/>
        <v>3.2743635012186494</v>
      </c>
      <c r="E31" s="129"/>
    </row>
    <row r="32" spans="2:7">
      <c r="B32" s="108" t="s">
        <v>8</v>
      </c>
      <c r="C32" s="127">
        <f>Dat_01!B61</f>
        <v>409.60947299999998</v>
      </c>
      <c r="D32" s="109">
        <f t="shared" si="3"/>
        <v>2.0280756367151849</v>
      </c>
      <c r="E32" s="129"/>
    </row>
    <row r="33" spans="2:6">
      <c r="B33" s="110" t="s">
        <v>15</v>
      </c>
      <c r="C33" s="128">
        <f>SUM(C21:C32)</f>
        <v>20196.952499435996</v>
      </c>
      <c r="D33" s="111">
        <f>SUM(D21:D32)</f>
        <v>100.00000000000003</v>
      </c>
    </row>
    <row r="34" spans="2:6">
      <c r="B34" s="149"/>
      <c r="C34" s="164"/>
      <c r="D34" s="164"/>
      <c r="E34" s="164"/>
      <c r="F34" s="164"/>
    </row>
    <row r="35" spans="2:6">
      <c r="B35" s="149" t="s">
        <v>148</v>
      </c>
      <c r="C35" s="164"/>
      <c r="D35" s="164"/>
      <c r="E35" s="164"/>
      <c r="F35" s="213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0.39096298937046725</v>
      </c>
      <c r="D37" s="107"/>
      <c r="E37" s="108" t="s">
        <v>16</v>
      </c>
      <c r="F37" s="109">
        <f>SUM(C37:C42)</f>
        <v>45.036879277808268</v>
      </c>
    </row>
    <row r="38" spans="2:6">
      <c r="B38" s="108" t="s">
        <v>3</v>
      </c>
      <c r="C38" s="109">
        <f>Dat_01!B95</f>
        <v>22.680259436613795</v>
      </c>
      <c r="D38" s="107"/>
      <c r="E38" s="211" t="s">
        <v>17</v>
      </c>
      <c r="F38" s="212">
        <f>SUM(C43:C48)</f>
        <v>54.963120722191725</v>
      </c>
    </row>
    <row r="39" spans="2:6">
      <c r="B39" s="108" t="s">
        <v>4</v>
      </c>
      <c r="C39" s="109">
        <f>Dat_01!B96</f>
        <v>1.2941919426830188</v>
      </c>
      <c r="D39" s="107"/>
    </row>
    <row r="40" spans="2:6">
      <c r="B40" s="108" t="s">
        <v>11</v>
      </c>
      <c r="C40" s="109">
        <f>Dat_01!B97</f>
        <v>10.859041806963537</v>
      </c>
      <c r="D40" s="107"/>
    </row>
    <row r="41" spans="2:6">
      <c r="B41" s="108" t="s">
        <v>9</v>
      </c>
      <c r="C41" s="109">
        <f>Dat_01!B98</f>
        <v>8.9285956539197144</v>
      </c>
      <c r="D41" s="107"/>
      <c r="E41" s="107"/>
      <c r="F41" s="107"/>
    </row>
    <row r="42" spans="2:6">
      <c r="B42" s="108" t="s">
        <v>70</v>
      </c>
      <c r="C42" s="109">
        <f>Dat_01!B99</f>
        <v>0.88382744825773329</v>
      </c>
      <c r="D42" s="107"/>
      <c r="E42" s="107"/>
      <c r="F42" s="107"/>
    </row>
    <row r="43" spans="2:6">
      <c r="B43" s="108" t="s">
        <v>69</v>
      </c>
      <c r="C43" s="109">
        <f>Dat_01!B100</f>
        <v>0.30245614758509637</v>
      </c>
      <c r="D43" s="107"/>
      <c r="E43" s="107"/>
      <c r="F43" s="107"/>
    </row>
    <row r="44" spans="2:6">
      <c r="B44" s="108" t="s">
        <v>5</v>
      </c>
      <c r="C44" s="109">
        <f>Dat_01!B101</f>
        <v>33.604283170856966</v>
      </c>
      <c r="D44" s="107"/>
      <c r="E44" s="107"/>
      <c r="F44" s="107"/>
    </row>
    <row r="45" spans="2:6">
      <c r="B45" s="108" t="s">
        <v>2</v>
      </c>
      <c r="C45" s="109">
        <f>Dat_01!B102</f>
        <v>5.0850753299784328</v>
      </c>
      <c r="D45" s="107"/>
      <c r="E45" s="107"/>
      <c r="F45" s="107"/>
    </row>
    <row r="46" spans="2:6">
      <c r="B46" s="108" t="s">
        <v>6</v>
      </c>
      <c r="C46" s="109">
        <f>Dat_01!B103</f>
        <v>10.677012636965751</v>
      </c>
      <c r="D46" s="107"/>
      <c r="E46" s="107"/>
      <c r="F46" s="107"/>
    </row>
    <row r="47" spans="2:6">
      <c r="B47" s="108" t="s">
        <v>7</v>
      </c>
      <c r="C47" s="109">
        <f>Dat_01!B104</f>
        <v>3.5589171063392855</v>
      </c>
      <c r="D47" s="107"/>
      <c r="E47" s="107"/>
      <c r="F47" s="107"/>
    </row>
    <row r="48" spans="2:6">
      <c r="B48" s="108" t="s">
        <v>8</v>
      </c>
      <c r="C48" s="109">
        <f>Dat_01!B105</f>
        <v>1.7353763304661929</v>
      </c>
      <c r="D48" s="164"/>
      <c r="E48" s="164"/>
      <c r="F48" s="164"/>
    </row>
    <row r="49" spans="2:6">
      <c r="B49" s="110" t="s">
        <v>15</v>
      </c>
      <c r="C49" s="111">
        <f>SUM(C37:C48)</f>
        <v>100</v>
      </c>
      <c r="D49" s="164"/>
      <c r="E49" s="164"/>
      <c r="F49" s="164"/>
    </row>
    <row r="50" spans="2:6">
      <c r="B50" s="149"/>
      <c r="C50" s="164"/>
      <c r="D50" s="164"/>
      <c r="E50" s="164"/>
      <c r="F50" s="164"/>
    </row>
    <row r="51" spans="2:6">
      <c r="B51" s="149" t="s">
        <v>129</v>
      </c>
      <c r="C51" s="164"/>
      <c r="D51" s="164"/>
      <c r="E51" s="164"/>
      <c r="F51" s="213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0.69287353503403215</v>
      </c>
      <c r="D53" s="107"/>
      <c r="E53" s="108" t="s">
        <v>16</v>
      </c>
      <c r="F53" s="109">
        <f>SUM(C53:C58)</f>
        <v>29.009561479847868</v>
      </c>
    </row>
    <row r="54" spans="2:6">
      <c r="B54" s="108" t="s">
        <v>3</v>
      </c>
      <c r="C54" s="109">
        <f>Dat_01!H95</f>
        <v>17.396233501341406</v>
      </c>
      <c r="D54" s="107"/>
      <c r="E54" s="211" t="s">
        <v>17</v>
      </c>
      <c r="F54" s="212">
        <f>SUM(C59:C64)</f>
        <v>71.050048170977988</v>
      </c>
    </row>
    <row r="55" spans="2:6">
      <c r="B55" s="108" t="s">
        <v>4</v>
      </c>
      <c r="C55" s="109">
        <f>Dat_01!H96</f>
        <v>0</v>
      </c>
      <c r="D55" s="107"/>
    </row>
    <row r="56" spans="2:6">
      <c r="B56" s="108" t="s">
        <v>11</v>
      </c>
      <c r="C56" s="109">
        <f>Dat_01!H97</f>
        <v>2.8866594676324682</v>
      </c>
      <c r="D56" s="107"/>
    </row>
    <row r="57" spans="2:6">
      <c r="B57" s="108" t="s">
        <v>9</v>
      </c>
      <c r="C57" s="109">
        <f>Dat_01!H98</f>
        <v>7.3717055656322099</v>
      </c>
      <c r="D57" s="107"/>
      <c r="E57" s="107"/>
      <c r="F57" s="107"/>
    </row>
    <row r="58" spans="2:6">
      <c r="B58" s="108" t="s">
        <v>70</v>
      </c>
      <c r="C58" s="109">
        <f>Dat_01!H99</f>
        <v>0.66208941020774792</v>
      </c>
      <c r="D58" s="107"/>
      <c r="E58" s="107"/>
      <c r="F58" s="107"/>
    </row>
    <row r="59" spans="2:6">
      <c r="B59" s="108" t="s">
        <v>69</v>
      </c>
      <c r="C59" s="109">
        <f>Dat_01!H100</f>
        <v>0.22788295173986686</v>
      </c>
      <c r="D59" s="107"/>
      <c r="E59" s="107"/>
      <c r="F59" s="107"/>
    </row>
    <row r="60" spans="2:6">
      <c r="B60" s="108" t="s">
        <v>5</v>
      </c>
      <c r="C60" s="109">
        <f>Dat_01!H101</f>
        <v>49.409597566100615</v>
      </c>
      <c r="D60" s="107"/>
      <c r="E60" s="107"/>
      <c r="F60" s="107"/>
    </row>
    <row r="61" spans="2:6">
      <c r="B61" s="108" t="s">
        <v>2</v>
      </c>
      <c r="C61" s="109">
        <f>Dat_01!H102</f>
        <v>15.77299788250706</v>
      </c>
      <c r="D61" s="107"/>
      <c r="E61" s="107"/>
      <c r="F61" s="107"/>
    </row>
    <row r="62" spans="2:6">
      <c r="B62" s="108" t="s">
        <v>6</v>
      </c>
      <c r="C62" s="109">
        <f>Dat_01!H103</f>
        <v>3.6790456418855046</v>
      </c>
      <c r="D62" s="107"/>
      <c r="E62" s="107"/>
      <c r="F62" s="107"/>
    </row>
    <row r="63" spans="2:6">
      <c r="B63" s="108" t="s">
        <v>7</v>
      </c>
      <c r="C63" s="109">
        <f>Dat_01!H104</f>
        <v>0.17164642589485377</v>
      </c>
      <c r="D63" s="107"/>
      <c r="E63" s="107"/>
      <c r="F63" s="107"/>
    </row>
    <row r="64" spans="2:6">
      <c r="B64" s="108" t="s">
        <v>8</v>
      </c>
      <c r="C64" s="109">
        <f>Dat_01!H105</f>
        <v>1.7888777028500891</v>
      </c>
    </row>
    <row r="65" spans="2:16">
      <c r="B65" s="110" t="s">
        <v>15</v>
      </c>
      <c r="C65" s="111">
        <f>SUM(C53:C64)</f>
        <v>100.05960965082585</v>
      </c>
    </row>
    <row r="66" spans="2:16">
      <c r="B66" s="149"/>
      <c r="C66" s="164"/>
    </row>
    <row r="67" spans="2:16">
      <c r="B67" s="149" t="s">
        <v>62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</row>
    <row r="68" spans="2:16">
      <c r="B68" s="215"/>
      <c r="C68" s="216" t="str">
        <f>Dat_01!B140</f>
        <v>A</v>
      </c>
      <c r="D68" s="216" t="str">
        <f>Dat_01!C140</f>
        <v>S</v>
      </c>
      <c r="E68" s="216" t="str">
        <f>Dat_01!D140</f>
        <v>O</v>
      </c>
      <c r="F68" s="216" t="str">
        <f>Dat_01!E140</f>
        <v>N</v>
      </c>
      <c r="G68" s="216" t="str">
        <f>Dat_01!F140</f>
        <v>D</v>
      </c>
      <c r="H68" s="216" t="str">
        <f>Dat_01!G140</f>
        <v>E</v>
      </c>
      <c r="I68" s="216" t="str">
        <f>Dat_01!H140</f>
        <v>F</v>
      </c>
      <c r="J68" s="216" t="str">
        <f>Dat_01!I140</f>
        <v>M</v>
      </c>
      <c r="K68" s="216" t="str">
        <f>Dat_01!J140</f>
        <v>A</v>
      </c>
      <c r="L68" s="216" t="str">
        <f>Dat_01!K140</f>
        <v>M</v>
      </c>
      <c r="M68" s="216" t="str">
        <f>Dat_01!L140</f>
        <v>J</v>
      </c>
      <c r="N68" s="216" t="str">
        <f>Dat_01!M140</f>
        <v>J</v>
      </c>
      <c r="O68" s="216" t="str">
        <f>Dat_01!N140</f>
        <v>A</v>
      </c>
      <c r="P68" s="217"/>
    </row>
    <row r="69" spans="2:16">
      <c r="B69" s="218" t="s">
        <v>2</v>
      </c>
      <c r="C69" s="219">
        <f>Dat_01!B142</f>
        <v>1886.0039274440001</v>
      </c>
      <c r="D69" s="219">
        <f>Dat_01!C142</f>
        <v>1678.3274013719999</v>
      </c>
      <c r="E69" s="219">
        <f>Dat_01!D142</f>
        <v>1892.9846669420001</v>
      </c>
      <c r="F69" s="219">
        <f>Dat_01!E142</f>
        <v>2459.7328362960002</v>
      </c>
      <c r="G69" s="219">
        <f>Dat_01!F142</f>
        <v>3191.3531995479998</v>
      </c>
      <c r="H69" s="219">
        <f>Dat_01!G142</f>
        <v>4055.5224591820001</v>
      </c>
      <c r="I69" s="219">
        <f>Dat_01!H142</f>
        <v>4515.6890129479998</v>
      </c>
      <c r="J69" s="219">
        <f>Dat_01!I142</f>
        <v>3713.0280040799998</v>
      </c>
      <c r="K69" s="219">
        <f>Dat_01!J142</f>
        <v>2742.9927041320002</v>
      </c>
      <c r="L69" s="219">
        <f>Dat_01!K142</f>
        <v>2156.5677169599999</v>
      </c>
      <c r="M69" s="219">
        <f>Dat_01!L142</f>
        <v>2178.1559084280002</v>
      </c>
      <c r="N69" s="219">
        <f>Dat_01!M142</f>
        <v>2203.5825142980002</v>
      </c>
      <c r="O69" s="219">
        <f>Dat_01!N142</f>
        <v>1879.8039341619999</v>
      </c>
    </row>
    <row r="70" spans="2:16">
      <c r="B70" s="218" t="s">
        <v>81</v>
      </c>
      <c r="C70" s="219">
        <f>Dat_01!B143</f>
        <v>158.85512120000001</v>
      </c>
      <c r="D70" s="219">
        <f>Dat_01!C143</f>
        <v>187.668031348</v>
      </c>
      <c r="E70" s="219">
        <f>Dat_01!D143</f>
        <v>229.96202238999999</v>
      </c>
      <c r="F70" s="219">
        <f>Dat_01!E143</f>
        <v>205.997806862</v>
      </c>
      <c r="G70" s="219">
        <f>Dat_01!F143</f>
        <v>320.93024189800002</v>
      </c>
      <c r="H70" s="219">
        <f>Dat_01!G143</f>
        <v>320.51078940799999</v>
      </c>
      <c r="I70" s="219">
        <f>Dat_01!H143</f>
        <v>401.29321896599998</v>
      </c>
      <c r="J70" s="219">
        <f>Dat_01!I143</f>
        <v>330.80630354200002</v>
      </c>
      <c r="K70" s="219">
        <f>Dat_01!J143</f>
        <v>153.67971897199999</v>
      </c>
      <c r="L70" s="219">
        <f>Dat_01!K143</f>
        <v>238.70894406400001</v>
      </c>
      <c r="M70" s="219">
        <f>Dat_01!L143</f>
        <v>105.70565758799999</v>
      </c>
      <c r="N70" s="219">
        <f>Dat_01!M143</f>
        <v>115.790175512</v>
      </c>
      <c r="O70" s="219">
        <f>Dat_01!N143</f>
        <v>159.086738274</v>
      </c>
    </row>
    <row r="71" spans="2:16">
      <c r="B71" s="218" t="s">
        <v>3</v>
      </c>
      <c r="C71" s="219">
        <f>Dat_01!B144</f>
        <v>5151.9174220000004</v>
      </c>
      <c r="D71" s="219">
        <f>Dat_01!C144</f>
        <v>4871.2094020000004</v>
      </c>
      <c r="E71" s="219">
        <f>Dat_01!D144</f>
        <v>4528.3442359999999</v>
      </c>
      <c r="F71" s="219">
        <f>Dat_01!E144</f>
        <v>4639.755709</v>
      </c>
      <c r="G71" s="219">
        <f>Dat_01!F144</f>
        <v>5270.8108380000003</v>
      </c>
      <c r="H71" s="219">
        <f>Dat_01!G144</f>
        <v>5199.7405159999998</v>
      </c>
      <c r="I71" s="219">
        <f>Dat_01!H144</f>
        <v>4358.5151070000002</v>
      </c>
      <c r="J71" s="219">
        <f>Dat_01!I144</f>
        <v>4833.1364599999997</v>
      </c>
      <c r="K71" s="219">
        <f>Dat_01!J144</f>
        <v>4197.3329299999996</v>
      </c>
      <c r="L71" s="219">
        <f>Dat_01!K144</f>
        <v>4373.2508939999998</v>
      </c>
      <c r="M71" s="219">
        <f>Dat_01!L144</f>
        <v>3684.3838430000001</v>
      </c>
      <c r="N71" s="219">
        <f>Dat_01!M144</f>
        <v>5119.3959809999997</v>
      </c>
      <c r="O71" s="219">
        <f>Dat_01!N144</f>
        <v>5150.2640140000003</v>
      </c>
    </row>
    <row r="72" spans="2:16">
      <c r="B72" s="218" t="s">
        <v>4</v>
      </c>
      <c r="C72" s="219">
        <f>Dat_01!B145</f>
        <v>338.34884299999999</v>
      </c>
      <c r="D72" s="219">
        <f>Dat_01!C145</f>
        <v>282.55493999999999</v>
      </c>
      <c r="E72" s="219">
        <f>Dat_01!D145</f>
        <v>235.11278300000001</v>
      </c>
      <c r="F72" s="219">
        <f>Dat_01!E145</f>
        <v>336.18096000000003</v>
      </c>
      <c r="G72" s="219">
        <f>Dat_01!F145</f>
        <v>222.17338899999999</v>
      </c>
      <c r="H72" s="219">
        <f>Dat_01!G145</f>
        <v>558.54747499999996</v>
      </c>
      <c r="I72" s="219">
        <f>Dat_01!H145</f>
        <v>177.073452</v>
      </c>
      <c r="J72" s="219">
        <f>Dat_01!I145</f>
        <v>242.90618799999999</v>
      </c>
      <c r="K72" s="219">
        <f>Dat_01!J145</f>
        <v>270.940157</v>
      </c>
      <c r="L72" s="219">
        <f>Dat_01!K145</f>
        <v>333.46570800000001</v>
      </c>
      <c r="M72" s="219">
        <f>Dat_01!L145</f>
        <v>431.99096700000001</v>
      </c>
      <c r="N72" s="219">
        <f>Dat_01!M145</f>
        <v>302.41718100000003</v>
      </c>
      <c r="O72" s="219">
        <f>Dat_01!N145</f>
        <v>320.34443199999998</v>
      </c>
    </row>
    <row r="73" spans="2:16">
      <c r="B73" s="218" t="s">
        <v>130</v>
      </c>
      <c r="C73" s="219"/>
      <c r="D73" s="219"/>
      <c r="E73" s="219"/>
      <c r="F73" s="219"/>
      <c r="G73" s="219"/>
      <c r="H73" s="219"/>
      <c r="I73" s="219"/>
      <c r="J73" s="219"/>
      <c r="K73" s="219"/>
      <c r="L73" s="219"/>
      <c r="M73" s="219"/>
      <c r="N73" s="219"/>
      <c r="O73" s="219"/>
    </row>
    <row r="74" spans="2:16">
      <c r="B74" s="218" t="s">
        <v>131</v>
      </c>
      <c r="C74" s="219">
        <f>Dat_01!B146</f>
        <v>5051.1759519999996</v>
      </c>
      <c r="D74" s="219">
        <f>Dat_01!C146</f>
        <v>4546.4757390000004</v>
      </c>
      <c r="E74" s="219">
        <f>Dat_01!D146</f>
        <v>2791.0383710000001</v>
      </c>
      <c r="F74" s="219">
        <f>Dat_01!E146</f>
        <v>3221.3084140000001</v>
      </c>
      <c r="G74" s="219">
        <f>Dat_01!F146</f>
        <v>2564.8316060000002</v>
      </c>
      <c r="H74" s="219">
        <f>Dat_01!G146</f>
        <v>2188.3044850000001</v>
      </c>
      <c r="I74" s="219">
        <f>Dat_01!H146</f>
        <v>1086.83896</v>
      </c>
      <c r="J74" s="219">
        <f>Dat_01!I146</f>
        <v>1649.419373</v>
      </c>
      <c r="K74" s="219">
        <f>Dat_01!J146</f>
        <v>2865.8610100000001</v>
      </c>
      <c r="L74" s="219">
        <f>Dat_01!K146</f>
        <v>2004.7769000000001</v>
      </c>
      <c r="M74" s="219">
        <f>Dat_01!L146</f>
        <v>3136.247484</v>
      </c>
      <c r="N74" s="219">
        <f>Dat_01!M146</f>
        <v>3024.8909399999998</v>
      </c>
      <c r="O74" s="219">
        <f>Dat_01!N146</f>
        <v>3325.1988150000002</v>
      </c>
    </row>
    <row r="75" spans="2:16">
      <c r="B75" s="218" t="s">
        <v>5</v>
      </c>
      <c r="C75" s="219">
        <f>Dat_01!B147</f>
        <v>3508.4515270000002</v>
      </c>
      <c r="D75" s="219">
        <f>Dat_01!C147</f>
        <v>3962.2430210000002</v>
      </c>
      <c r="E75" s="219">
        <f>Dat_01!D147</f>
        <v>5669.7146759999996</v>
      </c>
      <c r="F75" s="219">
        <f>Dat_01!E147</f>
        <v>4154.0834599999998</v>
      </c>
      <c r="G75" s="219">
        <f>Dat_01!F147</f>
        <v>7378.7336489999998</v>
      </c>
      <c r="H75" s="219">
        <f>Dat_01!G147</f>
        <v>7019.2746690000004</v>
      </c>
      <c r="I75" s="219">
        <f>Dat_01!H147</f>
        <v>6235.5684270000002</v>
      </c>
      <c r="J75" s="219">
        <f>Dat_01!I147</f>
        <v>5521.443166</v>
      </c>
      <c r="K75" s="219">
        <f>Dat_01!J147</f>
        <v>4041.7178789999998</v>
      </c>
      <c r="L75" s="219">
        <f>Dat_01!K147</f>
        <v>4620.819896</v>
      </c>
      <c r="M75" s="219">
        <f>Dat_01!L147</f>
        <v>3532.9370509999999</v>
      </c>
      <c r="N75" s="219">
        <f>Dat_01!M147</f>
        <v>4120.4592439999997</v>
      </c>
      <c r="O75" s="219">
        <f>Dat_01!N147</f>
        <v>3597.1086890000001</v>
      </c>
    </row>
    <row r="76" spans="2:16">
      <c r="B76" s="218" t="s">
        <v>132</v>
      </c>
      <c r="C76" s="219">
        <f>Dat_01!B148</f>
        <v>1778.4640589999999</v>
      </c>
      <c r="D76" s="219">
        <f>Dat_01!C148</f>
        <v>1426.722043</v>
      </c>
      <c r="E76" s="219">
        <f>Dat_01!D148</f>
        <v>1283.3937249999999</v>
      </c>
      <c r="F76" s="219">
        <f>Dat_01!E148</f>
        <v>788.93134899999995</v>
      </c>
      <c r="G76" s="219">
        <f>Dat_01!F148</f>
        <v>719.15622399999995</v>
      </c>
      <c r="H76" s="219">
        <f>Dat_01!G148</f>
        <v>821.66945299999998</v>
      </c>
      <c r="I76" s="219">
        <f>Dat_01!H148</f>
        <v>944.59647700000005</v>
      </c>
      <c r="J76" s="219">
        <f>Dat_01!I148</f>
        <v>1648.188848</v>
      </c>
      <c r="K76" s="219">
        <f>Dat_01!J148</f>
        <v>1625.0275710000001</v>
      </c>
      <c r="L76" s="219">
        <f>Dat_01!K148</f>
        <v>2335.6640040000002</v>
      </c>
      <c r="M76" s="219">
        <f>Dat_01!L148</f>
        <v>2265.4350840000002</v>
      </c>
      <c r="N76" s="219">
        <f>Dat_01!M148</f>
        <v>2465.699314</v>
      </c>
      <c r="O76" s="219">
        <f>Dat_01!N148</f>
        <v>2330.2383329999998</v>
      </c>
    </row>
    <row r="77" spans="2:16">
      <c r="B77" s="218" t="s">
        <v>133</v>
      </c>
      <c r="C77" s="219">
        <f>Dat_01!B149</f>
        <v>744.54166099999998</v>
      </c>
      <c r="D77" s="219">
        <f>Dat_01!C149</f>
        <v>452.15923299999997</v>
      </c>
      <c r="E77" s="219">
        <f>Dat_01!D149</f>
        <v>340.27470899999997</v>
      </c>
      <c r="F77" s="219">
        <f>Dat_01!E149</f>
        <v>108.048269</v>
      </c>
      <c r="G77" s="219">
        <f>Dat_01!F149</f>
        <v>76.225913000000006</v>
      </c>
      <c r="H77" s="219">
        <f>Dat_01!G149</f>
        <v>102.634029</v>
      </c>
      <c r="I77" s="219">
        <f>Dat_01!H149</f>
        <v>138.18132700000001</v>
      </c>
      <c r="J77" s="219">
        <f>Dat_01!I149</f>
        <v>355.01542699999999</v>
      </c>
      <c r="K77" s="219">
        <f>Dat_01!J149</f>
        <v>266.78751899999997</v>
      </c>
      <c r="L77" s="219">
        <f>Dat_01!K149</f>
        <v>645.65319899999997</v>
      </c>
      <c r="M77" s="219">
        <f>Dat_01!L149</f>
        <v>655.36365000000001</v>
      </c>
      <c r="N77" s="219">
        <f>Dat_01!M149</f>
        <v>828.47839999999997</v>
      </c>
      <c r="O77" s="219">
        <f>Dat_01!N149</f>
        <v>661.321641</v>
      </c>
    </row>
    <row r="78" spans="2:16">
      <c r="B78" s="218" t="s">
        <v>9</v>
      </c>
      <c r="C78" s="219">
        <f>Dat_01!B151</f>
        <v>2191.606194</v>
      </c>
      <c r="D78" s="219">
        <f>Dat_01!C151</f>
        <v>2304.531516</v>
      </c>
      <c r="E78" s="219">
        <f>Dat_01!D151</f>
        <v>2351.3923199999999</v>
      </c>
      <c r="F78" s="219">
        <f>Dat_01!E151</f>
        <v>2386.903992</v>
      </c>
      <c r="G78" s="219">
        <f>Dat_01!F151</f>
        <v>2339.665661</v>
      </c>
      <c r="H78" s="219">
        <f>Dat_01!G151</f>
        <v>2400.83545</v>
      </c>
      <c r="I78" s="219">
        <f>Dat_01!H151</f>
        <v>1835.7706760000001</v>
      </c>
      <c r="J78" s="219">
        <f>Dat_01!I151</f>
        <v>2247.9164740000001</v>
      </c>
      <c r="K78" s="219">
        <f>Dat_01!J151</f>
        <v>2187.7371330000001</v>
      </c>
      <c r="L78" s="219">
        <f>Dat_01!K151</f>
        <v>2200.0301570000001</v>
      </c>
      <c r="M78" s="219">
        <f>Dat_01!L151</f>
        <v>2158.3921679999999</v>
      </c>
      <c r="N78" s="219">
        <f>Dat_01!M151</f>
        <v>2239.4408100000001</v>
      </c>
      <c r="O78" s="219">
        <f>Dat_01!N151</f>
        <v>2097.6266230000001</v>
      </c>
    </row>
    <row r="79" spans="2:16">
      <c r="B79" s="218" t="s">
        <v>134</v>
      </c>
      <c r="C79" s="219">
        <f>Dat_01!B152</f>
        <v>178.96316150000001</v>
      </c>
      <c r="D79" s="219">
        <f>Dat_01!C152</f>
        <v>173.89508950000001</v>
      </c>
      <c r="E79" s="219">
        <f>Dat_01!D152</f>
        <v>156.50662750000001</v>
      </c>
      <c r="F79" s="219">
        <f>Dat_01!E152</f>
        <v>180.74303649999999</v>
      </c>
      <c r="G79" s="219">
        <f>Dat_01!F152</f>
        <v>180.31613300000001</v>
      </c>
      <c r="H79" s="219">
        <f>Dat_01!G152</f>
        <v>175.14184499999999</v>
      </c>
      <c r="I79" s="219">
        <f>Dat_01!H152</f>
        <v>161.44275200000001</v>
      </c>
      <c r="J79" s="219">
        <f>Dat_01!I152</f>
        <v>171.48853299999999</v>
      </c>
      <c r="K79" s="219">
        <f>Dat_01!J152</f>
        <v>167.72491149999999</v>
      </c>
      <c r="L79" s="219">
        <f>Dat_01!K152</f>
        <v>170.74740800000001</v>
      </c>
      <c r="M79" s="219">
        <f>Dat_01!L152</f>
        <v>182.05203750000001</v>
      </c>
      <c r="N79" s="219">
        <f>Dat_01!M152</f>
        <v>193.13370449999999</v>
      </c>
      <c r="O79" s="219">
        <f>Dat_01!N152</f>
        <v>198.40012300000001</v>
      </c>
    </row>
    <row r="80" spans="2:16">
      <c r="B80" s="218" t="s">
        <v>135</v>
      </c>
      <c r="C80" s="219">
        <f>Dat_01!B153</f>
        <v>66.037119500000003</v>
      </c>
      <c r="D80" s="219">
        <f>Dat_01!C153</f>
        <v>58.507686499999998</v>
      </c>
      <c r="E80" s="219">
        <f>Dat_01!D153</f>
        <v>64.967821499999999</v>
      </c>
      <c r="F80" s="219">
        <f>Dat_01!E153</f>
        <v>67.556750500000007</v>
      </c>
      <c r="G80" s="219">
        <f>Dat_01!F153</f>
        <v>66.683813999999998</v>
      </c>
      <c r="H80" s="219">
        <f>Dat_01!G153</f>
        <v>52.060037999999999</v>
      </c>
      <c r="I80" s="219">
        <f>Dat_01!H153</f>
        <v>57.768275000000003</v>
      </c>
      <c r="J80" s="219">
        <f>Dat_01!I153</f>
        <v>61.963368000000003</v>
      </c>
      <c r="K80" s="219">
        <f>Dat_01!J153</f>
        <v>66.322567500000005</v>
      </c>
      <c r="L80" s="219">
        <f>Dat_01!K153</f>
        <v>53.009402999999999</v>
      </c>
      <c r="M80" s="219">
        <f>Dat_01!L153</f>
        <v>65.533088500000005</v>
      </c>
      <c r="N80" s="219">
        <f>Dat_01!M153</f>
        <v>70.069165499999997</v>
      </c>
      <c r="O80" s="219">
        <f>Dat_01!N153</f>
        <v>67.949684000000005</v>
      </c>
    </row>
    <row r="81" spans="2:15">
      <c r="B81" s="218" t="s">
        <v>136</v>
      </c>
      <c r="C81" s="219">
        <f>Dat_01!B150</f>
        <v>367.860117</v>
      </c>
      <c r="D81" s="219">
        <f>Dat_01!C150</f>
        <v>394.86022600000001</v>
      </c>
      <c r="E81" s="219">
        <f>Dat_01!D150</f>
        <v>414.07609600000001</v>
      </c>
      <c r="F81" s="219">
        <f>Dat_01!E150</f>
        <v>393.05924800000003</v>
      </c>
      <c r="G81" s="219">
        <f>Dat_01!F150</f>
        <v>422.601923</v>
      </c>
      <c r="H81" s="219">
        <f>Dat_01!G150</f>
        <v>389.92807800000003</v>
      </c>
      <c r="I81" s="219">
        <f>Dat_01!H150</f>
        <v>364.09361200000001</v>
      </c>
      <c r="J81" s="219">
        <f>Dat_01!I150</f>
        <v>358.00908700000002</v>
      </c>
      <c r="K81" s="219">
        <f>Dat_01!J150</f>
        <v>391.39413100000002</v>
      </c>
      <c r="L81" s="219">
        <f>Dat_01!K150</f>
        <v>390.09032500000001</v>
      </c>
      <c r="M81" s="219">
        <f>Dat_01!L150</f>
        <v>357.15492699999999</v>
      </c>
      <c r="N81" s="219">
        <f>Dat_01!M150</f>
        <v>351.58971200000002</v>
      </c>
      <c r="O81" s="219">
        <f>Dat_01!N150</f>
        <v>409.60947299999998</v>
      </c>
    </row>
    <row r="82" spans="2:15">
      <c r="B82" s="218" t="s">
        <v>137</v>
      </c>
      <c r="C82" s="219">
        <f>Dat_01!B154</f>
        <v>21422.225104644</v>
      </c>
      <c r="D82" s="219">
        <f>Dat_01!C154</f>
        <v>20339.15432872</v>
      </c>
      <c r="E82" s="219">
        <f>Dat_01!D154</f>
        <v>19957.768054331998</v>
      </c>
      <c r="F82" s="219">
        <f>Dat_01!E154</f>
        <v>18942.301831158002</v>
      </c>
      <c r="G82" s="219">
        <f>Dat_01!F154</f>
        <v>22753.482591445994</v>
      </c>
      <c r="H82" s="219">
        <f>Dat_01!G154</f>
        <v>23284.169286589997</v>
      </c>
      <c r="I82" s="219">
        <f>Dat_01!H154</f>
        <v>20276.831296913999</v>
      </c>
      <c r="J82" s="219">
        <f>Dat_01!I154</f>
        <v>21133.321231622002</v>
      </c>
      <c r="K82" s="219">
        <f>Dat_01!J154</f>
        <v>18977.518232103997</v>
      </c>
      <c r="L82" s="219">
        <f>Dat_01!K154</f>
        <v>19522.784555024002</v>
      </c>
      <c r="M82" s="219">
        <f>Dat_01!L154</f>
        <v>18753.351866016001</v>
      </c>
      <c r="N82" s="219">
        <f>Dat_01!M154</f>
        <v>21034.94714181</v>
      </c>
      <c r="O82" s="219">
        <f>Dat_01!N154</f>
        <v>20196.952499436</v>
      </c>
    </row>
    <row r="83" spans="2:15">
      <c r="B83" s="218" t="s">
        <v>138</v>
      </c>
      <c r="C83" s="219"/>
      <c r="D83" s="219"/>
      <c r="E83" s="219"/>
      <c r="F83" s="219"/>
      <c r="G83" s="219"/>
      <c r="H83" s="219"/>
      <c r="I83" s="219"/>
      <c r="J83" s="219"/>
      <c r="K83" s="219"/>
      <c r="L83" s="219"/>
      <c r="M83" s="219"/>
      <c r="N83" s="219"/>
      <c r="O83" s="219"/>
    </row>
    <row r="84" spans="2:15">
      <c r="B84" s="218" t="s">
        <v>139</v>
      </c>
      <c r="C84" s="219"/>
      <c r="D84" s="219"/>
      <c r="E84" s="219"/>
      <c r="F84" s="219"/>
      <c r="G84" s="219"/>
      <c r="H84" s="219"/>
      <c r="I84" s="219"/>
      <c r="J84" s="219"/>
      <c r="K84" s="219"/>
      <c r="L84" s="219"/>
      <c r="M84" s="219"/>
      <c r="N84" s="219"/>
      <c r="O84" s="219"/>
    </row>
    <row r="85" spans="2:15">
      <c r="B85" s="218" t="s">
        <v>140</v>
      </c>
      <c r="C85" s="219"/>
      <c r="D85" s="219"/>
      <c r="E85" s="219"/>
      <c r="F85" s="219"/>
      <c r="G85" s="219"/>
      <c r="H85" s="219"/>
      <c r="I85" s="219"/>
      <c r="J85" s="219"/>
      <c r="K85" s="219"/>
      <c r="L85" s="219"/>
      <c r="M85" s="219"/>
      <c r="N85" s="219"/>
      <c r="O85" s="219"/>
    </row>
    <row r="86" spans="2:15">
      <c r="B86" s="220" t="s">
        <v>141</v>
      </c>
      <c r="C86" s="221"/>
      <c r="D86" s="221"/>
      <c r="E86" s="221"/>
      <c r="F86" s="221"/>
      <c r="G86" s="221"/>
      <c r="H86" s="221"/>
      <c r="I86" s="221"/>
      <c r="J86" s="221"/>
      <c r="K86" s="221"/>
      <c r="L86" s="221"/>
      <c r="M86" s="221"/>
      <c r="N86" s="221"/>
      <c r="O86" s="221"/>
    </row>
    <row r="88" spans="2:15">
      <c r="B88" s="222" t="s">
        <v>17</v>
      </c>
      <c r="C88" s="223">
        <f t="shared" ref="C88:O88" si="4">SUM(C69,C75:C77,C80:C81)</f>
        <v>8351.3584109439998</v>
      </c>
      <c r="D88" s="223">
        <f t="shared" si="4"/>
        <v>7972.8196108720003</v>
      </c>
      <c r="E88" s="223">
        <f t="shared" si="4"/>
        <v>9665.4116944420002</v>
      </c>
      <c r="F88" s="223">
        <f t="shared" si="4"/>
        <v>7971.4119127960003</v>
      </c>
      <c r="G88" s="223">
        <f t="shared" si="4"/>
        <v>11854.754722547999</v>
      </c>
      <c r="H88" s="223">
        <f t="shared" si="4"/>
        <v>12441.088726182003</v>
      </c>
      <c r="I88" s="223">
        <f t="shared" si="4"/>
        <v>12255.897130948</v>
      </c>
      <c r="J88" s="223">
        <f t="shared" si="4"/>
        <v>11657.647900080001</v>
      </c>
      <c r="K88" s="223">
        <f t="shared" si="4"/>
        <v>9134.2423716320009</v>
      </c>
      <c r="L88" s="223">
        <f t="shared" si="4"/>
        <v>10201.804543959999</v>
      </c>
      <c r="M88" s="223">
        <f t="shared" si="4"/>
        <v>9054.5797089280004</v>
      </c>
      <c r="N88" s="223">
        <f t="shared" si="4"/>
        <v>10039.878349798</v>
      </c>
      <c r="O88" s="223">
        <f t="shared" si="4"/>
        <v>8946.0317541620007</v>
      </c>
    </row>
    <row r="89" spans="2:15">
      <c r="B89" s="220" t="s">
        <v>16</v>
      </c>
      <c r="C89" s="221">
        <f t="shared" ref="C89:O89" si="5">SUM(C70:C74,C78:C79)</f>
        <v>13070.8666937</v>
      </c>
      <c r="D89" s="221">
        <f t="shared" si="5"/>
        <v>12366.334717848002</v>
      </c>
      <c r="E89" s="221">
        <f t="shared" si="5"/>
        <v>10292.356359890002</v>
      </c>
      <c r="F89" s="221">
        <f t="shared" si="5"/>
        <v>10970.889918362</v>
      </c>
      <c r="G89" s="221">
        <f t="shared" si="5"/>
        <v>10898.727868898</v>
      </c>
      <c r="H89" s="221">
        <f t="shared" si="5"/>
        <v>10843.080560408001</v>
      </c>
      <c r="I89" s="221">
        <f t="shared" si="5"/>
        <v>8020.9341659659995</v>
      </c>
      <c r="J89" s="221">
        <f t="shared" si="5"/>
        <v>9475.6733315419988</v>
      </c>
      <c r="K89" s="221">
        <f t="shared" si="5"/>
        <v>9843.2758604720002</v>
      </c>
      <c r="L89" s="221">
        <f t="shared" si="5"/>
        <v>9320.980011063999</v>
      </c>
      <c r="M89" s="221">
        <f t="shared" si="5"/>
        <v>9698.7721570880003</v>
      </c>
      <c r="N89" s="221">
        <f t="shared" si="5"/>
        <v>10995.068792012</v>
      </c>
      <c r="O89" s="221">
        <f t="shared" si="5"/>
        <v>11250.920745273999</v>
      </c>
    </row>
    <row r="91" spans="2:15">
      <c r="B91" s="222" t="s">
        <v>17</v>
      </c>
      <c r="C91" s="224">
        <f>SUM(C69/SUM(C88:C89)*100,C75/SUM(C88:C89)*100,C76/SUM(C88:C89)*100,C77/SUM(C88:C89)*100,C80/SUM(C88:C89)*100,C81/SUM(C88:C89)*100)</f>
        <v>38.984551652076327</v>
      </c>
      <c r="D91" s="224">
        <f t="shared" ref="D91:O91" si="6">SUM(D69/SUM(D88:D89)*100,D75/SUM(D88:D89)*100,D76/SUM(D88:D89)*100,D77/SUM(D88:D89)*100,D80/SUM(D88:D89)*100,D81/SUM(D88:D89)*100)</f>
        <v>39.199366315904008</v>
      </c>
      <c r="E91" s="224">
        <f t="shared" si="6"/>
        <v>48.429321696340899</v>
      </c>
      <c r="F91" s="224">
        <f t="shared" si="6"/>
        <v>42.082593677627422</v>
      </c>
      <c r="G91" s="224">
        <f t="shared" si="6"/>
        <v>52.100836322105273</v>
      </c>
      <c r="H91" s="224">
        <f t="shared" si="6"/>
        <v>53.431533558498764</v>
      </c>
      <c r="I91" s="224">
        <f t="shared" si="6"/>
        <v>60.442861862806282</v>
      </c>
      <c r="J91" s="224">
        <f t="shared" si="6"/>
        <v>55.162403354928152</v>
      </c>
      <c r="K91" s="224">
        <f t="shared" si="6"/>
        <v>48.131911980881313</v>
      </c>
      <c r="L91" s="224">
        <f t="shared" si="6"/>
        <v>52.255888575765006</v>
      </c>
      <c r="M91" s="224">
        <f t="shared" si="6"/>
        <v>48.282460509559954</v>
      </c>
      <c r="N91" s="224">
        <f t="shared" si="6"/>
        <v>47.72951546829556</v>
      </c>
      <c r="O91" s="224">
        <f t="shared" si="6"/>
        <v>44.29396838167451</v>
      </c>
    </row>
    <row r="92" spans="2:15">
      <c r="B92" s="220" t="s">
        <v>16</v>
      </c>
      <c r="C92" s="306">
        <f t="shared" ref="C92" si="7">100-C91</f>
        <v>61.015448347923673</v>
      </c>
      <c r="D92" s="306">
        <f t="shared" ref="D92:O92" si="8">100-D91</f>
        <v>60.800633684095992</v>
      </c>
      <c r="E92" s="306">
        <f t="shared" si="8"/>
        <v>51.570678303659101</v>
      </c>
      <c r="F92" s="306">
        <f t="shared" si="8"/>
        <v>57.917406322372578</v>
      </c>
      <c r="G92" s="306">
        <f t="shared" si="8"/>
        <v>47.899163677894727</v>
      </c>
      <c r="H92" s="306">
        <f t="shared" si="8"/>
        <v>46.568466441501236</v>
      </c>
      <c r="I92" s="306">
        <f t="shared" si="8"/>
        <v>39.557138137193718</v>
      </c>
      <c r="J92" s="306">
        <f t="shared" si="8"/>
        <v>44.837596645071848</v>
      </c>
      <c r="K92" s="306">
        <f t="shared" si="8"/>
        <v>51.868088019118687</v>
      </c>
      <c r="L92" s="306">
        <f t="shared" si="8"/>
        <v>47.744111424234994</v>
      </c>
      <c r="M92" s="306">
        <f t="shared" si="8"/>
        <v>51.717539490440046</v>
      </c>
      <c r="N92" s="306">
        <f t="shared" si="8"/>
        <v>52.27048453170444</v>
      </c>
      <c r="O92" s="306">
        <f t="shared" si="8"/>
        <v>55.70603161832549</v>
      </c>
    </row>
    <row r="94" spans="2:15">
      <c r="B94" s="165" t="s">
        <v>84</v>
      </c>
    </row>
    <row r="95" spans="2:15">
      <c r="B95" s="165" t="s">
        <v>85</v>
      </c>
    </row>
    <row r="97" spans="2:16">
      <c r="B97" s="149" t="s">
        <v>142</v>
      </c>
      <c r="C97" s="217"/>
      <c r="D97" s="217"/>
      <c r="E97" s="217"/>
      <c r="F97" s="217"/>
      <c r="G97" s="217"/>
      <c r="H97" s="217"/>
      <c r="I97" s="217"/>
      <c r="J97" s="217"/>
      <c r="K97" s="217"/>
      <c r="L97" s="217"/>
      <c r="M97" s="217"/>
      <c r="N97" s="217"/>
      <c r="O97" s="217"/>
      <c r="P97" s="217"/>
    </row>
    <row r="98" spans="2:16">
      <c r="B98" s="215"/>
      <c r="C98" s="216" t="str">
        <f>Dat_01!B140</f>
        <v>A</v>
      </c>
      <c r="D98" s="216" t="str">
        <f>Dat_01!C140</f>
        <v>S</v>
      </c>
      <c r="E98" s="216" t="str">
        <f>Dat_01!D140</f>
        <v>O</v>
      </c>
      <c r="F98" s="216" t="str">
        <f>Dat_01!E140</f>
        <v>N</v>
      </c>
      <c r="G98" s="216" t="str">
        <f>Dat_01!F140</f>
        <v>D</v>
      </c>
      <c r="H98" s="216" t="str">
        <f>Dat_01!G140</f>
        <v>E</v>
      </c>
      <c r="I98" s="216" t="str">
        <f>Dat_01!H140</f>
        <v>F</v>
      </c>
      <c r="J98" s="216" t="str">
        <f>Dat_01!I140</f>
        <v>M</v>
      </c>
      <c r="K98" s="216" t="str">
        <f>Dat_01!J140</f>
        <v>A</v>
      </c>
      <c r="L98" s="216" t="str">
        <f>Dat_01!K140</f>
        <v>M</v>
      </c>
      <c r="M98" s="216" t="str">
        <f>Dat_01!L140</f>
        <v>J</v>
      </c>
      <c r="N98" s="216" t="str">
        <f>Dat_01!M140</f>
        <v>J</v>
      </c>
      <c r="O98" s="216" t="str">
        <f>Dat_01!N140</f>
        <v>A</v>
      </c>
      <c r="P98" s="217"/>
    </row>
    <row r="99" spans="2:16">
      <c r="B99" s="218" t="s">
        <v>2</v>
      </c>
      <c r="C99" s="219">
        <f>C69</f>
        <v>1886.0039274440001</v>
      </c>
      <c r="D99" s="219">
        <f t="shared" ref="D99:O99" si="9">D69</f>
        <v>1678.3274013719999</v>
      </c>
      <c r="E99" s="219">
        <f t="shared" si="9"/>
        <v>1892.9846669420001</v>
      </c>
      <c r="F99" s="219">
        <f t="shared" si="9"/>
        <v>2459.7328362960002</v>
      </c>
      <c r="G99" s="219">
        <f t="shared" si="9"/>
        <v>3191.3531995479998</v>
      </c>
      <c r="H99" s="219">
        <f t="shared" si="9"/>
        <v>4055.5224591820001</v>
      </c>
      <c r="I99" s="219">
        <f t="shared" si="9"/>
        <v>4515.6890129479998</v>
      </c>
      <c r="J99" s="219">
        <f t="shared" si="9"/>
        <v>3713.0280040799998</v>
      </c>
      <c r="K99" s="219">
        <f t="shared" si="9"/>
        <v>2742.9927041320002</v>
      </c>
      <c r="L99" s="219">
        <f t="shared" si="9"/>
        <v>2156.5677169599999</v>
      </c>
      <c r="M99" s="219">
        <f t="shared" si="9"/>
        <v>2178.1559084280002</v>
      </c>
      <c r="N99" s="219">
        <f t="shared" si="9"/>
        <v>2203.5825142980002</v>
      </c>
      <c r="O99" s="219">
        <f t="shared" si="9"/>
        <v>1879.8039341619999</v>
      </c>
    </row>
    <row r="100" spans="2:16">
      <c r="B100" s="218" t="s">
        <v>81</v>
      </c>
      <c r="C100" s="219">
        <f t="shared" ref="C100:O112" si="10">C70</f>
        <v>158.85512120000001</v>
      </c>
      <c r="D100" s="219">
        <f t="shared" si="10"/>
        <v>187.668031348</v>
      </c>
      <c r="E100" s="219">
        <f t="shared" si="10"/>
        <v>229.96202238999999</v>
      </c>
      <c r="F100" s="219">
        <f t="shared" si="10"/>
        <v>205.997806862</v>
      </c>
      <c r="G100" s="219">
        <f t="shared" si="10"/>
        <v>320.93024189800002</v>
      </c>
      <c r="H100" s="219">
        <f t="shared" si="10"/>
        <v>320.51078940799999</v>
      </c>
      <c r="I100" s="219">
        <f t="shared" si="10"/>
        <v>401.29321896599998</v>
      </c>
      <c r="J100" s="219">
        <f t="shared" si="10"/>
        <v>330.80630354200002</v>
      </c>
      <c r="K100" s="219">
        <f t="shared" si="10"/>
        <v>153.67971897199999</v>
      </c>
      <c r="L100" s="219">
        <f t="shared" si="10"/>
        <v>238.70894406400001</v>
      </c>
      <c r="M100" s="219">
        <f t="shared" si="10"/>
        <v>105.70565758799999</v>
      </c>
      <c r="N100" s="219">
        <f t="shared" si="10"/>
        <v>115.790175512</v>
      </c>
      <c r="O100" s="219">
        <f t="shared" si="10"/>
        <v>159.086738274</v>
      </c>
    </row>
    <row r="101" spans="2:16">
      <c r="B101" s="218" t="s">
        <v>3</v>
      </c>
      <c r="C101" s="219">
        <f t="shared" si="10"/>
        <v>5151.9174220000004</v>
      </c>
      <c r="D101" s="219">
        <f t="shared" si="10"/>
        <v>4871.2094020000004</v>
      </c>
      <c r="E101" s="219">
        <f t="shared" si="10"/>
        <v>4528.3442359999999</v>
      </c>
      <c r="F101" s="219">
        <f t="shared" si="10"/>
        <v>4639.755709</v>
      </c>
      <c r="G101" s="219">
        <f t="shared" si="10"/>
        <v>5270.8108380000003</v>
      </c>
      <c r="H101" s="219">
        <f t="shared" si="10"/>
        <v>5199.7405159999998</v>
      </c>
      <c r="I101" s="219">
        <f t="shared" si="10"/>
        <v>4358.5151070000002</v>
      </c>
      <c r="J101" s="219">
        <f t="shared" si="10"/>
        <v>4833.1364599999997</v>
      </c>
      <c r="K101" s="219">
        <f t="shared" si="10"/>
        <v>4197.3329299999996</v>
      </c>
      <c r="L101" s="219">
        <f t="shared" si="10"/>
        <v>4373.2508939999998</v>
      </c>
      <c r="M101" s="219">
        <f t="shared" si="10"/>
        <v>3684.3838430000001</v>
      </c>
      <c r="N101" s="219">
        <f t="shared" si="10"/>
        <v>5119.3959809999997</v>
      </c>
      <c r="O101" s="219">
        <f t="shared" si="10"/>
        <v>5150.2640140000003</v>
      </c>
    </row>
    <row r="102" spans="2:16">
      <c r="B102" s="218" t="s">
        <v>4</v>
      </c>
      <c r="C102" s="219">
        <f t="shared" si="10"/>
        <v>338.34884299999999</v>
      </c>
      <c r="D102" s="219">
        <f t="shared" si="10"/>
        <v>282.55493999999999</v>
      </c>
      <c r="E102" s="219">
        <f t="shared" si="10"/>
        <v>235.11278300000001</v>
      </c>
      <c r="F102" s="219">
        <f t="shared" si="10"/>
        <v>336.18096000000003</v>
      </c>
      <c r="G102" s="219">
        <f t="shared" si="10"/>
        <v>222.17338899999999</v>
      </c>
      <c r="H102" s="219">
        <f t="shared" si="10"/>
        <v>558.54747499999996</v>
      </c>
      <c r="I102" s="219">
        <f t="shared" si="10"/>
        <v>177.073452</v>
      </c>
      <c r="J102" s="219">
        <f t="shared" si="10"/>
        <v>242.90618799999999</v>
      </c>
      <c r="K102" s="219">
        <f t="shared" si="10"/>
        <v>270.940157</v>
      </c>
      <c r="L102" s="219">
        <f t="shared" si="10"/>
        <v>333.46570800000001</v>
      </c>
      <c r="M102" s="219">
        <f t="shared" si="10"/>
        <v>431.99096700000001</v>
      </c>
      <c r="N102" s="219">
        <f t="shared" si="10"/>
        <v>302.41718100000003</v>
      </c>
      <c r="O102" s="219">
        <f t="shared" si="10"/>
        <v>320.34443199999998</v>
      </c>
    </row>
    <row r="103" spans="2:16">
      <c r="B103" s="218" t="s">
        <v>130</v>
      </c>
      <c r="C103" s="219">
        <f t="shared" si="10"/>
        <v>0</v>
      </c>
      <c r="D103" s="219">
        <f t="shared" si="10"/>
        <v>0</v>
      </c>
      <c r="E103" s="219">
        <f t="shared" si="10"/>
        <v>0</v>
      </c>
      <c r="F103" s="219">
        <f t="shared" si="10"/>
        <v>0</v>
      </c>
      <c r="G103" s="219">
        <f t="shared" si="10"/>
        <v>0</v>
      </c>
      <c r="H103" s="219">
        <f t="shared" si="10"/>
        <v>0</v>
      </c>
      <c r="I103" s="219">
        <f t="shared" si="10"/>
        <v>0</v>
      </c>
      <c r="J103" s="219">
        <f t="shared" si="10"/>
        <v>0</v>
      </c>
      <c r="K103" s="219">
        <f t="shared" si="10"/>
        <v>0</v>
      </c>
      <c r="L103" s="219">
        <f t="shared" si="10"/>
        <v>0</v>
      </c>
      <c r="M103" s="219">
        <f t="shared" si="10"/>
        <v>0</v>
      </c>
      <c r="N103" s="219">
        <f t="shared" si="10"/>
        <v>0</v>
      </c>
      <c r="O103" s="219">
        <f t="shared" si="10"/>
        <v>0</v>
      </c>
    </row>
    <row r="104" spans="2:16">
      <c r="B104" s="218" t="s">
        <v>131</v>
      </c>
      <c r="C104" s="219">
        <f t="shared" si="10"/>
        <v>5051.1759519999996</v>
      </c>
      <c r="D104" s="219">
        <f t="shared" si="10"/>
        <v>4546.4757390000004</v>
      </c>
      <c r="E104" s="219">
        <f t="shared" si="10"/>
        <v>2791.0383710000001</v>
      </c>
      <c r="F104" s="219">
        <f t="shared" si="10"/>
        <v>3221.3084140000001</v>
      </c>
      <c r="G104" s="219">
        <f t="shared" si="10"/>
        <v>2564.8316060000002</v>
      </c>
      <c r="H104" s="219">
        <f t="shared" si="10"/>
        <v>2188.3044850000001</v>
      </c>
      <c r="I104" s="219">
        <f t="shared" si="10"/>
        <v>1086.83896</v>
      </c>
      <c r="J104" s="219">
        <f t="shared" si="10"/>
        <v>1649.419373</v>
      </c>
      <c r="K104" s="219">
        <f t="shared" si="10"/>
        <v>2865.8610100000001</v>
      </c>
      <c r="L104" s="219">
        <f t="shared" si="10"/>
        <v>2004.7769000000001</v>
      </c>
      <c r="M104" s="219">
        <f t="shared" si="10"/>
        <v>3136.247484</v>
      </c>
      <c r="N104" s="219">
        <f t="shared" si="10"/>
        <v>3024.8909399999998</v>
      </c>
      <c r="O104" s="219">
        <f t="shared" si="10"/>
        <v>3325.1988150000002</v>
      </c>
    </row>
    <row r="105" spans="2:16">
      <c r="B105" s="218" t="s">
        <v>5</v>
      </c>
      <c r="C105" s="219">
        <f t="shared" si="10"/>
        <v>3508.4515270000002</v>
      </c>
      <c r="D105" s="219">
        <f t="shared" si="10"/>
        <v>3962.2430210000002</v>
      </c>
      <c r="E105" s="219">
        <f t="shared" si="10"/>
        <v>5669.7146759999996</v>
      </c>
      <c r="F105" s="219">
        <f t="shared" si="10"/>
        <v>4154.0834599999998</v>
      </c>
      <c r="G105" s="219">
        <f t="shared" si="10"/>
        <v>7378.7336489999998</v>
      </c>
      <c r="H105" s="219">
        <f t="shared" si="10"/>
        <v>7019.2746690000004</v>
      </c>
      <c r="I105" s="219">
        <f t="shared" si="10"/>
        <v>6235.5684270000002</v>
      </c>
      <c r="J105" s="219">
        <f t="shared" si="10"/>
        <v>5521.443166</v>
      </c>
      <c r="K105" s="219">
        <f t="shared" si="10"/>
        <v>4041.7178789999998</v>
      </c>
      <c r="L105" s="219">
        <f t="shared" si="10"/>
        <v>4620.819896</v>
      </c>
      <c r="M105" s="219">
        <f t="shared" si="10"/>
        <v>3532.9370509999999</v>
      </c>
      <c r="N105" s="219">
        <f t="shared" si="10"/>
        <v>4120.4592439999997</v>
      </c>
      <c r="O105" s="219">
        <f t="shared" si="10"/>
        <v>3597.1086890000001</v>
      </c>
    </row>
    <row r="106" spans="2:16">
      <c r="B106" s="218" t="s">
        <v>132</v>
      </c>
      <c r="C106" s="219">
        <f t="shared" si="10"/>
        <v>1778.4640589999999</v>
      </c>
      <c r="D106" s="219">
        <f t="shared" si="10"/>
        <v>1426.722043</v>
      </c>
      <c r="E106" s="219">
        <f t="shared" si="10"/>
        <v>1283.3937249999999</v>
      </c>
      <c r="F106" s="219">
        <f t="shared" si="10"/>
        <v>788.93134899999995</v>
      </c>
      <c r="G106" s="219">
        <f t="shared" si="10"/>
        <v>719.15622399999995</v>
      </c>
      <c r="H106" s="219">
        <f t="shared" si="10"/>
        <v>821.66945299999998</v>
      </c>
      <c r="I106" s="219">
        <f t="shared" si="10"/>
        <v>944.59647700000005</v>
      </c>
      <c r="J106" s="219">
        <f t="shared" si="10"/>
        <v>1648.188848</v>
      </c>
      <c r="K106" s="219">
        <f t="shared" si="10"/>
        <v>1625.0275710000001</v>
      </c>
      <c r="L106" s="219">
        <f t="shared" si="10"/>
        <v>2335.6640040000002</v>
      </c>
      <c r="M106" s="219">
        <f t="shared" si="10"/>
        <v>2265.4350840000002</v>
      </c>
      <c r="N106" s="219">
        <f t="shared" si="10"/>
        <v>2465.699314</v>
      </c>
      <c r="O106" s="219">
        <f t="shared" si="10"/>
        <v>2330.2383329999998</v>
      </c>
    </row>
    <row r="107" spans="2:16">
      <c r="B107" s="218" t="s">
        <v>133</v>
      </c>
      <c r="C107" s="219">
        <f t="shared" si="10"/>
        <v>744.54166099999998</v>
      </c>
      <c r="D107" s="219">
        <f t="shared" si="10"/>
        <v>452.15923299999997</v>
      </c>
      <c r="E107" s="219">
        <f t="shared" si="10"/>
        <v>340.27470899999997</v>
      </c>
      <c r="F107" s="219">
        <f t="shared" si="10"/>
        <v>108.048269</v>
      </c>
      <c r="G107" s="219">
        <f t="shared" si="10"/>
        <v>76.225913000000006</v>
      </c>
      <c r="H107" s="219">
        <f t="shared" si="10"/>
        <v>102.634029</v>
      </c>
      <c r="I107" s="219">
        <f t="shared" si="10"/>
        <v>138.18132700000001</v>
      </c>
      <c r="J107" s="219">
        <f t="shared" si="10"/>
        <v>355.01542699999999</v>
      </c>
      <c r="K107" s="219">
        <f t="shared" si="10"/>
        <v>266.78751899999997</v>
      </c>
      <c r="L107" s="219">
        <f t="shared" si="10"/>
        <v>645.65319899999997</v>
      </c>
      <c r="M107" s="219">
        <f t="shared" si="10"/>
        <v>655.36365000000001</v>
      </c>
      <c r="N107" s="219">
        <f t="shared" si="10"/>
        <v>828.47839999999997</v>
      </c>
      <c r="O107" s="219">
        <f t="shared" si="10"/>
        <v>661.321641</v>
      </c>
    </row>
    <row r="108" spans="2:16">
      <c r="B108" s="218" t="s">
        <v>9</v>
      </c>
      <c r="C108" s="219">
        <f t="shared" si="10"/>
        <v>2191.606194</v>
      </c>
      <c r="D108" s="219">
        <f t="shared" si="10"/>
        <v>2304.531516</v>
      </c>
      <c r="E108" s="219">
        <f t="shared" si="10"/>
        <v>2351.3923199999999</v>
      </c>
      <c r="F108" s="219">
        <f t="shared" si="10"/>
        <v>2386.903992</v>
      </c>
      <c r="G108" s="219">
        <f t="shared" si="10"/>
        <v>2339.665661</v>
      </c>
      <c r="H108" s="219">
        <f t="shared" si="10"/>
        <v>2400.83545</v>
      </c>
      <c r="I108" s="219">
        <f t="shared" si="10"/>
        <v>1835.7706760000001</v>
      </c>
      <c r="J108" s="219">
        <f t="shared" si="10"/>
        <v>2247.9164740000001</v>
      </c>
      <c r="K108" s="219">
        <f t="shared" si="10"/>
        <v>2187.7371330000001</v>
      </c>
      <c r="L108" s="219">
        <f t="shared" si="10"/>
        <v>2200.0301570000001</v>
      </c>
      <c r="M108" s="219">
        <f t="shared" si="10"/>
        <v>2158.3921679999999</v>
      </c>
      <c r="N108" s="219">
        <f t="shared" si="10"/>
        <v>2239.4408100000001</v>
      </c>
      <c r="O108" s="219">
        <f t="shared" si="10"/>
        <v>2097.6266230000001</v>
      </c>
    </row>
    <row r="109" spans="2:16">
      <c r="B109" s="218" t="s">
        <v>134</v>
      </c>
      <c r="C109" s="219">
        <f t="shared" si="10"/>
        <v>178.96316150000001</v>
      </c>
      <c r="D109" s="219">
        <f t="shared" si="10"/>
        <v>173.89508950000001</v>
      </c>
      <c r="E109" s="219">
        <f t="shared" si="10"/>
        <v>156.50662750000001</v>
      </c>
      <c r="F109" s="219">
        <f t="shared" si="10"/>
        <v>180.74303649999999</v>
      </c>
      <c r="G109" s="219">
        <f t="shared" si="10"/>
        <v>180.31613300000001</v>
      </c>
      <c r="H109" s="219">
        <f t="shared" si="10"/>
        <v>175.14184499999999</v>
      </c>
      <c r="I109" s="219">
        <f t="shared" si="10"/>
        <v>161.44275200000001</v>
      </c>
      <c r="J109" s="219">
        <f t="shared" si="10"/>
        <v>171.48853299999999</v>
      </c>
      <c r="K109" s="219">
        <f t="shared" si="10"/>
        <v>167.72491149999999</v>
      </c>
      <c r="L109" s="219">
        <f t="shared" si="10"/>
        <v>170.74740800000001</v>
      </c>
      <c r="M109" s="219">
        <f t="shared" si="10"/>
        <v>182.05203750000001</v>
      </c>
      <c r="N109" s="219">
        <f t="shared" si="10"/>
        <v>193.13370449999999</v>
      </c>
      <c r="O109" s="219">
        <f t="shared" si="10"/>
        <v>198.40012300000001</v>
      </c>
    </row>
    <row r="110" spans="2:16">
      <c r="B110" s="218" t="s">
        <v>135</v>
      </c>
      <c r="C110" s="219">
        <f t="shared" si="10"/>
        <v>66.037119500000003</v>
      </c>
      <c r="D110" s="219">
        <f t="shared" si="10"/>
        <v>58.507686499999998</v>
      </c>
      <c r="E110" s="219">
        <f t="shared" si="10"/>
        <v>64.967821499999999</v>
      </c>
      <c r="F110" s="219">
        <f t="shared" si="10"/>
        <v>67.556750500000007</v>
      </c>
      <c r="G110" s="219">
        <f t="shared" si="10"/>
        <v>66.683813999999998</v>
      </c>
      <c r="H110" s="219">
        <f t="shared" si="10"/>
        <v>52.060037999999999</v>
      </c>
      <c r="I110" s="219">
        <f t="shared" si="10"/>
        <v>57.768275000000003</v>
      </c>
      <c r="J110" s="219">
        <f t="shared" si="10"/>
        <v>61.963368000000003</v>
      </c>
      <c r="K110" s="219">
        <f t="shared" si="10"/>
        <v>66.322567500000005</v>
      </c>
      <c r="L110" s="219">
        <f t="shared" si="10"/>
        <v>53.009402999999999</v>
      </c>
      <c r="M110" s="219">
        <f t="shared" si="10"/>
        <v>65.533088500000005</v>
      </c>
      <c r="N110" s="219">
        <f t="shared" si="10"/>
        <v>70.069165499999997</v>
      </c>
      <c r="O110" s="219">
        <f t="shared" si="10"/>
        <v>67.949684000000005</v>
      </c>
    </row>
    <row r="111" spans="2:16">
      <c r="B111" s="218" t="s">
        <v>136</v>
      </c>
      <c r="C111" s="219">
        <f t="shared" si="10"/>
        <v>367.860117</v>
      </c>
      <c r="D111" s="219">
        <f t="shared" si="10"/>
        <v>394.86022600000001</v>
      </c>
      <c r="E111" s="219">
        <f t="shared" si="10"/>
        <v>414.07609600000001</v>
      </c>
      <c r="F111" s="219">
        <f t="shared" si="10"/>
        <v>393.05924800000003</v>
      </c>
      <c r="G111" s="219">
        <f t="shared" si="10"/>
        <v>422.601923</v>
      </c>
      <c r="H111" s="219">
        <f t="shared" si="10"/>
        <v>389.92807800000003</v>
      </c>
      <c r="I111" s="219">
        <f t="shared" si="10"/>
        <v>364.09361200000001</v>
      </c>
      <c r="J111" s="219">
        <f t="shared" si="10"/>
        <v>358.00908700000002</v>
      </c>
      <c r="K111" s="219">
        <f t="shared" si="10"/>
        <v>391.39413100000002</v>
      </c>
      <c r="L111" s="219">
        <f t="shared" si="10"/>
        <v>390.09032500000001</v>
      </c>
      <c r="M111" s="219">
        <f t="shared" si="10"/>
        <v>357.15492699999999</v>
      </c>
      <c r="N111" s="219">
        <f t="shared" si="10"/>
        <v>351.58971200000002</v>
      </c>
      <c r="O111" s="219">
        <f t="shared" si="10"/>
        <v>409.60947299999998</v>
      </c>
    </row>
    <row r="112" spans="2:16">
      <c r="B112" s="218" t="s">
        <v>137</v>
      </c>
      <c r="C112" s="219">
        <f t="shared" si="10"/>
        <v>21422.225104644</v>
      </c>
      <c r="D112" s="219">
        <f t="shared" si="10"/>
        <v>20339.15432872</v>
      </c>
      <c r="E112" s="219">
        <f t="shared" si="10"/>
        <v>19957.768054331998</v>
      </c>
      <c r="F112" s="219">
        <f t="shared" si="10"/>
        <v>18942.301831158002</v>
      </c>
      <c r="G112" s="219">
        <f t="shared" si="10"/>
        <v>22753.482591445994</v>
      </c>
      <c r="H112" s="219">
        <f t="shared" si="10"/>
        <v>23284.169286589997</v>
      </c>
      <c r="I112" s="219">
        <f t="shared" si="10"/>
        <v>20276.831296913999</v>
      </c>
      <c r="J112" s="219">
        <f t="shared" si="10"/>
        <v>21133.321231622002</v>
      </c>
      <c r="K112" s="219">
        <f t="shared" si="10"/>
        <v>18977.518232103997</v>
      </c>
      <c r="L112" s="219">
        <f t="shared" si="10"/>
        <v>19522.784555024002</v>
      </c>
      <c r="M112" s="219">
        <f t="shared" si="10"/>
        <v>18753.351866016001</v>
      </c>
      <c r="N112" s="219">
        <f t="shared" si="10"/>
        <v>21034.94714181</v>
      </c>
      <c r="O112" s="219">
        <f t="shared" si="10"/>
        <v>20196.952499436</v>
      </c>
    </row>
    <row r="113" spans="2:18">
      <c r="B113" s="218" t="s">
        <v>138</v>
      </c>
      <c r="C113" s="219"/>
      <c r="D113" s="219"/>
      <c r="E113" s="219"/>
      <c r="F113" s="219"/>
      <c r="G113" s="219"/>
      <c r="H113" s="219"/>
      <c r="I113" s="219"/>
      <c r="J113" s="219"/>
      <c r="K113" s="219"/>
      <c r="L113" s="219"/>
      <c r="M113" s="219"/>
      <c r="N113" s="219"/>
      <c r="O113" s="219"/>
    </row>
    <row r="114" spans="2:18">
      <c r="B114" s="218" t="s">
        <v>139</v>
      </c>
      <c r="C114" s="219"/>
      <c r="D114" s="219"/>
      <c r="E114" s="219"/>
      <c r="F114" s="219"/>
      <c r="G114" s="219"/>
      <c r="H114" s="219"/>
      <c r="I114" s="219"/>
      <c r="J114" s="219"/>
      <c r="K114" s="219"/>
      <c r="L114" s="219"/>
      <c r="M114" s="219"/>
      <c r="N114" s="219"/>
      <c r="O114" s="219"/>
    </row>
    <row r="115" spans="2:18">
      <c r="B115" s="218" t="s">
        <v>140</v>
      </c>
      <c r="C115" s="219"/>
      <c r="D115" s="219"/>
      <c r="E115" s="219"/>
      <c r="F115" s="219"/>
      <c r="G115" s="219"/>
      <c r="H115" s="219"/>
      <c r="I115" s="219"/>
      <c r="J115" s="219"/>
      <c r="K115" s="219"/>
      <c r="L115" s="219"/>
      <c r="M115" s="219"/>
      <c r="N115" s="219"/>
      <c r="O115" s="219"/>
    </row>
    <row r="116" spans="2:18">
      <c r="B116" s="220" t="s">
        <v>141</v>
      </c>
      <c r="C116" s="221"/>
      <c r="D116" s="221"/>
      <c r="E116" s="221"/>
      <c r="F116" s="221"/>
      <c r="G116" s="221"/>
      <c r="H116" s="221"/>
      <c r="I116" s="221"/>
      <c r="J116" s="221"/>
      <c r="K116" s="221"/>
      <c r="L116" s="221"/>
      <c r="M116" s="221"/>
      <c r="N116" s="221"/>
      <c r="O116" s="221"/>
    </row>
    <row r="118" spans="2:18">
      <c r="B118" s="222" t="s">
        <v>174</v>
      </c>
      <c r="C118" s="223">
        <f>SUM(C99:C101,C105:C107,C110:C111)</f>
        <v>13662.130954144</v>
      </c>
      <c r="D118" s="223">
        <f t="shared" ref="D118:O118" si="11">SUM(D99:D101,D105:D107,D110:D111)</f>
        <v>13031.69704422</v>
      </c>
      <c r="E118" s="223">
        <f t="shared" si="11"/>
        <v>14423.717952831999</v>
      </c>
      <c r="F118" s="223">
        <f t="shared" si="11"/>
        <v>12817.165428658</v>
      </c>
      <c r="G118" s="223">
        <f t="shared" si="11"/>
        <v>17446.495802445996</v>
      </c>
      <c r="H118" s="223">
        <f t="shared" si="11"/>
        <v>17961.34003159</v>
      </c>
      <c r="I118" s="223">
        <f t="shared" si="11"/>
        <v>17015.705456913998</v>
      </c>
      <c r="J118" s="223">
        <f t="shared" si="11"/>
        <v>16821.590663621999</v>
      </c>
      <c r="K118" s="223">
        <f t="shared" si="11"/>
        <v>13485.255020604</v>
      </c>
      <c r="L118" s="223">
        <f t="shared" si="11"/>
        <v>14813.764382024001</v>
      </c>
      <c r="M118" s="223">
        <f t="shared" si="11"/>
        <v>12844.669209516</v>
      </c>
      <c r="N118" s="223">
        <f t="shared" si="11"/>
        <v>15275.064506309998</v>
      </c>
      <c r="O118" s="223">
        <f t="shared" si="11"/>
        <v>14255.382506436001</v>
      </c>
    </row>
    <row r="119" spans="2:18">
      <c r="B119" s="220" t="s">
        <v>175</v>
      </c>
      <c r="C119" s="221">
        <f>SUM(C102:C104,C108:C109)</f>
        <v>7760.0941504999992</v>
      </c>
      <c r="D119" s="221">
        <f t="shared" ref="D119:O119" si="12">SUM(D102:D104,D108:D109)</f>
        <v>7307.4572845000002</v>
      </c>
      <c r="E119" s="221">
        <f t="shared" si="12"/>
        <v>5534.0501015</v>
      </c>
      <c r="F119" s="221">
        <f t="shared" si="12"/>
        <v>6125.1364025000003</v>
      </c>
      <c r="G119" s="221">
        <f t="shared" si="12"/>
        <v>5306.9867890000005</v>
      </c>
      <c r="H119" s="221">
        <f t="shared" si="12"/>
        <v>5322.8292550000006</v>
      </c>
      <c r="I119" s="221">
        <f t="shared" si="12"/>
        <v>3261.1258400000002</v>
      </c>
      <c r="J119" s="221">
        <f t="shared" si="12"/>
        <v>4311.7305679999999</v>
      </c>
      <c r="K119" s="221">
        <f t="shared" si="12"/>
        <v>5492.2632115000006</v>
      </c>
      <c r="L119" s="221">
        <f t="shared" si="12"/>
        <v>4709.0201729999999</v>
      </c>
      <c r="M119" s="221">
        <f t="shared" si="12"/>
        <v>5908.6826564999992</v>
      </c>
      <c r="N119" s="221">
        <f t="shared" si="12"/>
        <v>5759.8826355000001</v>
      </c>
      <c r="O119" s="221">
        <f t="shared" si="12"/>
        <v>5941.5699930000001</v>
      </c>
      <c r="R119" s="225"/>
    </row>
    <row r="121" spans="2:18">
      <c r="B121" s="222" t="s">
        <v>173</v>
      </c>
      <c r="C121" s="224">
        <f>SUM(C99/SUM(C118:C119)*100,C100/SUM(C118:C119)*100,C101/SUM(C118:C119)*100,C105/SUM(C118:C119)*100,C106/SUM(C118:C119)*100,C107/SUM(C118:C119)*100,C111/SUM(C118:C119)*100,C110/SUM(C118:C119)*100)</f>
        <v>63.775498984847601</v>
      </c>
      <c r="D121" s="224">
        <f t="shared" ref="D121:O121" si="13">SUM(D99/SUM(D118:D119)*100,D100/SUM(D118:D119)*100,D101/SUM(D118:D119)*100,D105/SUM(D118:D119)*100,D106/SUM(D118:D119)*100,D107/SUM(D118:D119)*100,D111/SUM(D118:D119)*100,D110/SUM(D118:D119)*100)</f>
        <v>64.071970906964069</v>
      </c>
      <c r="E121" s="224">
        <f t="shared" si="13"/>
        <v>72.271197428317706</v>
      </c>
      <c r="F121" s="224">
        <f t="shared" si="13"/>
        <v>67.664244519508046</v>
      </c>
      <c r="G121" s="224">
        <f t="shared" si="13"/>
        <v>76.676155978886854</v>
      </c>
      <c r="H121" s="224">
        <f t="shared" si="13"/>
        <v>77.139707285732683</v>
      </c>
      <c r="I121" s="224">
        <f t="shared" si="13"/>
        <v>83.916984896469884</v>
      </c>
      <c r="J121" s="224">
        <f t="shared" si="13"/>
        <v>79.59747774264504</v>
      </c>
      <c r="K121" s="224">
        <f t="shared" si="13"/>
        <v>71.05910717973218</v>
      </c>
      <c r="L121" s="224">
        <f t="shared" si="13"/>
        <v>75.879362087268532</v>
      </c>
      <c r="M121" s="224">
        <f t="shared" si="13"/>
        <v>68.492658279358295</v>
      </c>
      <c r="N121" s="224">
        <f t="shared" si="13"/>
        <v>72.617555933613914</v>
      </c>
      <c r="O121" s="224">
        <f t="shared" si="13"/>
        <v>70.5818489538661</v>
      </c>
    </row>
    <row r="122" spans="2:18">
      <c r="B122" s="220" t="s">
        <v>176</v>
      </c>
      <c r="C122" s="306">
        <f t="shared" ref="C122:O122" si="14">100-C121</f>
        <v>36.224501015152399</v>
      </c>
      <c r="D122" s="306">
        <f t="shared" si="14"/>
        <v>35.928029093035931</v>
      </c>
      <c r="E122" s="306">
        <f t="shared" si="14"/>
        <v>27.728802571682294</v>
      </c>
      <c r="F122" s="306">
        <f t="shared" si="14"/>
        <v>32.335755480491954</v>
      </c>
      <c r="G122" s="306">
        <f t="shared" si="14"/>
        <v>23.323844021113146</v>
      </c>
      <c r="H122" s="306">
        <f t="shared" si="14"/>
        <v>22.860292714267317</v>
      </c>
      <c r="I122" s="306">
        <f t="shared" si="14"/>
        <v>16.083015103530116</v>
      </c>
      <c r="J122" s="306">
        <f t="shared" si="14"/>
        <v>20.40252225735496</v>
      </c>
      <c r="K122" s="306">
        <f t="shared" si="14"/>
        <v>28.94089282026782</v>
      </c>
      <c r="L122" s="306">
        <f t="shared" si="14"/>
        <v>24.120637912731468</v>
      </c>
      <c r="M122" s="306">
        <f t="shared" si="14"/>
        <v>31.507341720641705</v>
      </c>
      <c r="N122" s="306">
        <f t="shared" si="14"/>
        <v>27.382444066386086</v>
      </c>
      <c r="O122" s="306">
        <f t="shared" si="14"/>
        <v>29.4181510461339</v>
      </c>
    </row>
    <row r="124" spans="2:18">
      <c r="B124" s="149" t="s">
        <v>143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B125" s="215"/>
      <c r="C125" s="216" t="str">
        <f>Dat_01!B140</f>
        <v>A</v>
      </c>
      <c r="D125" s="216" t="str">
        <f>Dat_01!C140</f>
        <v>S</v>
      </c>
      <c r="E125" s="216" t="str">
        <f>Dat_01!D140</f>
        <v>O</v>
      </c>
      <c r="F125" s="216" t="str">
        <f>Dat_01!E140</f>
        <v>N</v>
      </c>
      <c r="G125" s="216" t="str">
        <f>Dat_01!F140</f>
        <v>D</v>
      </c>
      <c r="H125" s="216" t="str">
        <f>Dat_01!G140</f>
        <v>E</v>
      </c>
      <c r="I125" s="216" t="str">
        <f>Dat_01!H140</f>
        <v>F</v>
      </c>
      <c r="J125" s="216" t="str">
        <f>Dat_01!I140</f>
        <v>M</v>
      </c>
      <c r="K125" s="216" t="str">
        <f>Dat_01!J140</f>
        <v>A</v>
      </c>
      <c r="L125" s="216" t="str">
        <f>Dat_01!K140</f>
        <v>M</v>
      </c>
      <c r="M125" s="216" t="str">
        <f>Dat_01!L140</f>
        <v>J</v>
      </c>
      <c r="N125" s="216" t="str">
        <f>Dat_01!M140</f>
        <v>J</v>
      </c>
      <c r="O125" s="216" t="str">
        <f>Dat_01!N140</f>
        <v>A</v>
      </c>
    </row>
    <row r="126" spans="2:18">
      <c r="B126" s="218" t="s">
        <v>2</v>
      </c>
      <c r="C126" s="219">
        <f>C69</f>
        <v>1886.0039274440001</v>
      </c>
      <c r="D126" s="219">
        <f t="shared" ref="D126:O126" si="15">D69</f>
        <v>1678.3274013719999</v>
      </c>
      <c r="E126" s="219">
        <f t="shared" si="15"/>
        <v>1892.9846669420001</v>
      </c>
      <c r="F126" s="219">
        <f t="shared" si="15"/>
        <v>2459.7328362960002</v>
      </c>
      <c r="G126" s="219">
        <f t="shared" si="15"/>
        <v>3191.3531995479998</v>
      </c>
      <c r="H126" s="219">
        <f t="shared" si="15"/>
        <v>4055.5224591820001</v>
      </c>
      <c r="I126" s="219">
        <f t="shared" si="15"/>
        <v>4515.6890129479998</v>
      </c>
      <c r="J126" s="219">
        <f t="shared" si="15"/>
        <v>3713.0280040799998</v>
      </c>
      <c r="K126" s="219">
        <f t="shared" si="15"/>
        <v>2742.9927041320002</v>
      </c>
      <c r="L126" s="219">
        <f t="shared" si="15"/>
        <v>2156.5677169599999</v>
      </c>
      <c r="M126" s="219">
        <f t="shared" si="15"/>
        <v>2178.1559084280002</v>
      </c>
      <c r="N126" s="219">
        <f t="shared" si="15"/>
        <v>2203.5825142980002</v>
      </c>
      <c r="O126" s="219">
        <f t="shared" si="15"/>
        <v>1879.8039341619999</v>
      </c>
      <c r="P126" s="227"/>
    </row>
    <row r="127" spans="2:18">
      <c r="B127" s="218" t="s">
        <v>81</v>
      </c>
      <c r="C127" s="219">
        <f t="shared" ref="C127:O139" si="16">C70</f>
        <v>158.85512120000001</v>
      </c>
      <c r="D127" s="219">
        <f t="shared" si="16"/>
        <v>187.668031348</v>
      </c>
      <c r="E127" s="219">
        <f t="shared" si="16"/>
        <v>229.96202238999999</v>
      </c>
      <c r="F127" s="219">
        <f t="shared" si="16"/>
        <v>205.997806862</v>
      </c>
      <c r="G127" s="219">
        <f t="shared" si="16"/>
        <v>320.93024189800002</v>
      </c>
      <c r="H127" s="219">
        <f t="shared" si="16"/>
        <v>320.51078940799999</v>
      </c>
      <c r="I127" s="219">
        <f t="shared" si="16"/>
        <v>401.29321896599998</v>
      </c>
      <c r="J127" s="219">
        <f t="shared" si="16"/>
        <v>330.80630354200002</v>
      </c>
      <c r="K127" s="219">
        <f t="shared" si="16"/>
        <v>153.67971897199999</v>
      </c>
      <c r="L127" s="219">
        <f t="shared" si="16"/>
        <v>238.70894406400001</v>
      </c>
      <c r="M127" s="219">
        <f t="shared" si="16"/>
        <v>105.70565758799999</v>
      </c>
      <c r="N127" s="219">
        <f t="shared" si="16"/>
        <v>115.790175512</v>
      </c>
      <c r="O127" s="219">
        <f t="shared" si="16"/>
        <v>159.086738274</v>
      </c>
    </row>
    <row r="128" spans="2:18">
      <c r="B128" s="218" t="s">
        <v>3</v>
      </c>
      <c r="C128" s="219">
        <f t="shared" si="16"/>
        <v>5151.9174220000004</v>
      </c>
      <c r="D128" s="219">
        <f t="shared" si="16"/>
        <v>4871.2094020000004</v>
      </c>
      <c r="E128" s="219">
        <f t="shared" si="16"/>
        <v>4528.3442359999999</v>
      </c>
      <c r="F128" s="219">
        <f t="shared" si="16"/>
        <v>4639.755709</v>
      </c>
      <c r="G128" s="219">
        <f t="shared" si="16"/>
        <v>5270.8108380000003</v>
      </c>
      <c r="H128" s="219">
        <f t="shared" si="16"/>
        <v>5199.7405159999998</v>
      </c>
      <c r="I128" s="219">
        <f t="shared" si="16"/>
        <v>4358.5151070000002</v>
      </c>
      <c r="J128" s="219">
        <f t="shared" si="16"/>
        <v>4833.1364599999997</v>
      </c>
      <c r="K128" s="219">
        <f t="shared" si="16"/>
        <v>4197.3329299999996</v>
      </c>
      <c r="L128" s="219">
        <f t="shared" si="16"/>
        <v>4373.2508939999998</v>
      </c>
      <c r="M128" s="219">
        <f t="shared" si="16"/>
        <v>3684.3838430000001</v>
      </c>
      <c r="N128" s="219">
        <f t="shared" si="16"/>
        <v>5119.3959809999997</v>
      </c>
      <c r="O128" s="219">
        <f t="shared" si="16"/>
        <v>5150.2640140000003</v>
      </c>
    </row>
    <row r="129" spans="2:15">
      <c r="B129" s="218" t="s">
        <v>4</v>
      </c>
      <c r="C129" s="219">
        <f t="shared" si="16"/>
        <v>338.34884299999999</v>
      </c>
      <c r="D129" s="219">
        <f t="shared" si="16"/>
        <v>282.55493999999999</v>
      </c>
      <c r="E129" s="219">
        <f t="shared" si="16"/>
        <v>235.11278300000001</v>
      </c>
      <c r="F129" s="219">
        <f t="shared" si="16"/>
        <v>336.18096000000003</v>
      </c>
      <c r="G129" s="219">
        <f t="shared" si="16"/>
        <v>222.17338899999999</v>
      </c>
      <c r="H129" s="219">
        <f t="shared" si="16"/>
        <v>558.54747499999996</v>
      </c>
      <c r="I129" s="219">
        <f t="shared" si="16"/>
        <v>177.073452</v>
      </c>
      <c r="J129" s="219">
        <f t="shared" si="16"/>
        <v>242.90618799999999</v>
      </c>
      <c r="K129" s="219">
        <f t="shared" si="16"/>
        <v>270.940157</v>
      </c>
      <c r="L129" s="219">
        <f t="shared" si="16"/>
        <v>333.46570800000001</v>
      </c>
      <c r="M129" s="219">
        <f t="shared" si="16"/>
        <v>431.99096700000001</v>
      </c>
      <c r="N129" s="219">
        <f t="shared" si="16"/>
        <v>302.41718100000003</v>
      </c>
      <c r="O129" s="219">
        <f t="shared" si="16"/>
        <v>320.34443199999998</v>
      </c>
    </row>
    <row r="130" spans="2:15">
      <c r="B130" s="218" t="s">
        <v>130</v>
      </c>
      <c r="C130" s="219">
        <f t="shared" si="16"/>
        <v>0</v>
      </c>
      <c r="D130" s="219">
        <f t="shared" si="16"/>
        <v>0</v>
      </c>
      <c r="E130" s="219">
        <f t="shared" si="16"/>
        <v>0</v>
      </c>
      <c r="F130" s="219">
        <f t="shared" si="16"/>
        <v>0</v>
      </c>
      <c r="G130" s="219">
        <f t="shared" si="16"/>
        <v>0</v>
      </c>
      <c r="H130" s="219">
        <f t="shared" si="16"/>
        <v>0</v>
      </c>
      <c r="I130" s="219">
        <f t="shared" si="16"/>
        <v>0</v>
      </c>
      <c r="J130" s="219">
        <f t="shared" si="16"/>
        <v>0</v>
      </c>
      <c r="K130" s="219">
        <f t="shared" si="16"/>
        <v>0</v>
      </c>
      <c r="L130" s="219">
        <f t="shared" si="16"/>
        <v>0</v>
      </c>
      <c r="M130" s="219">
        <f t="shared" si="16"/>
        <v>0</v>
      </c>
      <c r="N130" s="219">
        <f t="shared" si="16"/>
        <v>0</v>
      </c>
      <c r="O130" s="219">
        <f t="shared" si="16"/>
        <v>0</v>
      </c>
    </row>
    <row r="131" spans="2:15">
      <c r="B131" s="218" t="s">
        <v>131</v>
      </c>
      <c r="C131" s="219">
        <f t="shared" si="16"/>
        <v>5051.1759519999996</v>
      </c>
      <c r="D131" s="219">
        <f t="shared" si="16"/>
        <v>4546.4757390000004</v>
      </c>
      <c r="E131" s="219">
        <f t="shared" si="16"/>
        <v>2791.0383710000001</v>
      </c>
      <c r="F131" s="219">
        <f t="shared" si="16"/>
        <v>3221.3084140000001</v>
      </c>
      <c r="G131" s="219">
        <f t="shared" si="16"/>
        <v>2564.8316060000002</v>
      </c>
      <c r="H131" s="219">
        <f t="shared" si="16"/>
        <v>2188.3044850000001</v>
      </c>
      <c r="I131" s="219">
        <f t="shared" si="16"/>
        <v>1086.83896</v>
      </c>
      <c r="J131" s="219">
        <f t="shared" si="16"/>
        <v>1649.419373</v>
      </c>
      <c r="K131" s="219">
        <f t="shared" si="16"/>
        <v>2865.8610100000001</v>
      </c>
      <c r="L131" s="219">
        <f t="shared" si="16"/>
        <v>2004.7769000000001</v>
      </c>
      <c r="M131" s="219">
        <f t="shared" si="16"/>
        <v>3136.247484</v>
      </c>
      <c r="N131" s="219">
        <f t="shared" si="16"/>
        <v>3024.8909399999998</v>
      </c>
      <c r="O131" s="219">
        <f t="shared" si="16"/>
        <v>3325.1988150000002</v>
      </c>
    </row>
    <row r="132" spans="2:15">
      <c r="B132" s="218" t="s">
        <v>5</v>
      </c>
      <c r="C132" s="219">
        <f t="shared" si="16"/>
        <v>3508.4515270000002</v>
      </c>
      <c r="D132" s="219">
        <f t="shared" si="16"/>
        <v>3962.2430210000002</v>
      </c>
      <c r="E132" s="219">
        <f t="shared" si="16"/>
        <v>5669.7146759999996</v>
      </c>
      <c r="F132" s="219">
        <f t="shared" si="16"/>
        <v>4154.0834599999998</v>
      </c>
      <c r="G132" s="219">
        <f t="shared" si="16"/>
        <v>7378.7336489999998</v>
      </c>
      <c r="H132" s="219">
        <f t="shared" si="16"/>
        <v>7019.2746690000004</v>
      </c>
      <c r="I132" s="219">
        <f t="shared" si="16"/>
        <v>6235.5684270000002</v>
      </c>
      <c r="J132" s="219">
        <f t="shared" si="16"/>
        <v>5521.443166</v>
      </c>
      <c r="K132" s="219">
        <f t="shared" si="16"/>
        <v>4041.7178789999998</v>
      </c>
      <c r="L132" s="219">
        <f t="shared" si="16"/>
        <v>4620.819896</v>
      </c>
      <c r="M132" s="219">
        <f t="shared" si="16"/>
        <v>3532.9370509999999</v>
      </c>
      <c r="N132" s="219">
        <f t="shared" si="16"/>
        <v>4120.4592439999997</v>
      </c>
      <c r="O132" s="219">
        <f t="shared" si="16"/>
        <v>3597.1086890000001</v>
      </c>
    </row>
    <row r="133" spans="2:15">
      <c r="B133" s="218" t="s">
        <v>132</v>
      </c>
      <c r="C133" s="219">
        <f t="shared" si="16"/>
        <v>1778.4640589999999</v>
      </c>
      <c r="D133" s="219">
        <f t="shared" si="16"/>
        <v>1426.722043</v>
      </c>
      <c r="E133" s="219">
        <f t="shared" si="16"/>
        <v>1283.3937249999999</v>
      </c>
      <c r="F133" s="219">
        <f t="shared" si="16"/>
        <v>788.93134899999995</v>
      </c>
      <c r="G133" s="219">
        <f t="shared" si="16"/>
        <v>719.15622399999995</v>
      </c>
      <c r="H133" s="219">
        <f t="shared" si="16"/>
        <v>821.66945299999998</v>
      </c>
      <c r="I133" s="219">
        <f t="shared" si="16"/>
        <v>944.59647700000005</v>
      </c>
      <c r="J133" s="219">
        <f t="shared" si="16"/>
        <v>1648.188848</v>
      </c>
      <c r="K133" s="219">
        <f t="shared" si="16"/>
        <v>1625.0275710000001</v>
      </c>
      <c r="L133" s="219">
        <f t="shared" si="16"/>
        <v>2335.6640040000002</v>
      </c>
      <c r="M133" s="219">
        <f t="shared" si="16"/>
        <v>2265.4350840000002</v>
      </c>
      <c r="N133" s="219">
        <f t="shared" si="16"/>
        <v>2465.699314</v>
      </c>
      <c r="O133" s="219">
        <f t="shared" si="16"/>
        <v>2330.2383329999998</v>
      </c>
    </row>
    <row r="134" spans="2:15">
      <c r="B134" s="218" t="s">
        <v>133</v>
      </c>
      <c r="C134" s="219">
        <f t="shared" si="16"/>
        <v>744.54166099999998</v>
      </c>
      <c r="D134" s="219">
        <f t="shared" si="16"/>
        <v>452.15923299999997</v>
      </c>
      <c r="E134" s="219">
        <f t="shared" si="16"/>
        <v>340.27470899999997</v>
      </c>
      <c r="F134" s="219">
        <f t="shared" si="16"/>
        <v>108.048269</v>
      </c>
      <c r="G134" s="219">
        <f t="shared" si="16"/>
        <v>76.225913000000006</v>
      </c>
      <c r="H134" s="219">
        <f t="shared" si="16"/>
        <v>102.634029</v>
      </c>
      <c r="I134" s="219">
        <f t="shared" si="16"/>
        <v>138.18132700000001</v>
      </c>
      <c r="J134" s="219">
        <f t="shared" si="16"/>
        <v>355.01542699999999</v>
      </c>
      <c r="K134" s="219">
        <f t="shared" si="16"/>
        <v>266.78751899999997</v>
      </c>
      <c r="L134" s="219">
        <f t="shared" si="16"/>
        <v>645.65319899999997</v>
      </c>
      <c r="M134" s="219">
        <f t="shared" si="16"/>
        <v>655.36365000000001</v>
      </c>
      <c r="N134" s="219">
        <f t="shared" si="16"/>
        <v>828.47839999999997</v>
      </c>
      <c r="O134" s="219">
        <f t="shared" si="16"/>
        <v>661.321641</v>
      </c>
    </row>
    <row r="135" spans="2:15">
      <c r="B135" s="218" t="s">
        <v>9</v>
      </c>
      <c r="C135" s="219">
        <f t="shared" si="16"/>
        <v>2191.606194</v>
      </c>
      <c r="D135" s="219">
        <f t="shared" si="16"/>
        <v>2304.531516</v>
      </c>
      <c r="E135" s="219">
        <f t="shared" si="16"/>
        <v>2351.3923199999999</v>
      </c>
      <c r="F135" s="219">
        <f t="shared" si="16"/>
        <v>2386.903992</v>
      </c>
      <c r="G135" s="219">
        <f t="shared" si="16"/>
        <v>2339.665661</v>
      </c>
      <c r="H135" s="219">
        <f t="shared" si="16"/>
        <v>2400.83545</v>
      </c>
      <c r="I135" s="219">
        <f t="shared" si="16"/>
        <v>1835.7706760000001</v>
      </c>
      <c r="J135" s="219">
        <f t="shared" si="16"/>
        <v>2247.9164740000001</v>
      </c>
      <c r="K135" s="219">
        <f t="shared" si="16"/>
        <v>2187.7371330000001</v>
      </c>
      <c r="L135" s="219">
        <f t="shared" si="16"/>
        <v>2200.0301570000001</v>
      </c>
      <c r="M135" s="219">
        <f t="shared" si="16"/>
        <v>2158.3921679999999</v>
      </c>
      <c r="N135" s="219">
        <f t="shared" si="16"/>
        <v>2239.4408100000001</v>
      </c>
      <c r="O135" s="219">
        <f t="shared" si="16"/>
        <v>2097.6266230000001</v>
      </c>
    </row>
    <row r="136" spans="2:15">
      <c r="B136" s="218" t="s">
        <v>134</v>
      </c>
      <c r="C136" s="219">
        <f t="shared" si="16"/>
        <v>178.96316150000001</v>
      </c>
      <c r="D136" s="219">
        <f t="shared" si="16"/>
        <v>173.89508950000001</v>
      </c>
      <c r="E136" s="219">
        <f t="shared" si="16"/>
        <v>156.50662750000001</v>
      </c>
      <c r="F136" s="219">
        <f t="shared" si="16"/>
        <v>180.74303649999999</v>
      </c>
      <c r="G136" s="219">
        <f t="shared" si="16"/>
        <v>180.31613300000001</v>
      </c>
      <c r="H136" s="219">
        <f t="shared" si="16"/>
        <v>175.14184499999999</v>
      </c>
      <c r="I136" s="219">
        <f t="shared" si="16"/>
        <v>161.44275200000001</v>
      </c>
      <c r="J136" s="219">
        <f t="shared" si="16"/>
        <v>171.48853299999999</v>
      </c>
      <c r="K136" s="219">
        <f t="shared" si="16"/>
        <v>167.72491149999999</v>
      </c>
      <c r="L136" s="219">
        <f t="shared" si="16"/>
        <v>170.74740800000001</v>
      </c>
      <c r="M136" s="219">
        <f t="shared" si="16"/>
        <v>182.05203750000001</v>
      </c>
      <c r="N136" s="219">
        <f t="shared" si="16"/>
        <v>193.13370449999999</v>
      </c>
      <c r="O136" s="219">
        <f t="shared" si="16"/>
        <v>198.40012300000001</v>
      </c>
    </row>
    <row r="137" spans="2:15">
      <c r="B137" s="218" t="s">
        <v>135</v>
      </c>
      <c r="C137" s="219">
        <f t="shared" si="16"/>
        <v>66.037119500000003</v>
      </c>
      <c r="D137" s="219">
        <f t="shared" si="16"/>
        <v>58.507686499999998</v>
      </c>
      <c r="E137" s="219">
        <f t="shared" si="16"/>
        <v>64.967821499999999</v>
      </c>
      <c r="F137" s="219">
        <f t="shared" si="16"/>
        <v>67.556750500000007</v>
      </c>
      <c r="G137" s="219">
        <f t="shared" si="16"/>
        <v>66.683813999999998</v>
      </c>
      <c r="H137" s="219">
        <f t="shared" si="16"/>
        <v>52.060037999999999</v>
      </c>
      <c r="I137" s="219">
        <f t="shared" si="16"/>
        <v>57.768275000000003</v>
      </c>
      <c r="J137" s="219">
        <f t="shared" si="16"/>
        <v>61.963368000000003</v>
      </c>
      <c r="K137" s="219">
        <f t="shared" si="16"/>
        <v>66.322567500000005</v>
      </c>
      <c r="L137" s="219">
        <f t="shared" si="16"/>
        <v>53.009402999999999</v>
      </c>
      <c r="M137" s="219">
        <f t="shared" si="16"/>
        <v>65.533088500000005</v>
      </c>
      <c r="N137" s="219">
        <f t="shared" si="16"/>
        <v>70.069165499999997</v>
      </c>
      <c r="O137" s="219">
        <f t="shared" si="16"/>
        <v>67.949684000000005</v>
      </c>
    </row>
    <row r="138" spans="2:15">
      <c r="B138" s="218" t="s">
        <v>136</v>
      </c>
      <c r="C138" s="219">
        <f t="shared" si="16"/>
        <v>367.860117</v>
      </c>
      <c r="D138" s="219">
        <f t="shared" si="16"/>
        <v>394.86022600000001</v>
      </c>
      <c r="E138" s="219">
        <f t="shared" si="16"/>
        <v>414.07609600000001</v>
      </c>
      <c r="F138" s="219">
        <f t="shared" si="16"/>
        <v>393.05924800000003</v>
      </c>
      <c r="G138" s="219">
        <f t="shared" si="16"/>
        <v>422.601923</v>
      </c>
      <c r="H138" s="219">
        <f t="shared" si="16"/>
        <v>389.92807800000003</v>
      </c>
      <c r="I138" s="219">
        <f t="shared" si="16"/>
        <v>364.09361200000001</v>
      </c>
      <c r="J138" s="219">
        <f t="shared" si="16"/>
        <v>358.00908700000002</v>
      </c>
      <c r="K138" s="219">
        <f t="shared" si="16"/>
        <v>391.39413100000002</v>
      </c>
      <c r="L138" s="219">
        <f t="shared" si="16"/>
        <v>390.09032500000001</v>
      </c>
      <c r="M138" s="219">
        <f t="shared" si="16"/>
        <v>357.15492699999999</v>
      </c>
      <c r="N138" s="219">
        <f t="shared" si="16"/>
        <v>351.58971200000002</v>
      </c>
      <c r="O138" s="219">
        <f t="shared" si="16"/>
        <v>409.60947299999998</v>
      </c>
    </row>
    <row r="139" spans="2:15">
      <c r="B139" s="218" t="s">
        <v>137</v>
      </c>
      <c r="C139" s="219">
        <f t="shared" si="16"/>
        <v>21422.225104644</v>
      </c>
      <c r="D139" s="219">
        <f t="shared" si="16"/>
        <v>20339.15432872</v>
      </c>
      <c r="E139" s="219">
        <f t="shared" si="16"/>
        <v>19957.768054331998</v>
      </c>
      <c r="F139" s="219">
        <f t="shared" si="16"/>
        <v>18942.301831158002</v>
      </c>
      <c r="G139" s="219">
        <f t="shared" si="16"/>
        <v>22753.482591445994</v>
      </c>
      <c r="H139" s="219">
        <f t="shared" si="16"/>
        <v>23284.169286589997</v>
      </c>
      <c r="I139" s="219">
        <f t="shared" si="16"/>
        <v>20276.831296913999</v>
      </c>
      <c r="J139" s="219">
        <f t="shared" si="16"/>
        <v>21133.321231622002</v>
      </c>
      <c r="K139" s="219">
        <f t="shared" si="16"/>
        <v>18977.518232103997</v>
      </c>
      <c r="L139" s="219">
        <f t="shared" si="16"/>
        <v>19522.784555024002</v>
      </c>
      <c r="M139" s="219">
        <f t="shared" si="16"/>
        <v>18753.351866016001</v>
      </c>
      <c r="N139" s="219">
        <f t="shared" si="16"/>
        <v>21034.94714181</v>
      </c>
      <c r="O139" s="219">
        <f t="shared" si="16"/>
        <v>20196.952499436</v>
      </c>
    </row>
    <row r="140" spans="2:15">
      <c r="B140" s="218" t="s">
        <v>138</v>
      </c>
      <c r="C140" s="219"/>
      <c r="D140" s="219"/>
      <c r="E140" s="219"/>
      <c r="F140" s="219"/>
      <c r="G140" s="219"/>
      <c r="H140" s="219"/>
      <c r="I140" s="219"/>
      <c r="J140" s="219"/>
      <c r="K140" s="219"/>
      <c r="L140" s="219"/>
      <c r="M140" s="219"/>
      <c r="N140" s="219"/>
      <c r="O140" s="219"/>
    </row>
    <row r="141" spans="2:15">
      <c r="B141" s="218" t="s">
        <v>139</v>
      </c>
      <c r="C141" s="219"/>
      <c r="D141" s="219"/>
      <c r="E141" s="219"/>
      <c r="F141" s="219"/>
      <c r="G141" s="219"/>
      <c r="H141" s="219"/>
      <c r="I141" s="219"/>
      <c r="J141" s="219"/>
      <c r="K141" s="219"/>
      <c r="L141" s="219"/>
      <c r="M141" s="219"/>
      <c r="N141" s="219"/>
      <c r="O141" s="219"/>
    </row>
    <row r="142" spans="2:15">
      <c r="B142" s="218" t="s">
        <v>140</v>
      </c>
      <c r="C142" s="219"/>
      <c r="D142" s="219"/>
      <c r="E142" s="219"/>
      <c r="F142" s="219"/>
      <c r="G142" s="219"/>
      <c r="H142" s="219"/>
      <c r="I142" s="219"/>
      <c r="J142" s="219"/>
      <c r="K142" s="219"/>
      <c r="L142" s="219"/>
      <c r="M142" s="219"/>
      <c r="N142" s="219"/>
      <c r="O142" s="219"/>
    </row>
    <row r="143" spans="2:15">
      <c r="B143" s="220" t="s">
        <v>141</v>
      </c>
      <c r="C143" s="221"/>
      <c r="D143" s="221"/>
      <c r="E143" s="221"/>
      <c r="F143" s="221"/>
      <c r="G143" s="221"/>
      <c r="H143" s="221"/>
      <c r="I143" s="221"/>
      <c r="J143" s="221"/>
      <c r="K143" s="221"/>
      <c r="L143" s="221"/>
      <c r="M143" s="221"/>
      <c r="N143" s="221"/>
      <c r="O143" s="221"/>
    </row>
    <row r="145" spans="2:15">
      <c r="B145" s="222" t="s">
        <v>17</v>
      </c>
      <c r="C145" s="223">
        <f>SUM(C126,C132:C134,C137:C138)</f>
        <v>8351.3584109439998</v>
      </c>
      <c r="D145" s="223">
        <f t="shared" ref="D145:N145" si="17">SUM(D126,D132:D134,D137:D138)</f>
        <v>7972.8196108720003</v>
      </c>
      <c r="E145" s="223">
        <f t="shared" si="17"/>
        <v>9665.4116944420002</v>
      </c>
      <c r="F145" s="223">
        <f t="shared" si="17"/>
        <v>7971.4119127960003</v>
      </c>
      <c r="G145" s="223">
        <f t="shared" si="17"/>
        <v>11854.754722547999</v>
      </c>
      <c r="H145" s="223">
        <f t="shared" si="17"/>
        <v>12441.088726182003</v>
      </c>
      <c r="I145" s="223">
        <f t="shared" si="17"/>
        <v>12255.897130948</v>
      </c>
      <c r="J145" s="223">
        <f t="shared" si="17"/>
        <v>11657.647900080001</v>
      </c>
      <c r="K145" s="223">
        <f t="shared" si="17"/>
        <v>9134.2423716320009</v>
      </c>
      <c r="L145" s="223">
        <f t="shared" si="17"/>
        <v>10201.804543959999</v>
      </c>
      <c r="M145" s="223">
        <f t="shared" si="17"/>
        <v>9054.5797089280004</v>
      </c>
      <c r="N145" s="223">
        <f t="shared" si="17"/>
        <v>10039.878349798</v>
      </c>
      <c r="O145" s="223">
        <f>SUM(O126,O132:O134,O137:O138)</f>
        <v>8946.0317541620007</v>
      </c>
    </row>
    <row r="146" spans="2:15">
      <c r="B146" s="220" t="s">
        <v>16</v>
      </c>
      <c r="C146" s="221">
        <f>SUM(C127:C131,C135:C136)</f>
        <v>13070.8666937</v>
      </c>
      <c r="D146" s="221">
        <f t="shared" ref="D146:O146" si="18">SUM(D127:D131,D135:D136)</f>
        <v>12366.334717848002</v>
      </c>
      <c r="E146" s="221">
        <f t="shared" si="18"/>
        <v>10292.356359890002</v>
      </c>
      <c r="F146" s="221">
        <f t="shared" si="18"/>
        <v>10970.889918362</v>
      </c>
      <c r="G146" s="221">
        <f t="shared" si="18"/>
        <v>10898.727868898</v>
      </c>
      <c r="H146" s="221">
        <f t="shared" si="18"/>
        <v>10843.080560408001</v>
      </c>
      <c r="I146" s="221">
        <f t="shared" si="18"/>
        <v>8020.9341659659995</v>
      </c>
      <c r="J146" s="221">
        <f t="shared" si="18"/>
        <v>9475.6733315419988</v>
      </c>
      <c r="K146" s="221">
        <f t="shared" si="18"/>
        <v>9843.2758604720002</v>
      </c>
      <c r="L146" s="221">
        <f t="shared" si="18"/>
        <v>9320.980011063999</v>
      </c>
      <c r="M146" s="221">
        <f t="shared" si="18"/>
        <v>9698.7721570880003</v>
      </c>
      <c r="N146" s="221">
        <f t="shared" si="18"/>
        <v>10995.068792012</v>
      </c>
      <c r="O146" s="221">
        <f t="shared" si="18"/>
        <v>11250.920745273999</v>
      </c>
    </row>
    <row r="148" spans="2:15">
      <c r="B148" s="222" t="s">
        <v>17</v>
      </c>
      <c r="C148" s="224">
        <f>SUM(C126/SUM(C145:C146)*100,C132/SUM(C145:C146)*100,C133/SUM(C145:C146)*100,C134/SUM(C145:C146)*100,C137/SUM(C145:C146)*100,C138/SUM(C145:C146)*100)</f>
        <v>38.984551652076327</v>
      </c>
      <c r="D148" s="224">
        <f t="shared" ref="D148:I148" si="19">SUM(D126/SUM(D145:D146)*100,D132/SUM(D145:D146)*100,D133/SUM(D145:D146)*100,D134/SUM(D145:D146)*100,D137/SUM(D145:D146)*100,D138/SUM(D145:D146)*100)</f>
        <v>39.199366315904008</v>
      </c>
      <c r="E148" s="224">
        <f t="shared" si="19"/>
        <v>48.429321696340899</v>
      </c>
      <c r="F148" s="224">
        <f t="shared" si="19"/>
        <v>42.082593677627422</v>
      </c>
      <c r="G148" s="224">
        <f t="shared" si="19"/>
        <v>52.100836322105273</v>
      </c>
      <c r="H148" s="224">
        <f t="shared" si="19"/>
        <v>53.431533558498764</v>
      </c>
      <c r="I148" s="224">
        <f t="shared" si="19"/>
        <v>60.442861862806282</v>
      </c>
      <c r="J148" s="224">
        <f>SUM(J126/SUM(J145:J146)*100,J132/SUM(J145:J146)*100,J133/SUM(J145:J146)*100,J134/SUM(J145:J146)*100,J137/SUM(J145:J146)*100,J138/SUM(J145:J146)*100)</f>
        <v>55.162403354928152</v>
      </c>
      <c r="K148" s="224">
        <f t="shared" ref="K148:O148" si="20">SUM(K126/SUM(K145:K146)*100,K132/SUM(K145:K146)*100,K133/SUM(K145:K146)*100,K134/SUM(K145:K146)*100,K137/SUM(K145:K146)*100,K138/SUM(K145:K146)*100)</f>
        <v>48.131911980881313</v>
      </c>
      <c r="L148" s="224">
        <f t="shared" si="20"/>
        <v>52.255888575765006</v>
      </c>
      <c r="M148" s="224">
        <f t="shared" si="20"/>
        <v>48.282460509559954</v>
      </c>
      <c r="N148" s="224">
        <f t="shared" si="20"/>
        <v>47.72951546829556</v>
      </c>
      <c r="O148" s="224">
        <f t="shared" si="20"/>
        <v>44.29396838167451</v>
      </c>
    </row>
    <row r="149" spans="2:15">
      <c r="B149" s="220" t="s">
        <v>16</v>
      </c>
      <c r="C149" s="306">
        <f t="shared" ref="C149" si="21">100-C148</f>
        <v>61.015448347923673</v>
      </c>
      <c r="D149" s="306">
        <f t="shared" ref="D149:J149" si="22">100-D148</f>
        <v>60.800633684095992</v>
      </c>
      <c r="E149" s="306">
        <f t="shared" si="22"/>
        <v>51.570678303659101</v>
      </c>
      <c r="F149" s="306">
        <f t="shared" si="22"/>
        <v>57.917406322372578</v>
      </c>
      <c r="G149" s="306">
        <f t="shared" si="22"/>
        <v>47.899163677894727</v>
      </c>
      <c r="H149" s="306">
        <f t="shared" si="22"/>
        <v>46.568466441501236</v>
      </c>
      <c r="I149" s="306">
        <f t="shared" si="22"/>
        <v>39.557138137193718</v>
      </c>
      <c r="J149" s="306">
        <f t="shared" si="22"/>
        <v>44.837596645071848</v>
      </c>
      <c r="K149" s="306">
        <f t="shared" ref="K149:O149" si="23">100-K148</f>
        <v>51.868088019118687</v>
      </c>
      <c r="L149" s="306">
        <f t="shared" si="23"/>
        <v>47.744111424234994</v>
      </c>
      <c r="M149" s="306">
        <f t="shared" si="23"/>
        <v>51.717539490440046</v>
      </c>
      <c r="N149" s="306">
        <f t="shared" si="23"/>
        <v>52.27048453170444</v>
      </c>
      <c r="O149" s="306">
        <f t="shared" si="23"/>
        <v>55.70603161832549</v>
      </c>
    </row>
    <row r="153" spans="2:15">
      <c r="B153" s="149" t="s">
        <v>24</v>
      </c>
    </row>
    <row r="154" spans="2:15">
      <c r="B154" s="222"/>
      <c r="C154" s="222"/>
      <c r="D154" s="333" t="s">
        <v>22</v>
      </c>
      <c r="E154" s="333" t="s">
        <v>23</v>
      </c>
    </row>
    <row r="155" spans="2:15">
      <c r="B155" s="220" t="s">
        <v>144</v>
      </c>
      <c r="C155" s="220" t="s">
        <v>145</v>
      </c>
      <c r="D155" s="334"/>
      <c r="E155" s="334"/>
    </row>
    <row r="156" spans="2:15">
      <c r="B156" s="228">
        <f>DATE(YEAR(Dat_01!B$2),MONTH(Dat_01!B$2),Dat_01!A180)</f>
        <v>44409</v>
      </c>
      <c r="C156" s="218">
        <f>Dat_01!A180</f>
        <v>1</v>
      </c>
      <c r="D156" s="229">
        <f>Dat_01!W180</f>
        <v>99.080189000000004</v>
      </c>
      <c r="E156" s="230">
        <f>Dat_01!V180</f>
        <v>17.110398429482085</v>
      </c>
    </row>
    <row r="157" spans="2:15">
      <c r="B157" s="228">
        <f>DATE(YEAR(Dat_01!B$2),MONTH(Dat_01!B$2),Dat_01!A181)</f>
        <v>44410</v>
      </c>
      <c r="C157" s="218">
        <f>Dat_01!A181</f>
        <v>2</v>
      </c>
      <c r="D157" s="229">
        <f>Dat_01!W181</f>
        <v>65.453987999999995</v>
      </c>
      <c r="E157" s="230">
        <f>Dat_01!V181</f>
        <v>10.710024305870245</v>
      </c>
    </row>
    <row r="158" spans="2:15">
      <c r="B158" s="228">
        <f>DATE(YEAR(Dat_01!B$2),MONTH(Dat_01!B$2),Dat_01!A182)</f>
        <v>44411</v>
      </c>
      <c r="C158" s="218">
        <f>Dat_01!A182</f>
        <v>3</v>
      </c>
      <c r="D158" s="229">
        <f>Dat_01!W182</f>
        <v>81.134425000000007</v>
      </c>
      <c r="E158" s="230">
        <f>Dat_01!V182</f>
        <v>12.788111332955191</v>
      </c>
    </row>
    <row r="159" spans="2:15">
      <c r="B159" s="228">
        <f>DATE(YEAR(Dat_01!B$2),MONTH(Dat_01!B$2),Dat_01!A183)</f>
        <v>44412</v>
      </c>
      <c r="C159" s="218">
        <f>Dat_01!A183</f>
        <v>4</v>
      </c>
      <c r="D159" s="229">
        <f>Dat_01!W183</f>
        <v>117.793466</v>
      </c>
      <c r="E159" s="230">
        <f>Dat_01!V183</f>
        <v>17.337851141480197</v>
      </c>
    </row>
    <row r="160" spans="2:15">
      <c r="B160" s="228">
        <f>DATE(YEAR(Dat_01!B$2),MONTH(Dat_01!B$2),Dat_01!A184)</f>
        <v>44413</v>
      </c>
      <c r="C160" s="218">
        <f>Dat_01!A184</f>
        <v>5</v>
      </c>
      <c r="D160" s="229">
        <f>Dat_01!W184</f>
        <v>126.17005400000001</v>
      </c>
      <c r="E160" s="230">
        <f>Dat_01!V184</f>
        <v>19.241685307826813</v>
      </c>
    </row>
    <row r="161" spans="2:5">
      <c r="B161" s="228">
        <f>DATE(YEAR(Dat_01!B$2),MONTH(Dat_01!B$2),Dat_01!A185)</f>
        <v>44414</v>
      </c>
      <c r="C161" s="218">
        <f>Dat_01!A185</f>
        <v>6</v>
      </c>
      <c r="D161" s="229">
        <f>Dat_01!W185</f>
        <v>136.271041</v>
      </c>
      <c r="E161" s="230">
        <f>Dat_01!V185</f>
        <v>20.560531704523324</v>
      </c>
    </row>
    <row r="162" spans="2:5">
      <c r="B162" s="228">
        <f>DATE(YEAR(Dat_01!B$2),MONTH(Dat_01!B$2),Dat_01!A186)</f>
        <v>44415</v>
      </c>
      <c r="C162" s="218">
        <f>Dat_01!A186</f>
        <v>7</v>
      </c>
      <c r="D162" s="229">
        <f>Dat_01!W186</f>
        <v>161.55767399999999</v>
      </c>
      <c r="E162" s="230">
        <f>Dat_01!V186</f>
        <v>25.522197426782444</v>
      </c>
    </row>
    <row r="163" spans="2:5">
      <c r="B163" s="228">
        <f>DATE(YEAR(Dat_01!B$2),MONTH(Dat_01!B$2),Dat_01!A187)</f>
        <v>44416</v>
      </c>
      <c r="C163" s="218">
        <f>Dat_01!A187</f>
        <v>8</v>
      </c>
      <c r="D163" s="229">
        <f>Dat_01!W187</f>
        <v>90.908063999999996</v>
      </c>
      <c r="E163" s="230">
        <f>Dat_01!V187</f>
        <v>15.76794952095168</v>
      </c>
    </row>
    <row r="164" spans="2:5">
      <c r="B164" s="228">
        <f>DATE(YEAR(Dat_01!B$2),MONTH(Dat_01!B$2),Dat_01!A188)</f>
        <v>44417</v>
      </c>
      <c r="C164" s="218">
        <f>Dat_01!A188</f>
        <v>9</v>
      </c>
      <c r="D164" s="229">
        <f>Dat_01!W188</f>
        <v>83.165186000000006</v>
      </c>
      <c r="E164" s="230">
        <f>Dat_01!V188</f>
        <v>13.680415771907237</v>
      </c>
    </row>
    <row r="165" spans="2:5">
      <c r="B165" s="228">
        <f>DATE(YEAR(Dat_01!B$2),MONTH(Dat_01!B$2),Dat_01!A189)</f>
        <v>44418</v>
      </c>
      <c r="C165" s="218">
        <f>Dat_01!A189</f>
        <v>10</v>
      </c>
      <c r="D165" s="229">
        <f>Dat_01!W189</f>
        <v>63.679190999999996</v>
      </c>
      <c r="E165" s="230">
        <f>Dat_01!V189</f>
        <v>10.060676479649942</v>
      </c>
    </row>
    <row r="166" spans="2:5">
      <c r="B166" s="228">
        <f>DATE(YEAR(Dat_01!B$2),MONTH(Dat_01!B$2),Dat_01!A190)</f>
        <v>44419</v>
      </c>
      <c r="C166" s="218">
        <f>Dat_01!A190</f>
        <v>11</v>
      </c>
      <c r="D166" s="229">
        <f>Dat_01!W190</f>
        <v>70.815056999999996</v>
      </c>
      <c r="E166" s="230">
        <f>Dat_01!V190</f>
        <v>11.099212274166041</v>
      </c>
    </row>
    <row r="167" spans="2:5">
      <c r="B167" s="228">
        <f>DATE(YEAR(Dat_01!B$2),MONTH(Dat_01!B$2),Dat_01!A191)</f>
        <v>44420</v>
      </c>
      <c r="C167" s="218">
        <f>Dat_01!A191</f>
        <v>12</v>
      </c>
      <c r="D167" s="229">
        <f>Dat_01!W191</f>
        <v>105.12150199999999</v>
      </c>
      <c r="E167" s="230">
        <f>Dat_01!V191</f>
        <v>15.450116266528457</v>
      </c>
    </row>
    <row r="168" spans="2:5">
      <c r="B168" s="228">
        <f>DATE(YEAR(Dat_01!B$2),MONTH(Dat_01!B$2),Dat_01!A192)</f>
        <v>44421</v>
      </c>
      <c r="C168" s="218">
        <f>Dat_01!A192</f>
        <v>13</v>
      </c>
      <c r="D168" s="229">
        <f>Dat_01!W192</f>
        <v>77.876881999999995</v>
      </c>
      <c r="E168" s="230">
        <f>Dat_01!V192</f>
        <v>11.599041974994766</v>
      </c>
    </row>
    <row r="169" spans="2:5">
      <c r="B169" s="228">
        <f>DATE(YEAR(Dat_01!B$2),MONTH(Dat_01!B$2),Dat_01!A193)</f>
        <v>44422</v>
      </c>
      <c r="C169" s="218">
        <f>Dat_01!A193</f>
        <v>14</v>
      </c>
      <c r="D169" s="229">
        <f>Dat_01!W193</f>
        <v>88.148835999999989</v>
      </c>
      <c r="E169" s="230">
        <f>Dat_01!V193</f>
        <v>13.23680599473974</v>
      </c>
    </row>
    <row r="170" spans="2:5">
      <c r="B170" s="228">
        <f>DATE(YEAR(Dat_01!B$2),MONTH(Dat_01!B$2),Dat_01!A194)</f>
        <v>44423</v>
      </c>
      <c r="C170" s="218">
        <f>Dat_01!A194</f>
        <v>15</v>
      </c>
      <c r="D170" s="229">
        <f>Dat_01!W194</f>
        <v>133.480705</v>
      </c>
      <c r="E170" s="230">
        <f>Dat_01!V194</f>
        <v>20.811416487169634</v>
      </c>
    </row>
    <row r="171" spans="2:5">
      <c r="B171" s="228">
        <f>DATE(YEAR(Dat_01!B$2),MONTH(Dat_01!B$2),Dat_01!A195)</f>
        <v>44424</v>
      </c>
      <c r="C171" s="218">
        <f>Dat_01!A195</f>
        <v>16</v>
      </c>
      <c r="D171" s="229">
        <f>Dat_01!W195</f>
        <v>227.307514</v>
      </c>
      <c r="E171" s="230">
        <f>Dat_01!V195</f>
        <v>31.43467788244747</v>
      </c>
    </row>
    <row r="172" spans="2:5">
      <c r="B172" s="228">
        <f>DATE(YEAR(Dat_01!B$2),MONTH(Dat_01!B$2),Dat_01!A196)</f>
        <v>44425</v>
      </c>
      <c r="C172" s="218">
        <f>Dat_01!A196</f>
        <v>17</v>
      </c>
      <c r="D172" s="229">
        <f>Dat_01!W196</f>
        <v>246.26017000000002</v>
      </c>
      <c r="E172" s="230">
        <f>Dat_01!V196</f>
        <v>33.604283170856974</v>
      </c>
    </row>
    <row r="173" spans="2:5">
      <c r="B173" s="228">
        <f>DATE(YEAR(Dat_01!B$2),MONTH(Dat_01!B$2),Dat_01!A197)</f>
        <v>44426</v>
      </c>
      <c r="C173" s="218">
        <f>Dat_01!A197</f>
        <v>18</v>
      </c>
      <c r="D173" s="229">
        <f>Dat_01!W197</f>
        <v>188.531339</v>
      </c>
      <c r="E173" s="230">
        <f>Dat_01!V197</f>
        <v>27.222006547073978</v>
      </c>
    </row>
    <row r="174" spans="2:5">
      <c r="B174" s="228">
        <f>DATE(YEAR(Dat_01!B$2),MONTH(Dat_01!B$2),Dat_01!A198)</f>
        <v>44427</v>
      </c>
      <c r="C174" s="218">
        <f>Dat_01!A198</f>
        <v>19</v>
      </c>
      <c r="D174" s="229">
        <f>Dat_01!W198</f>
        <v>100.552685</v>
      </c>
      <c r="E174" s="230">
        <f>Dat_01!V198</f>
        <v>15.550090345945133</v>
      </c>
    </row>
    <row r="175" spans="2:5">
      <c r="B175" s="228">
        <f>DATE(YEAR(Dat_01!B$2),MONTH(Dat_01!B$2),Dat_01!A199)</f>
        <v>44428</v>
      </c>
      <c r="C175" s="218">
        <f>Dat_01!A199</f>
        <v>20</v>
      </c>
      <c r="D175" s="229">
        <f>Dat_01!W199</f>
        <v>70.082198000000005</v>
      </c>
      <c r="E175" s="230">
        <f>Dat_01!V199</f>
        <v>10.918694092617159</v>
      </c>
    </row>
    <row r="176" spans="2:5">
      <c r="B176" s="228">
        <f>DATE(YEAR(Dat_01!B$2),MONTH(Dat_01!B$2),Dat_01!A200)</f>
        <v>44429</v>
      </c>
      <c r="C176" s="218">
        <f>Dat_01!A200</f>
        <v>21</v>
      </c>
      <c r="D176" s="229">
        <f>Dat_01!W200</f>
        <v>75.086461</v>
      </c>
      <c r="E176" s="230">
        <f>Dat_01!V200</f>
        <v>12.387457277232233</v>
      </c>
    </row>
    <row r="177" spans="2:27">
      <c r="B177" s="228">
        <f>DATE(YEAR(Dat_01!B$2),MONTH(Dat_01!B$2),Dat_01!A201)</f>
        <v>44430</v>
      </c>
      <c r="C177" s="218">
        <f>Dat_01!A201</f>
        <v>22</v>
      </c>
      <c r="D177" s="229">
        <f>Dat_01!W201</f>
        <v>135.55831599999999</v>
      </c>
      <c r="E177" s="230">
        <f>Dat_01!V201</f>
        <v>22.356536103162611</v>
      </c>
    </row>
    <row r="178" spans="2:27">
      <c r="B178" s="228">
        <f>DATE(YEAR(Dat_01!B$2),MONTH(Dat_01!B$2),Dat_01!A202)</f>
        <v>44431</v>
      </c>
      <c r="C178" s="218">
        <f>Dat_01!A202</f>
        <v>23</v>
      </c>
      <c r="D178" s="229">
        <f>Dat_01!W202</f>
        <v>225.24938399999999</v>
      </c>
      <c r="E178" s="230">
        <f>Dat_01!V202</f>
        <v>31.94107306076906</v>
      </c>
    </row>
    <row r="179" spans="2:27">
      <c r="B179" s="228">
        <f>DATE(YEAR(Dat_01!B$2),MONTH(Dat_01!B$2),Dat_01!A203)</f>
        <v>44432</v>
      </c>
      <c r="C179" s="218">
        <f>Dat_01!A203</f>
        <v>24</v>
      </c>
      <c r="D179" s="229">
        <f>Dat_01!W203</f>
        <v>199.96490800000001</v>
      </c>
      <c r="E179" s="230">
        <f>Dat_01!V203</f>
        <v>28.412317558616241</v>
      </c>
    </row>
    <row r="180" spans="2:27">
      <c r="B180" s="228">
        <f>DATE(YEAR(Dat_01!B$2),MONTH(Dat_01!B$2),Dat_01!A204)</f>
        <v>44433</v>
      </c>
      <c r="C180" s="218">
        <f>Dat_01!A204</f>
        <v>25</v>
      </c>
      <c r="D180" s="229">
        <f>Dat_01!W204</f>
        <v>84.560846999999995</v>
      </c>
      <c r="E180" s="230">
        <f>Dat_01!V204</f>
        <v>12.732754126699069</v>
      </c>
    </row>
    <row r="181" spans="2:27">
      <c r="B181" s="228">
        <f>DATE(YEAR(Dat_01!B$2),MONTH(Dat_01!B$2),Dat_01!A205)</f>
        <v>44434</v>
      </c>
      <c r="C181" s="218">
        <f>Dat_01!A205</f>
        <v>26</v>
      </c>
      <c r="D181" s="229">
        <f>Dat_01!W205</f>
        <v>43.339232000000003</v>
      </c>
      <c r="E181" s="230">
        <f>Dat_01!V205</f>
        <v>6.5626379981606755</v>
      </c>
    </row>
    <row r="182" spans="2:27">
      <c r="B182" s="228">
        <f>DATE(YEAR(Dat_01!B$2),MONTH(Dat_01!B$2),Dat_01!A206)</f>
        <v>44435</v>
      </c>
      <c r="C182" s="218">
        <f>Dat_01!A206</f>
        <v>27</v>
      </c>
      <c r="D182" s="229">
        <f>Dat_01!W206</f>
        <v>80.722676000000007</v>
      </c>
      <c r="E182" s="230">
        <f>Dat_01!V206</f>
        <v>12.04600598883694</v>
      </c>
    </row>
    <row r="183" spans="2:27">
      <c r="B183" s="228">
        <f>DATE(YEAR(Dat_01!B$2),MONTH(Dat_01!B$2),Dat_01!A207)</f>
        <v>44436</v>
      </c>
      <c r="C183" s="218">
        <f>Dat_01!A207</f>
        <v>28</v>
      </c>
      <c r="D183" s="229">
        <f>Dat_01!W207</f>
        <v>162.17687799999999</v>
      </c>
      <c r="E183" s="230">
        <f>Dat_01!V207</f>
        <v>24.71447679187775</v>
      </c>
    </row>
    <row r="184" spans="2:27">
      <c r="B184" s="228">
        <f>DATE(YEAR(Dat_01!B$2),MONTH(Dat_01!B$2),Dat_01!A208)</f>
        <v>44437</v>
      </c>
      <c r="C184" s="218">
        <f>Dat_01!A208</f>
        <v>29</v>
      </c>
      <c r="D184" s="229">
        <f>Dat_01!W208</f>
        <v>106.96474099999999</v>
      </c>
      <c r="E184" s="230">
        <f>Dat_01!V208</f>
        <v>17.961319161852543</v>
      </c>
    </row>
    <row r="185" spans="2:27">
      <c r="B185" s="228">
        <f>DATE(YEAR(Dat_01!B$2),MONTH(Dat_01!B$2),Dat_01!A209)</f>
        <v>44438</v>
      </c>
      <c r="C185" s="218">
        <f>Dat_01!A209</f>
        <v>30</v>
      </c>
      <c r="D185" s="229">
        <f>Dat_01!W209</f>
        <v>70.593452999999997</v>
      </c>
      <c r="E185" s="230">
        <f>Dat_01!V209</f>
        <v>10.815520876020503</v>
      </c>
    </row>
    <row r="186" spans="2:27">
      <c r="B186" s="228">
        <f>DATE(YEAR(Dat_01!B$2),MONTH(Dat_01!B$2),Dat_01!A210)</f>
        <v>44439</v>
      </c>
      <c r="C186" s="218">
        <f>Dat_01!A210</f>
        <v>31</v>
      </c>
      <c r="D186" s="229">
        <f>Dat_01!W210</f>
        <v>79.501626999999999</v>
      </c>
      <c r="E186" s="230">
        <f>Dat_01!V210</f>
        <v>11.878591707391573</v>
      </c>
    </row>
    <row r="187" spans="2:27">
      <c r="B187" s="231"/>
      <c r="C187" s="218"/>
      <c r="D187" s="229"/>
      <c r="E187" s="229"/>
    </row>
    <row r="188" spans="2:27">
      <c r="B188" s="218"/>
      <c r="C188" s="218"/>
      <c r="D188" s="218"/>
      <c r="E188" s="218"/>
    </row>
    <row r="189" spans="2:27">
      <c r="B189" s="220" t="s">
        <v>146</v>
      </c>
      <c r="C189" s="220"/>
      <c r="D189" s="232">
        <f>MAX(D156:D186)</f>
        <v>246.26017000000002</v>
      </c>
      <c r="E189" s="233">
        <f>VLOOKUP(D189,D156:E186,2)</f>
        <v>11.878591707391573</v>
      </c>
    </row>
    <row r="191" spans="2:27">
      <c r="B191" s="149" t="s">
        <v>147</v>
      </c>
    </row>
    <row r="192" spans="2:27">
      <c r="B192" s="234"/>
      <c r="C192" s="235">
        <v>1</v>
      </c>
      <c r="D192" s="235">
        <v>2</v>
      </c>
      <c r="E192" s="235">
        <v>3</v>
      </c>
      <c r="F192" s="235">
        <v>4</v>
      </c>
      <c r="G192" s="235">
        <v>5</v>
      </c>
      <c r="H192" s="235">
        <v>6</v>
      </c>
      <c r="I192" s="235">
        <v>7</v>
      </c>
      <c r="J192" s="235">
        <v>8</v>
      </c>
      <c r="K192" s="235">
        <v>9</v>
      </c>
      <c r="L192" s="235">
        <v>10</v>
      </c>
      <c r="M192" s="235">
        <v>11</v>
      </c>
      <c r="N192" s="235">
        <v>12</v>
      </c>
      <c r="O192" s="235">
        <v>13</v>
      </c>
      <c r="P192" s="235">
        <v>14</v>
      </c>
      <c r="Q192" s="235">
        <v>15</v>
      </c>
      <c r="R192" s="235">
        <v>16</v>
      </c>
      <c r="S192" s="235">
        <v>17</v>
      </c>
      <c r="T192" s="235">
        <v>18</v>
      </c>
      <c r="U192" s="235">
        <v>19</v>
      </c>
      <c r="V192" s="235">
        <v>20</v>
      </c>
      <c r="W192" s="235">
        <v>21</v>
      </c>
      <c r="X192" s="235">
        <v>22</v>
      </c>
      <c r="Y192" s="235">
        <v>23</v>
      </c>
      <c r="Z192" s="235">
        <v>24</v>
      </c>
      <c r="AA192" s="236" t="s">
        <v>15</v>
      </c>
    </row>
    <row r="193" spans="2:27">
      <c r="B193" s="218" t="s">
        <v>5</v>
      </c>
      <c r="C193" s="219">
        <v>9.1643000000000008</v>
      </c>
      <c r="D193" s="219">
        <v>8.7952999999999992</v>
      </c>
      <c r="E193" s="219">
        <v>8.8308</v>
      </c>
      <c r="F193" s="219">
        <v>8.5412999999999997</v>
      </c>
      <c r="G193" s="219">
        <v>8.3774999999999995</v>
      </c>
      <c r="H193" s="219">
        <v>8.2622</v>
      </c>
      <c r="I193" s="219">
        <v>8.3582999999999998</v>
      </c>
      <c r="J193" s="219">
        <v>8.2825000000000006</v>
      </c>
      <c r="K193" s="219">
        <v>7.7236000000000002</v>
      </c>
      <c r="L193" s="219">
        <v>7.4927000000000001</v>
      </c>
      <c r="M193" s="219">
        <v>7.0507</v>
      </c>
      <c r="N193" s="219">
        <v>6.7298999999999998</v>
      </c>
      <c r="O193" s="219">
        <v>5.7401</v>
      </c>
      <c r="P193" s="219">
        <v>5.3799000000000001</v>
      </c>
      <c r="Q193" s="219">
        <v>4.9191000000000003</v>
      </c>
      <c r="R193" s="219">
        <v>5.3954000000000004</v>
      </c>
      <c r="S193" s="219">
        <v>5.3757000000000001</v>
      </c>
      <c r="T193" s="219">
        <v>5.6306000000000003</v>
      </c>
      <c r="U193" s="219">
        <v>5.8331</v>
      </c>
      <c r="V193" s="219">
        <v>6.3666999999999998</v>
      </c>
      <c r="W193" s="219">
        <v>6.7653999999999996</v>
      </c>
      <c r="X193" s="219">
        <v>6.9931999999999999</v>
      </c>
      <c r="Y193" s="219">
        <v>7.2034000000000002</v>
      </c>
      <c r="Z193" s="219">
        <v>7.3064</v>
      </c>
      <c r="AA193" s="219">
        <f t="shared" ref="AA193:AA194" si="24">SUM(C193:Z193)</f>
        <v>170.5181</v>
      </c>
    </row>
    <row r="194" spans="2:27">
      <c r="B194" s="218" t="s">
        <v>10</v>
      </c>
      <c r="C194" s="219">
        <v>25.1279</v>
      </c>
      <c r="D194" s="219">
        <v>24.4297</v>
      </c>
      <c r="E194" s="219">
        <v>23.810600000000001</v>
      </c>
      <c r="F194" s="219">
        <v>23.1861</v>
      </c>
      <c r="G194" s="219">
        <v>22.812899999999999</v>
      </c>
      <c r="H194" s="219">
        <v>22.671399999999998</v>
      </c>
      <c r="I194" s="219">
        <v>22.881699999999999</v>
      </c>
      <c r="J194" s="219">
        <v>22.9634</v>
      </c>
      <c r="K194" s="219">
        <v>23.478000000000002</v>
      </c>
      <c r="L194" s="219">
        <v>24.83</v>
      </c>
      <c r="M194" s="219">
        <v>25.264600000000002</v>
      </c>
      <c r="N194" s="219">
        <v>26.226400000000002</v>
      </c>
      <c r="O194" s="219">
        <v>26.419699999999999</v>
      </c>
      <c r="P194" s="219">
        <v>26.6785</v>
      </c>
      <c r="Q194" s="219">
        <v>26.776900000000001</v>
      </c>
      <c r="R194" s="219">
        <v>26.777999999999999</v>
      </c>
      <c r="S194" s="219">
        <v>26.0596</v>
      </c>
      <c r="T194" s="219">
        <v>25.779599999999999</v>
      </c>
      <c r="U194" s="219">
        <v>26.1708</v>
      </c>
      <c r="V194" s="219">
        <v>27.240100000000002</v>
      </c>
      <c r="W194" s="219">
        <v>27.512499999999999</v>
      </c>
      <c r="X194" s="219">
        <v>27.726400000000002</v>
      </c>
      <c r="Y194" s="219">
        <v>27.232600000000001</v>
      </c>
      <c r="Z194" s="219">
        <v>25.386600000000001</v>
      </c>
      <c r="AA194" s="219">
        <f t="shared" si="24"/>
        <v>607.44400000000019</v>
      </c>
    </row>
    <row r="195" spans="2:27">
      <c r="B195" s="218"/>
      <c r="C195" s="218"/>
      <c r="D195" s="218"/>
      <c r="E195" s="218"/>
      <c r="F195" s="218"/>
      <c r="G195" s="218"/>
      <c r="H195" s="218"/>
      <c r="I195" s="218"/>
      <c r="J195" s="218"/>
      <c r="K195" s="218"/>
      <c r="L195" s="218"/>
      <c r="M195" s="218"/>
      <c r="N195" s="218"/>
      <c r="O195" s="218"/>
      <c r="P195" s="218"/>
      <c r="Q195" s="218"/>
      <c r="R195" s="218"/>
      <c r="S195" s="218"/>
      <c r="T195" s="218"/>
      <c r="U195" s="218"/>
      <c r="V195" s="218"/>
      <c r="W195" s="218"/>
      <c r="X195" s="218"/>
      <c r="Y195" s="218"/>
      <c r="Z195" s="218"/>
      <c r="AA195" s="218"/>
    </row>
    <row r="196" spans="2:27">
      <c r="B196" s="218"/>
      <c r="C196" s="218"/>
      <c r="D196" s="218"/>
      <c r="E196" s="218"/>
      <c r="F196" s="218"/>
      <c r="G196" s="218"/>
      <c r="H196" s="218"/>
      <c r="I196" s="218"/>
      <c r="J196" s="218"/>
      <c r="K196" s="218"/>
      <c r="L196" s="218"/>
      <c r="M196" s="218"/>
      <c r="N196" s="218"/>
      <c r="O196" s="218"/>
      <c r="P196" s="218"/>
      <c r="Q196" s="218"/>
      <c r="R196" s="218"/>
      <c r="S196" s="218"/>
      <c r="T196" s="218"/>
      <c r="U196" s="218"/>
      <c r="V196" s="218"/>
      <c r="W196" s="218"/>
      <c r="X196" s="218"/>
      <c r="Y196" s="218"/>
      <c r="Z196" s="218"/>
      <c r="AA196" s="218"/>
    </row>
    <row r="197" spans="2:27">
      <c r="B197" s="220" t="s">
        <v>125</v>
      </c>
      <c r="C197" s="237">
        <f>C193/C194*100</f>
        <v>36.470616326871728</v>
      </c>
      <c r="D197" s="237">
        <f t="shared" ref="D197:AA197" si="25">D193/D194*100</f>
        <v>36.002488773910443</v>
      </c>
      <c r="E197" s="237">
        <f t="shared" si="25"/>
        <v>37.087683636699623</v>
      </c>
      <c r="F197" s="237">
        <f t="shared" si="25"/>
        <v>36.838019330547176</v>
      </c>
      <c r="G197" s="237">
        <f t="shared" si="25"/>
        <v>36.722643767342163</v>
      </c>
      <c r="H197" s="237">
        <f t="shared" si="25"/>
        <v>36.443272140229546</v>
      </c>
      <c r="I197" s="237">
        <f t="shared" si="25"/>
        <v>36.528317389005188</v>
      </c>
      <c r="J197" s="237">
        <f t="shared" si="25"/>
        <v>36.068265152372909</v>
      </c>
      <c r="K197" s="237">
        <f t="shared" si="25"/>
        <v>32.897180339040801</v>
      </c>
      <c r="L197" s="237">
        <f t="shared" si="25"/>
        <v>30.175996778091026</v>
      </c>
      <c r="M197" s="237">
        <f t="shared" si="25"/>
        <v>27.90742778433064</v>
      </c>
      <c r="N197" s="237">
        <f t="shared" si="25"/>
        <v>25.660784552969524</v>
      </c>
      <c r="O197" s="237">
        <f t="shared" si="25"/>
        <v>21.726590385204979</v>
      </c>
      <c r="P197" s="237">
        <f t="shared" si="25"/>
        <v>20.165676481061528</v>
      </c>
      <c r="Q197" s="237">
        <f t="shared" si="25"/>
        <v>18.370685180136611</v>
      </c>
      <c r="R197" s="237">
        <f t="shared" si="25"/>
        <v>20.148629471954592</v>
      </c>
      <c r="S197" s="237">
        <f t="shared" si="25"/>
        <v>20.62848240187877</v>
      </c>
      <c r="T197" s="237">
        <f t="shared" si="25"/>
        <v>21.841300873558943</v>
      </c>
      <c r="U197" s="237">
        <f t="shared" si="25"/>
        <v>22.288581166796583</v>
      </c>
      <c r="V197" s="237">
        <f t="shared" si="25"/>
        <v>23.372528000998528</v>
      </c>
      <c r="W197" s="237">
        <f t="shared" si="25"/>
        <v>24.590277146751475</v>
      </c>
      <c r="X197" s="237">
        <f t="shared" si="25"/>
        <v>25.222170927347221</v>
      </c>
      <c r="Y197" s="237">
        <f t="shared" si="25"/>
        <v>26.451385471824214</v>
      </c>
      <c r="Z197" s="237">
        <f t="shared" si="25"/>
        <v>28.780537764017232</v>
      </c>
      <c r="AA197" s="237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B236" zoomScaleNormal="100" workbookViewId="0">
      <selection activeCell="Q263" sqref="Q263"/>
    </sheetView>
  </sheetViews>
  <sheetFormatPr baseColWidth="10" defaultRowHeight="12.75"/>
  <cols>
    <col min="1" max="1" width="19.42578125" bestFit="1" customWidth="1"/>
    <col min="2" max="2" width="29.7109375" bestFit="1" customWidth="1"/>
    <col min="3" max="11" width="15.42578125" bestFit="1" customWidth="1"/>
    <col min="12" max="13" width="18.28515625" bestFit="1" customWidth="1"/>
    <col min="14" max="15" width="15.42578125" bestFit="1" customWidth="1"/>
    <col min="16" max="19" width="14.7109375" customWidth="1"/>
    <col min="20" max="26" width="17.5703125" customWidth="1"/>
    <col min="27" max="235" width="14.7109375" customWidth="1"/>
  </cols>
  <sheetData>
    <row r="1" spans="1:13">
      <c r="A1" s="183" t="s">
        <v>30</v>
      </c>
      <c r="B1" s="183" t="s">
        <v>108</v>
      </c>
    </row>
    <row r="2" spans="1:13">
      <c r="A2" s="177" t="s">
        <v>233</v>
      </c>
      <c r="B2" s="177" t="s">
        <v>234</v>
      </c>
    </row>
    <row r="4" spans="1:13">
      <c r="A4" s="174" t="s">
        <v>30</v>
      </c>
      <c r="B4" s="343" t="s">
        <v>233</v>
      </c>
      <c r="C4" s="344"/>
      <c r="D4" s="344"/>
      <c r="E4" s="344"/>
      <c r="F4" s="344"/>
      <c r="G4" s="344"/>
      <c r="H4" s="344"/>
      <c r="I4" s="344"/>
      <c r="J4" s="344"/>
      <c r="L4" s="311" t="s">
        <v>106</v>
      </c>
      <c r="M4" s="312" t="s">
        <v>226</v>
      </c>
    </row>
    <row r="5" spans="1:13">
      <c r="A5" s="174" t="s">
        <v>105</v>
      </c>
      <c r="B5" s="335" t="s">
        <v>98</v>
      </c>
      <c r="C5" s="336"/>
      <c r="D5" s="336"/>
      <c r="E5" s="336"/>
      <c r="F5" s="336"/>
      <c r="G5" s="336"/>
      <c r="H5" s="336"/>
      <c r="I5" s="336"/>
      <c r="J5" s="336"/>
      <c r="L5" s="311" t="s">
        <v>30</v>
      </c>
      <c r="M5" s="312" t="s">
        <v>245</v>
      </c>
    </row>
    <row r="6" spans="1:13">
      <c r="A6" s="174" t="s">
        <v>106</v>
      </c>
      <c r="B6" s="175" t="s">
        <v>99</v>
      </c>
      <c r="C6" s="175" t="s">
        <v>171</v>
      </c>
      <c r="D6" s="175" t="s">
        <v>100</v>
      </c>
      <c r="E6" s="175" t="s">
        <v>101</v>
      </c>
      <c r="F6" s="175" t="s">
        <v>159</v>
      </c>
      <c r="G6" s="175" t="s">
        <v>102</v>
      </c>
      <c r="H6" s="175" t="s">
        <v>103</v>
      </c>
      <c r="I6" s="175" t="s">
        <v>172</v>
      </c>
      <c r="J6" s="175" t="s">
        <v>104</v>
      </c>
      <c r="L6" s="311" t="s">
        <v>227</v>
      </c>
      <c r="M6" s="313"/>
    </row>
    <row r="7" spans="1:13">
      <c r="A7" s="174" t="s">
        <v>107</v>
      </c>
      <c r="B7" s="176"/>
      <c r="C7" s="176"/>
      <c r="D7" s="176"/>
      <c r="E7" s="176"/>
      <c r="F7" s="176"/>
      <c r="G7" s="176"/>
      <c r="H7" s="176"/>
      <c r="I7" s="176"/>
      <c r="J7" s="176"/>
      <c r="L7" s="273" t="s">
        <v>4</v>
      </c>
      <c r="M7" s="314">
        <v>4642.5150000000003</v>
      </c>
    </row>
    <row r="8" spans="1:13">
      <c r="A8" s="177" t="s">
        <v>2</v>
      </c>
      <c r="B8" s="207">
        <v>1879803.934162</v>
      </c>
      <c r="C8" s="207">
        <v>1886003.927444</v>
      </c>
      <c r="D8" s="179">
        <v>-3.2873703000000001E-3</v>
      </c>
      <c r="E8" s="207">
        <v>23445342.254190002</v>
      </c>
      <c r="F8" s="207">
        <v>21388374.566768002</v>
      </c>
      <c r="G8" s="179">
        <v>9.6172230400000003E-2</v>
      </c>
      <c r="H8" s="207">
        <v>32667740.358348001</v>
      </c>
      <c r="I8" s="207">
        <v>31037332.827971999</v>
      </c>
      <c r="J8" s="179">
        <v>5.25305296E-2</v>
      </c>
      <c r="L8" s="273" t="s">
        <v>131</v>
      </c>
      <c r="M8" s="314">
        <v>24561.845000000001</v>
      </c>
    </row>
    <row r="9" spans="1:13">
      <c r="A9" s="177" t="s">
        <v>81</v>
      </c>
      <c r="B9" s="207">
        <v>159086.738274</v>
      </c>
      <c r="C9" s="207">
        <v>158855.12119999999</v>
      </c>
      <c r="D9" s="179">
        <v>1.4580397E-3</v>
      </c>
      <c r="E9" s="207">
        <v>1825581.546326</v>
      </c>
      <c r="F9" s="207">
        <v>1803542.6157199999</v>
      </c>
      <c r="G9" s="179">
        <v>1.22198003E-2</v>
      </c>
      <c r="H9" s="207">
        <v>2770139.6488239998</v>
      </c>
      <c r="I9" s="207">
        <v>2517887.130874</v>
      </c>
      <c r="J9" s="179">
        <v>0.100184204</v>
      </c>
      <c r="L9" s="273" t="s">
        <v>9</v>
      </c>
      <c r="M9" s="314">
        <v>5621.1045000000004</v>
      </c>
    </row>
    <row r="10" spans="1:13">
      <c r="A10" s="177" t="s">
        <v>3</v>
      </c>
      <c r="B10" s="207">
        <v>5150264.0140000004</v>
      </c>
      <c r="C10" s="207">
        <v>5151917.4220000003</v>
      </c>
      <c r="D10" s="179">
        <v>-3.2093060000000002E-4</v>
      </c>
      <c r="E10" s="207">
        <v>36916019.744999997</v>
      </c>
      <c r="F10" s="207">
        <v>36446654.726000004</v>
      </c>
      <c r="G10" s="179">
        <v>1.2878137200000001E-2</v>
      </c>
      <c r="H10" s="207">
        <v>56226139.93</v>
      </c>
      <c r="I10" s="207">
        <v>53750246.277000003</v>
      </c>
      <c r="J10" s="179">
        <v>4.60629267E-2</v>
      </c>
      <c r="L10" s="273" t="s">
        <v>5</v>
      </c>
      <c r="M10" s="314">
        <v>27456.9735</v>
      </c>
    </row>
    <row r="11" spans="1:13">
      <c r="A11" s="177" t="s">
        <v>4</v>
      </c>
      <c r="B11" s="207">
        <v>320344.43199999997</v>
      </c>
      <c r="C11" s="207">
        <v>338348.84299999999</v>
      </c>
      <c r="D11" s="179">
        <v>-5.3212568500000001E-2</v>
      </c>
      <c r="E11" s="207">
        <v>2637685.56</v>
      </c>
      <c r="F11" s="207">
        <v>3724033.6469999999</v>
      </c>
      <c r="G11" s="179">
        <v>-0.29171274749999998</v>
      </c>
      <c r="H11" s="207">
        <v>3713707.6320000002</v>
      </c>
      <c r="I11" s="207">
        <v>5764760.9790000003</v>
      </c>
      <c r="J11" s="179">
        <v>-0.35579156789999999</v>
      </c>
      <c r="L11" s="273" t="s">
        <v>95</v>
      </c>
      <c r="M11" s="314">
        <v>7.95</v>
      </c>
    </row>
    <row r="12" spans="1:13">
      <c r="A12" s="177" t="s">
        <v>95</v>
      </c>
      <c r="B12" s="207">
        <v>0</v>
      </c>
      <c r="C12" s="207">
        <v>0</v>
      </c>
      <c r="D12" s="179">
        <v>0</v>
      </c>
      <c r="E12" s="207">
        <v>-1E-3</v>
      </c>
      <c r="F12" s="207">
        <v>0</v>
      </c>
      <c r="G12" s="179">
        <v>0</v>
      </c>
      <c r="H12" s="207">
        <v>-1E-3</v>
      </c>
      <c r="I12" s="207">
        <v>0</v>
      </c>
      <c r="J12" s="179">
        <v>0</v>
      </c>
      <c r="L12" s="273" t="s">
        <v>2</v>
      </c>
      <c r="M12" s="314">
        <v>17091.654030000002</v>
      </c>
    </row>
    <row r="13" spans="1:13">
      <c r="A13" s="177" t="s">
        <v>11</v>
      </c>
      <c r="B13" s="207">
        <v>3325198.8149999999</v>
      </c>
      <c r="C13" s="207">
        <v>5051175.9519999996</v>
      </c>
      <c r="D13" s="179">
        <v>-0.3416980825</v>
      </c>
      <c r="E13" s="207">
        <v>19281537.967</v>
      </c>
      <c r="F13" s="207">
        <v>25232899.048999999</v>
      </c>
      <c r="G13" s="179">
        <v>-0.2358572065</v>
      </c>
      <c r="H13" s="207">
        <v>32405192.096999999</v>
      </c>
      <c r="I13" s="207">
        <v>42900980.726999998</v>
      </c>
      <c r="J13" s="179">
        <v>-0.2446514847</v>
      </c>
      <c r="L13" s="273" t="s">
        <v>3</v>
      </c>
      <c r="M13" s="314">
        <v>7117.29</v>
      </c>
    </row>
    <row r="14" spans="1:13">
      <c r="A14" s="177" t="s">
        <v>5</v>
      </c>
      <c r="B14" s="207">
        <v>3597108.6889999998</v>
      </c>
      <c r="C14" s="207">
        <v>3508451.5269999998</v>
      </c>
      <c r="D14" s="179">
        <v>2.52695987E-2</v>
      </c>
      <c r="E14" s="207">
        <v>38689329.020999998</v>
      </c>
      <c r="F14" s="207">
        <v>32630543.679000001</v>
      </c>
      <c r="G14" s="179">
        <v>0.18567834489999999</v>
      </c>
      <c r="H14" s="207">
        <v>59854103.827</v>
      </c>
      <c r="I14" s="207">
        <v>52886147.950999998</v>
      </c>
      <c r="J14" s="179">
        <v>0.13175389300000001</v>
      </c>
      <c r="L14" s="273" t="s">
        <v>136</v>
      </c>
      <c r="M14" s="314">
        <v>1084.7850000000001</v>
      </c>
    </row>
    <row r="15" spans="1:13">
      <c r="A15" s="177" t="s">
        <v>6</v>
      </c>
      <c r="B15" s="207">
        <v>2330238.3330000001</v>
      </c>
      <c r="C15" s="207">
        <v>1778464.0589999999</v>
      </c>
      <c r="D15" s="179">
        <v>0.31025326110000001</v>
      </c>
      <c r="E15" s="207">
        <v>14436519.084000001</v>
      </c>
      <c r="F15" s="207">
        <v>10694195.882999999</v>
      </c>
      <c r="G15" s="179">
        <v>0.34993965339999999</v>
      </c>
      <c r="H15" s="207">
        <v>18654722.425000001</v>
      </c>
      <c r="I15" s="207">
        <v>13282751.602</v>
      </c>
      <c r="J15" s="179">
        <v>0.40443207730000003</v>
      </c>
      <c r="L15" s="273" t="s">
        <v>225</v>
      </c>
      <c r="M15" s="314">
        <v>402.37650000000002</v>
      </c>
    </row>
    <row r="16" spans="1:13">
      <c r="A16" s="177" t="s">
        <v>7</v>
      </c>
      <c r="B16" s="207">
        <v>661321.64099999995</v>
      </c>
      <c r="C16" s="207">
        <v>744541.66099999996</v>
      </c>
      <c r="D16" s="179">
        <v>-0.1117734901</v>
      </c>
      <c r="E16" s="207">
        <v>3653435.1919999998</v>
      </c>
      <c r="F16" s="207">
        <v>3561602.0060000001</v>
      </c>
      <c r="G16" s="179">
        <v>2.5784235799999999E-2</v>
      </c>
      <c r="H16" s="207">
        <v>4630143.3159999996</v>
      </c>
      <c r="I16" s="207">
        <v>4458367.915</v>
      </c>
      <c r="J16" s="179">
        <v>3.8528763100000002E-2</v>
      </c>
      <c r="L16" s="273" t="s">
        <v>135</v>
      </c>
      <c r="M16" s="314">
        <v>131.6275</v>
      </c>
    </row>
    <row r="17" spans="1:13">
      <c r="A17" s="177" t="s">
        <v>8</v>
      </c>
      <c r="B17" s="207">
        <v>409609.473</v>
      </c>
      <c r="C17" s="207">
        <v>367860.11700000003</v>
      </c>
      <c r="D17" s="179">
        <v>0.1134924774</v>
      </c>
      <c r="E17" s="207">
        <v>3011869.3450000002</v>
      </c>
      <c r="F17" s="207">
        <v>2845692.193</v>
      </c>
      <c r="G17" s="179">
        <v>5.8396038900000002E-2</v>
      </c>
      <c r="H17" s="207">
        <v>4636466.8380000005</v>
      </c>
      <c r="I17" s="207">
        <v>4066275.5669999998</v>
      </c>
      <c r="J17" s="179">
        <v>0.140224454</v>
      </c>
      <c r="L17" s="273" t="s">
        <v>132</v>
      </c>
      <c r="M17" s="314">
        <v>13004.937320999999</v>
      </c>
    </row>
    <row r="18" spans="1:13">
      <c r="A18" s="177" t="s">
        <v>9</v>
      </c>
      <c r="B18" s="207">
        <v>2097626.6230000001</v>
      </c>
      <c r="C18" s="207">
        <v>2191606.1940000001</v>
      </c>
      <c r="D18" s="179">
        <v>-4.2881595799999998E-2</v>
      </c>
      <c r="E18" s="207">
        <v>17367749.491</v>
      </c>
      <c r="F18" s="207">
        <v>17591943.213</v>
      </c>
      <c r="G18" s="179">
        <v>-1.2744113600000001E-2</v>
      </c>
      <c r="H18" s="207">
        <v>26750242.98</v>
      </c>
      <c r="I18" s="207">
        <v>27250241.127999999</v>
      </c>
      <c r="J18" s="179">
        <v>-1.8348393500000001E-2</v>
      </c>
      <c r="L18" s="273" t="s">
        <v>133</v>
      </c>
      <c r="M18" s="314">
        <v>2304.0129999999999</v>
      </c>
    </row>
    <row r="19" spans="1:13">
      <c r="A19" s="177" t="s">
        <v>69</v>
      </c>
      <c r="B19" s="207">
        <v>67949.683999999994</v>
      </c>
      <c r="C19" s="207">
        <v>66037.119500000001</v>
      </c>
      <c r="D19" s="179">
        <v>2.8961961299999998E-2</v>
      </c>
      <c r="E19" s="207">
        <v>494675.5895</v>
      </c>
      <c r="F19" s="207">
        <v>348408.728</v>
      </c>
      <c r="G19" s="179">
        <v>0.41981399930000002</v>
      </c>
      <c r="H19" s="207">
        <v>752391.66200000001</v>
      </c>
      <c r="I19" s="207">
        <v>599596.26899999997</v>
      </c>
      <c r="J19" s="179">
        <v>0.25483045989999997</v>
      </c>
      <c r="L19" s="273" t="s">
        <v>81</v>
      </c>
      <c r="M19" s="314">
        <v>3331.4</v>
      </c>
    </row>
    <row r="20" spans="1:13">
      <c r="A20" s="177" t="s">
        <v>70</v>
      </c>
      <c r="B20" s="207">
        <v>198400.12299999999</v>
      </c>
      <c r="C20" s="207">
        <v>178963.16149999999</v>
      </c>
      <c r="D20" s="179">
        <v>0.108608729</v>
      </c>
      <c r="E20" s="207">
        <v>1420131.3145000001</v>
      </c>
      <c r="F20" s="207">
        <v>1204328.274</v>
      </c>
      <c r="G20" s="179">
        <v>0.17918954919999999</v>
      </c>
      <c r="H20" s="207">
        <v>2111592.2009999999</v>
      </c>
      <c r="I20" s="207">
        <v>1867269.4410000001</v>
      </c>
      <c r="J20" s="179">
        <v>0.1308449411</v>
      </c>
      <c r="L20" s="315" t="s">
        <v>15</v>
      </c>
      <c r="M20" s="316">
        <v>106758.471351</v>
      </c>
    </row>
    <row r="21" spans="1:13">
      <c r="A21" s="180" t="s">
        <v>10</v>
      </c>
      <c r="B21" s="208">
        <v>20196952.499435998</v>
      </c>
      <c r="C21" s="208">
        <v>21422225.104644001</v>
      </c>
      <c r="D21" s="182">
        <v>-5.7196327599999999E-2</v>
      </c>
      <c r="E21" s="208">
        <v>163179876.10851601</v>
      </c>
      <c r="F21" s="208">
        <v>157472218.580488</v>
      </c>
      <c r="G21" s="182">
        <v>3.6245488800000003E-2</v>
      </c>
      <c r="H21" s="208">
        <v>245172582.91417199</v>
      </c>
      <c r="I21" s="208">
        <v>240381857.81484601</v>
      </c>
      <c r="J21" s="182">
        <v>1.9929644999999999E-2</v>
      </c>
    </row>
    <row r="22" spans="1:13">
      <c r="A22" s="177" t="s">
        <v>122</v>
      </c>
      <c r="B22" s="207">
        <v>-216750.997</v>
      </c>
      <c r="C22" s="207">
        <v>-259280.85923999999</v>
      </c>
      <c r="D22" s="179">
        <v>-0.16403008829999999</v>
      </c>
      <c r="E22" s="207">
        <v>-3124190.4188379999</v>
      </c>
      <c r="F22" s="207">
        <v>-3214814.7873650002</v>
      </c>
      <c r="G22" s="179">
        <v>-2.8189608000000001E-2</v>
      </c>
      <c r="H22" s="207">
        <v>-4530703.9558859998</v>
      </c>
      <c r="I22" s="207">
        <v>-4636860.8484129999</v>
      </c>
      <c r="J22" s="179">
        <v>-2.2894129499999999E-2</v>
      </c>
    </row>
    <row r="23" spans="1:13">
      <c r="A23" s="177" t="s">
        <v>97</v>
      </c>
      <c r="B23" s="207">
        <v>-40107.311000000002</v>
      </c>
      <c r="C23" s="207">
        <v>-182715.95499999999</v>
      </c>
      <c r="D23" s="179">
        <v>-0.78049365749999999</v>
      </c>
      <c r="E23" s="207">
        <v>-753687.50399999996</v>
      </c>
      <c r="F23" s="207">
        <v>-969729.83900000004</v>
      </c>
      <c r="G23" s="179">
        <v>-0.22278610630000001</v>
      </c>
      <c r="H23" s="207">
        <v>-1210495.19</v>
      </c>
      <c r="I23" s="207">
        <v>-1471603.787</v>
      </c>
      <c r="J23" s="179">
        <v>-0.1774313163</v>
      </c>
    </row>
    <row r="24" spans="1:13">
      <c r="A24" s="177" t="s">
        <v>123</v>
      </c>
      <c r="B24" s="207">
        <v>661437.39399999997</v>
      </c>
      <c r="C24" s="207">
        <v>-239668.141</v>
      </c>
      <c r="D24" s="179">
        <v>-3.7598052509</v>
      </c>
      <c r="E24" s="207">
        <v>3074593.9580000001</v>
      </c>
      <c r="F24" s="207">
        <v>3506430.9449999998</v>
      </c>
      <c r="G24" s="179">
        <v>-0.12315570839999999</v>
      </c>
      <c r="H24" s="207">
        <v>2847747.9</v>
      </c>
      <c r="I24" s="207">
        <v>4336750.2819999997</v>
      </c>
      <c r="J24" s="179">
        <v>-0.34334519749999998</v>
      </c>
    </row>
    <row r="25" spans="1:13">
      <c r="A25" s="180" t="s">
        <v>124</v>
      </c>
      <c r="B25" s="208">
        <v>20601531.585436001</v>
      </c>
      <c r="C25" s="208">
        <v>20740560.149404</v>
      </c>
      <c r="D25" s="182">
        <v>-6.7032213000000002E-3</v>
      </c>
      <c r="E25" s="208">
        <v>162376592.14367801</v>
      </c>
      <c r="F25" s="208">
        <v>156794104.89912301</v>
      </c>
      <c r="G25" s="182">
        <v>3.56039358E-2</v>
      </c>
      <c r="H25" s="208">
        <v>242279131.668286</v>
      </c>
      <c r="I25" s="208">
        <v>238610143.46143299</v>
      </c>
      <c r="J25" s="182">
        <v>1.53764972E-2</v>
      </c>
    </row>
    <row r="31" spans="1:13">
      <c r="A31" s="105" t="s">
        <v>56</v>
      </c>
      <c r="B31" s="164"/>
      <c r="C31" s="164"/>
      <c r="D31" s="164"/>
      <c r="E31" s="165"/>
      <c r="F31" s="165"/>
    </row>
    <row r="32" spans="1:13">
      <c r="A32" s="106"/>
      <c r="B32" s="89" t="s">
        <v>57</v>
      </c>
      <c r="C32" s="89" t="s">
        <v>14</v>
      </c>
      <c r="D32" s="107"/>
      <c r="E32" s="169"/>
      <c r="F32" s="170" t="s">
        <v>14</v>
      </c>
      <c r="I32" s="44"/>
    </row>
    <row r="33" spans="1:9">
      <c r="A33" s="131" t="s">
        <v>81</v>
      </c>
      <c r="B33" s="127">
        <f>VLOOKUP(A33,L$7:M$21,2,FALSE)</f>
        <v>3331.4</v>
      </c>
      <c r="C33" s="109">
        <f>B33/$B$46*100</f>
        <v>3.1205017811158409</v>
      </c>
      <c r="D33" s="107"/>
      <c r="E33" s="167" t="s">
        <v>16</v>
      </c>
      <c r="F33" s="168">
        <f>SUM(C33:C39)</f>
        <v>42.792370874062797</v>
      </c>
      <c r="I33" s="44"/>
    </row>
    <row r="34" spans="1:9">
      <c r="A34" s="108" t="s">
        <v>3</v>
      </c>
      <c r="B34" s="127">
        <f t="shared" ref="B34:B45" si="0">VLOOKUP(A34,L$7:M$21,2,FALSE)</f>
        <v>7117.29</v>
      </c>
      <c r="C34" s="109">
        <f t="shared" ref="C34:C45" si="1">B34/$B$46*100</f>
        <v>6.6667215350056912</v>
      </c>
      <c r="D34" s="107"/>
      <c r="E34" s="171" t="s">
        <v>17</v>
      </c>
      <c r="F34" s="172">
        <f>SUM(C40:C45)</f>
        <v>57.207629125937203</v>
      </c>
      <c r="I34" s="44"/>
    </row>
    <row r="35" spans="1:9">
      <c r="A35" s="108" t="s">
        <v>4</v>
      </c>
      <c r="B35" s="127">
        <f t="shared" si="0"/>
        <v>4642.5150000000003</v>
      </c>
      <c r="C35" s="109">
        <f t="shared" si="1"/>
        <v>4.3486150946620059</v>
      </c>
      <c r="D35" s="107"/>
      <c r="E35" s="165"/>
      <c r="F35" s="165"/>
      <c r="I35" s="44"/>
    </row>
    <row r="36" spans="1:9">
      <c r="A36" s="108" t="s">
        <v>11</v>
      </c>
      <c r="B36" s="127">
        <f t="shared" si="0"/>
        <v>24561.845000000001</v>
      </c>
      <c r="C36" s="109">
        <f t="shared" si="1"/>
        <v>23.006928339434236</v>
      </c>
      <c r="D36" s="107"/>
      <c r="E36" s="165"/>
      <c r="F36" s="165"/>
      <c r="I36" s="44"/>
    </row>
    <row r="37" spans="1:9">
      <c r="A37" s="108" t="s">
        <v>9</v>
      </c>
      <c r="B37" s="127">
        <f t="shared" si="0"/>
        <v>5621.1045000000004</v>
      </c>
      <c r="C37" s="109">
        <f t="shared" si="1"/>
        <v>5.2652538284469799</v>
      </c>
      <c r="D37" s="107"/>
      <c r="E37" s="165"/>
      <c r="F37" s="165"/>
      <c r="I37" s="44"/>
    </row>
    <row r="38" spans="1:9">
      <c r="A38" s="108" t="s">
        <v>229</v>
      </c>
      <c r="B38" s="127">
        <f t="shared" si="0"/>
        <v>7.95</v>
      </c>
      <c r="C38" s="109">
        <f t="shared" si="1"/>
        <v>7.446715843150307E-3</v>
      </c>
      <c r="D38" s="107"/>
      <c r="E38" s="165"/>
      <c r="F38" s="165"/>
      <c r="I38" s="44"/>
    </row>
    <row r="39" spans="1:9">
      <c r="A39" s="108" t="s">
        <v>70</v>
      </c>
      <c r="B39" s="127">
        <f t="shared" si="0"/>
        <v>402.37650000000002</v>
      </c>
      <c r="C39" s="109">
        <f t="shared" si="1"/>
        <v>0.37690357955488929</v>
      </c>
      <c r="D39" s="107"/>
      <c r="E39" s="165"/>
      <c r="F39" s="165"/>
      <c r="I39" s="44"/>
    </row>
    <row r="40" spans="1:9">
      <c r="A40" s="108" t="s">
        <v>69</v>
      </c>
      <c r="B40" s="127">
        <f t="shared" si="0"/>
        <v>131.6275</v>
      </c>
      <c r="C40" s="109">
        <f t="shared" si="1"/>
        <v>0.12329466536405875</v>
      </c>
      <c r="D40" s="107"/>
      <c r="E40" s="165"/>
      <c r="F40" s="165"/>
      <c r="I40" s="44"/>
    </row>
    <row r="41" spans="1:9">
      <c r="A41" s="108" t="s">
        <v>5</v>
      </c>
      <c r="B41" s="127">
        <f>VLOOKUP(A41,L$7:M$21,2,FALSE)</f>
        <v>27456.9735</v>
      </c>
      <c r="C41" s="109">
        <f t="shared" si="1"/>
        <v>25.718777304076497</v>
      </c>
      <c r="D41" s="107"/>
      <c r="E41" s="165"/>
      <c r="F41" s="165"/>
      <c r="I41" s="44"/>
    </row>
    <row r="42" spans="1:9">
      <c r="A42" s="108" t="s">
        <v>2</v>
      </c>
      <c r="B42" s="127">
        <f t="shared" si="0"/>
        <v>17091.654030000002</v>
      </c>
      <c r="C42" s="109">
        <f t="shared" si="1"/>
        <v>16.009646647905008</v>
      </c>
      <c r="D42" s="107"/>
      <c r="E42" s="165"/>
      <c r="F42" s="165"/>
      <c r="I42" s="44"/>
    </row>
    <row r="43" spans="1:9">
      <c r="A43" s="108" t="s">
        <v>6</v>
      </c>
      <c r="B43" s="127">
        <f t="shared" si="0"/>
        <v>13004.937320999999</v>
      </c>
      <c r="C43" s="109">
        <f t="shared" si="1"/>
        <v>12.181644375782064</v>
      </c>
      <c r="D43" s="107"/>
      <c r="E43" s="165"/>
      <c r="F43" s="165"/>
      <c r="I43" s="44"/>
    </row>
    <row r="44" spans="1:9">
      <c r="A44" s="108" t="s">
        <v>7</v>
      </c>
      <c r="B44" s="127">
        <f t="shared" si="0"/>
        <v>2304.0129999999999</v>
      </c>
      <c r="C44" s="109">
        <f t="shared" si="1"/>
        <v>2.158154730808084</v>
      </c>
      <c r="D44" s="107"/>
      <c r="E44" s="165"/>
      <c r="F44" s="165"/>
    </row>
    <row r="45" spans="1:9">
      <c r="A45" s="108" t="s">
        <v>8</v>
      </c>
      <c r="B45" s="127">
        <f t="shared" si="0"/>
        <v>1084.7850000000001</v>
      </c>
      <c r="C45" s="109">
        <f t="shared" si="1"/>
        <v>1.0161114020014852</v>
      </c>
      <c r="E45" s="165"/>
      <c r="F45" s="165"/>
    </row>
    <row r="46" spans="1:9">
      <c r="A46" s="110" t="s">
        <v>15</v>
      </c>
      <c r="B46" s="128">
        <f>SUM(B33:B45)</f>
        <v>106758.47135100001</v>
      </c>
      <c r="C46" s="111">
        <f>SUM(C33:C45)</f>
        <v>99.999999999999986</v>
      </c>
      <c r="D46" s="107" t="str">
        <f>CONCATENATE(TEXT(B46,"#.##0")," MW")</f>
        <v>106.758 MW</v>
      </c>
    </row>
    <row r="48" spans="1:9">
      <c r="A48" s="105" t="s">
        <v>59</v>
      </c>
      <c r="B48" s="164"/>
      <c r="C48" s="164"/>
      <c r="D48" s="164"/>
      <c r="E48" s="165"/>
      <c r="F48" s="165"/>
    </row>
    <row r="49" spans="1:10">
      <c r="A49" s="106"/>
      <c r="B49" s="89" t="s">
        <v>0</v>
      </c>
      <c r="C49" s="89" t="s">
        <v>14</v>
      </c>
      <c r="D49" s="107"/>
      <c r="E49" s="169"/>
      <c r="F49" s="170" t="s">
        <v>14</v>
      </c>
    </row>
    <row r="50" spans="1:10">
      <c r="A50" s="131" t="s">
        <v>81</v>
      </c>
      <c r="B50" s="173">
        <f>VLOOKUP(A33,A$8:B$22,2,FALSE)/1000</f>
        <v>159.086738274</v>
      </c>
      <c r="C50" s="109">
        <f t="shared" ref="C50:C61" si="2">B50/$B$62*100</f>
        <v>0.78767694422434542</v>
      </c>
      <c r="D50" s="129"/>
      <c r="E50" s="167" t="s">
        <v>16</v>
      </c>
      <c r="F50" s="168">
        <f>SUM(C50:C55)</f>
        <v>55.706031618325511</v>
      </c>
      <c r="G50" s="168"/>
      <c r="J50" s="44"/>
    </row>
    <row r="51" spans="1:10">
      <c r="A51" s="108" t="s">
        <v>3</v>
      </c>
      <c r="B51" s="173">
        <f t="shared" ref="B51:B54" si="3">VLOOKUP(A34,A$8:B$22,2,FALSE)/1000</f>
        <v>5150.2640140000003</v>
      </c>
      <c r="C51" s="109">
        <f t="shared" si="2"/>
        <v>25.500203627967249</v>
      </c>
      <c r="D51" s="129"/>
      <c r="E51" s="171" t="s">
        <v>17</v>
      </c>
      <c r="F51" s="172">
        <f>SUM(C56:C61)</f>
        <v>44.29396838167451</v>
      </c>
      <c r="J51" s="44"/>
    </row>
    <row r="52" spans="1:10">
      <c r="A52" s="108" t="s">
        <v>4</v>
      </c>
      <c r="B52" s="173">
        <f t="shared" si="3"/>
        <v>320.34443199999998</v>
      </c>
      <c r="C52" s="109">
        <f t="shared" si="2"/>
        <v>1.5861028143178812</v>
      </c>
      <c r="D52" s="129"/>
      <c r="E52" s="165"/>
      <c r="F52" s="165"/>
      <c r="J52" s="44"/>
    </row>
    <row r="53" spans="1:10">
      <c r="A53" s="108" t="s">
        <v>11</v>
      </c>
      <c r="B53" s="173">
        <f t="shared" si="3"/>
        <v>3325.1988149999997</v>
      </c>
      <c r="C53" s="109">
        <f t="shared" si="2"/>
        <v>16.46386411560287</v>
      </c>
      <c r="D53" s="129"/>
      <c r="E53" s="165"/>
      <c r="F53" s="165"/>
      <c r="J53" s="44"/>
    </row>
    <row r="54" spans="1:10">
      <c r="A54" s="108" t="s">
        <v>9</v>
      </c>
      <c r="B54" s="173">
        <f t="shared" si="3"/>
        <v>2097.6266230000001</v>
      </c>
      <c r="C54" s="109">
        <f t="shared" si="2"/>
        <v>10.385857089373147</v>
      </c>
      <c r="D54" s="129"/>
      <c r="E54" s="165"/>
      <c r="F54" s="166"/>
      <c r="J54" s="44"/>
    </row>
    <row r="55" spans="1:10">
      <c r="A55" s="108" t="s">
        <v>70</v>
      </c>
      <c r="B55" s="173">
        <f t="shared" ref="B55:B61" si="4">VLOOKUP(A39,A$8:B$22,2,FALSE)/1000</f>
        <v>198.40012299999998</v>
      </c>
      <c r="C55" s="109">
        <f t="shared" si="2"/>
        <v>0.98232702684001638</v>
      </c>
      <c r="D55" s="129"/>
      <c r="E55" s="165"/>
      <c r="F55" s="165"/>
      <c r="J55" s="44"/>
    </row>
    <row r="56" spans="1:10">
      <c r="A56" s="108" t="s">
        <v>69</v>
      </c>
      <c r="B56" s="173">
        <f t="shared" si="4"/>
        <v>67.949683999999991</v>
      </c>
      <c r="C56" s="109">
        <f t="shared" si="2"/>
        <v>0.33643533103272633</v>
      </c>
      <c r="D56" s="129"/>
      <c r="E56" s="165"/>
      <c r="F56" s="165"/>
      <c r="J56" s="44"/>
    </row>
    <row r="57" spans="1:10">
      <c r="A57" s="108" t="s">
        <v>5</v>
      </c>
      <c r="B57" s="173">
        <f t="shared" si="4"/>
        <v>3597.1086889999997</v>
      </c>
      <c r="C57" s="109">
        <f t="shared" si="2"/>
        <v>17.810155710869992</v>
      </c>
      <c r="D57" s="129"/>
      <c r="E57" s="165"/>
      <c r="F57" s="165"/>
      <c r="J57" s="44"/>
    </row>
    <row r="58" spans="1:10">
      <c r="A58" s="108" t="s">
        <v>2</v>
      </c>
      <c r="B58" s="173">
        <f t="shared" si="4"/>
        <v>1879.8039341619999</v>
      </c>
      <c r="C58" s="109">
        <f t="shared" si="2"/>
        <v>9.3073642383151309</v>
      </c>
      <c r="D58" s="129"/>
      <c r="E58" s="165"/>
      <c r="F58" s="165"/>
      <c r="J58" s="44"/>
    </row>
    <row r="59" spans="1:10">
      <c r="A59" s="108" t="s">
        <v>6</v>
      </c>
      <c r="B59" s="173">
        <f t="shared" si="4"/>
        <v>2330.2383330000002</v>
      </c>
      <c r="C59" s="109">
        <f t="shared" si="2"/>
        <v>11.537573963522826</v>
      </c>
      <c r="D59" s="129"/>
      <c r="E59" s="165"/>
      <c r="F59" s="165"/>
      <c r="J59" s="44"/>
    </row>
    <row r="60" spans="1:10">
      <c r="A60" s="108" t="s">
        <v>7</v>
      </c>
      <c r="B60" s="173">
        <f t="shared" si="4"/>
        <v>661.321641</v>
      </c>
      <c r="C60" s="109">
        <f t="shared" si="2"/>
        <v>3.2743635012186494</v>
      </c>
      <c r="D60" s="129"/>
      <c r="E60" s="165"/>
      <c r="F60" s="165"/>
      <c r="J60" s="44"/>
    </row>
    <row r="61" spans="1:10">
      <c r="A61" s="108" t="s">
        <v>8</v>
      </c>
      <c r="B61" s="173">
        <f t="shared" si="4"/>
        <v>409.60947299999998</v>
      </c>
      <c r="C61" s="109">
        <f t="shared" si="2"/>
        <v>2.0280756367151849</v>
      </c>
      <c r="D61" s="129"/>
      <c r="E61" s="165"/>
      <c r="F61" s="165"/>
      <c r="J61" s="44"/>
    </row>
    <row r="62" spans="1:10">
      <c r="A62" s="110" t="s">
        <v>15</v>
      </c>
      <c r="B62" s="128">
        <f>SUM(B50:B61)</f>
        <v>20196.952499435996</v>
      </c>
      <c r="C62" s="111">
        <f>SUM(C50:C61)</f>
        <v>100.00000000000003</v>
      </c>
      <c r="D62" s="165"/>
      <c r="E62" s="165"/>
      <c r="F62" s="165"/>
    </row>
    <row r="66" spans="1:8">
      <c r="A66" s="174" t="s">
        <v>31</v>
      </c>
      <c r="B66" s="317" t="s">
        <v>238</v>
      </c>
      <c r="G66" s="174" t="s">
        <v>31</v>
      </c>
      <c r="H66" s="317" t="s">
        <v>204</v>
      </c>
    </row>
    <row r="67" spans="1:8">
      <c r="A67" s="174" t="s">
        <v>106</v>
      </c>
      <c r="B67" s="175" t="s">
        <v>109</v>
      </c>
      <c r="G67" s="174" t="s">
        <v>106</v>
      </c>
      <c r="H67" s="175" t="s">
        <v>109</v>
      </c>
    </row>
    <row r="68" spans="1:8">
      <c r="A68" s="174" t="s">
        <v>110</v>
      </c>
      <c r="B68" s="176"/>
      <c r="G68" s="174" t="s">
        <v>111</v>
      </c>
      <c r="H68" s="176"/>
    </row>
    <row r="69" spans="1:8">
      <c r="A69" s="177" t="s">
        <v>2</v>
      </c>
      <c r="B69" s="178">
        <v>37.264640012000001</v>
      </c>
      <c r="G69" s="177" t="s">
        <v>2</v>
      </c>
      <c r="H69" s="178">
        <v>120.970156024</v>
      </c>
    </row>
    <row r="70" spans="1:8">
      <c r="A70" s="177" t="s">
        <v>81</v>
      </c>
      <c r="B70" s="178">
        <v>2.8650696619999998</v>
      </c>
      <c r="G70" s="177" t="s">
        <v>81</v>
      </c>
      <c r="H70" s="178">
        <v>5.3139561840000002</v>
      </c>
    </row>
    <row r="71" spans="1:8">
      <c r="A71" s="177" t="s">
        <v>3</v>
      </c>
      <c r="B71" s="178">
        <v>166.20632900000001</v>
      </c>
      <c r="G71" s="177" t="s">
        <v>3</v>
      </c>
      <c r="H71" s="178">
        <v>133.41947400000001</v>
      </c>
    </row>
    <row r="72" spans="1:8">
      <c r="A72" s="177" t="s">
        <v>4</v>
      </c>
      <c r="B72" s="178">
        <v>9.4841460000000009</v>
      </c>
      <c r="G72" s="177" t="s">
        <v>4</v>
      </c>
      <c r="H72" s="178">
        <v>-0.457173</v>
      </c>
    </row>
    <row r="73" spans="1:8">
      <c r="A73" s="177" t="s">
        <v>95</v>
      </c>
      <c r="B73" s="178">
        <v>0</v>
      </c>
      <c r="G73" s="177" t="s">
        <v>95</v>
      </c>
      <c r="H73" s="178">
        <v>0</v>
      </c>
    </row>
    <row r="74" spans="1:8">
      <c r="A74" s="177" t="s">
        <v>11</v>
      </c>
      <c r="B74" s="178">
        <v>79.577637999999993</v>
      </c>
      <c r="G74" s="177" t="s">
        <v>11</v>
      </c>
      <c r="H74" s="178">
        <v>22.139078999999999</v>
      </c>
    </row>
    <row r="75" spans="1:8">
      <c r="A75" s="177" t="s">
        <v>5</v>
      </c>
      <c r="B75" s="178">
        <v>246.26016999999999</v>
      </c>
      <c r="G75" s="177" t="s">
        <v>5</v>
      </c>
      <c r="H75" s="178">
        <v>378.94424199999997</v>
      </c>
    </row>
    <row r="76" spans="1:8">
      <c r="A76" s="177" t="s">
        <v>6</v>
      </c>
      <c r="B76" s="178">
        <v>78.243684999999999</v>
      </c>
      <c r="G76" s="177" t="s">
        <v>6</v>
      </c>
      <c r="H76" s="178">
        <v>28.216242000000001</v>
      </c>
    </row>
    <row r="77" spans="1:8">
      <c r="A77" s="177" t="s">
        <v>7</v>
      </c>
      <c r="B77" s="178">
        <v>26.080590000000001</v>
      </c>
      <c r="G77" s="177" t="s">
        <v>7</v>
      </c>
      <c r="H77" s="178">
        <v>1.316433</v>
      </c>
    </row>
    <row r="78" spans="1:8">
      <c r="A78" s="177" t="s">
        <v>8</v>
      </c>
      <c r="B78" s="178">
        <v>12.71725</v>
      </c>
      <c r="G78" s="177" t="s">
        <v>8</v>
      </c>
      <c r="H78" s="178">
        <v>13.719701000000001</v>
      </c>
    </row>
    <row r="79" spans="1:8">
      <c r="A79" s="177" t="s">
        <v>9</v>
      </c>
      <c r="B79" s="178">
        <v>65.430869999999999</v>
      </c>
      <c r="G79" s="177" t="s">
        <v>9</v>
      </c>
      <c r="H79" s="178">
        <v>56.536898000000001</v>
      </c>
    </row>
    <row r="80" spans="1:8">
      <c r="A80" s="177" t="s">
        <v>69</v>
      </c>
      <c r="B80" s="178">
        <v>2.2164704999999998</v>
      </c>
      <c r="G80" s="177" t="s">
        <v>69</v>
      </c>
      <c r="H80" s="178">
        <v>1.747736</v>
      </c>
    </row>
    <row r="81" spans="1:11">
      <c r="A81" s="177" t="s">
        <v>70</v>
      </c>
      <c r="B81" s="178">
        <v>6.4768974999999998</v>
      </c>
      <c r="G81" s="177" t="s">
        <v>70</v>
      </c>
      <c r="H81" s="178">
        <v>5.0778590000000001</v>
      </c>
    </row>
    <row r="82" spans="1:11">
      <c r="A82" s="180" t="s">
        <v>10</v>
      </c>
      <c r="B82" s="181">
        <v>732.82375567400004</v>
      </c>
      <c r="G82" s="180" t="s">
        <v>10</v>
      </c>
      <c r="H82" s="181">
        <v>766.94460320799999</v>
      </c>
    </row>
    <row r="83" spans="1:11">
      <c r="A83" s="177" t="s">
        <v>122</v>
      </c>
      <c r="B83" s="178">
        <v>-22.292622000000001</v>
      </c>
      <c r="G83" s="177" t="s">
        <v>122</v>
      </c>
      <c r="H83" s="178">
        <v>-65.728476000000001</v>
      </c>
    </row>
    <row r="84" spans="1:11">
      <c r="A84" s="177" t="s">
        <v>97</v>
      </c>
      <c r="B84" s="178">
        <v>-1.229514</v>
      </c>
      <c r="G84" s="177" t="s">
        <v>97</v>
      </c>
      <c r="H84" s="178">
        <v>-3.9743140000000001</v>
      </c>
    </row>
    <row r="85" spans="1:11">
      <c r="A85" s="177" t="s">
        <v>123</v>
      </c>
      <c r="B85" s="178">
        <v>-24.847252000000001</v>
      </c>
      <c r="G85" s="177" t="s">
        <v>123</v>
      </c>
      <c r="H85" s="178">
        <v>-58.300165</v>
      </c>
    </row>
    <row r="86" spans="1:11">
      <c r="A86" s="180" t="s">
        <v>124</v>
      </c>
      <c r="B86" s="181">
        <v>684.45436767399997</v>
      </c>
      <c r="G86" s="180" t="s">
        <v>124</v>
      </c>
      <c r="H86" s="181">
        <v>638.94164820799995</v>
      </c>
    </row>
    <row r="91" spans="1:11">
      <c r="B91" s="188" t="str">
        <f>"Mes " &amp;B66</f>
        <v>Mes 17/08/2021</v>
      </c>
      <c r="H91" s="188" t="str">
        <f>"Histórico " &amp;H66</f>
        <v>Histórico 30/01/2021</v>
      </c>
    </row>
    <row r="92" spans="1:11">
      <c r="A92" s="149" t="str">
        <f>"Estructura de generacion mensual de energía eléctrica peninsular " &amp; B66</f>
        <v>Estructura de generacion mensual de energía eléctrica peninsular 17/08/2021</v>
      </c>
      <c r="B92" s="164"/>
      <c r="C92" s="164"/>
      <c r="D92" s="164"/>
      <c r="E92" s="187" t="str">
        <f>CONCATENATE("Mes",CHAR(13),MID(A92,66,10))</f>
        <v>Mes_x000D_17/08/2021</v>
      </c>
      <c r="G92" s="149" t="str">
        <f>"Estructura de generacion mensual de energía eléctrica peninsular " &amp; H66</f>
        <v>Estructura de generacion mensual de energía eléctrica peninsular 30/01/2021</v>
      </c>
      <c r="H92" s="164"/>
      <c r="I92" s="164"/>
      <c r="J92" s="164"/>
      <c r="K92" s="164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6">
        <f>IF(B$72&lt;0,VLOOKUP(A94,A$69:B$84,2,FALSE)/SUM(B$69:B$71,B$73:B$81)*100,VLOOKUP(A94,A$69:B$84,2,FALSE)/VLOOKUP("Generación",A$69:B$84,2,FALSE)*100)</f>
        <v>0.39096298937046725</v>
      </c>
      <c r="C94" s="107"/>
      <c r="G94" s="108" t="s">
        <v>81</v>
      </c>
      <c r="H94" s="186">
        <f>VLOOKUP(G94,G$69:H$84,2,FALSE)/VLOOKUP("Generación",G$69:H$84,2,FALSE)*100</f>
        <v>0.69287353503403215</v>
      </c>
      <c r="I94" s="107"/>
    </row>
    <row r="95" spans="1:11">
      <c r="A95" s="108" t="s">
        <v>3</v>
      </c>
      <c r="B95" s="186">
        <f>IF(B$72&lt;0,VLOOKUP(A95,A$69:B$84,2,FALSE)/SUM(B$69:B$71,B$73:B$81)*100,VLOOKUP(A95,A$69:B$84,2,FALSE)/VLOOKUP("Generación",A$69:B$84,2,FALSE)*100)</f>
        <v>22.680259436613795</v>
      </c>
      <c r="C95" s="107"/>
      <c r="G95" s="108" t="s">
        <v>3</v>
      </c>
      <c r="H95" s="186">
        <f>VLOOKUP(G95,G$69:H$84,2,FALSE)/VLOOKUP("Generación",G$69:H$84,2,FALSE)*100</f>
        <v>17.396233501341406</v>
      </c>
      <c r="I95" s="107"/>
    </row>
    <row r="96" spans="1:11">
      <c r="A96" s="108" t="s">
        <v>4</v>
      </c>
      <c r="B96" s="186">
        <f>IF(B$72&lt;0,,VLOOKUP(A96,A$69:B$84,2,FALSE)/VLOOKUP("Generación",A$69:B$84,2,FALSE)*100)</f>
        <v>1.2941919426830188</v>
      </c>
      <c r="C96" s="107"/>
      <c r="D96" s="165"/>
      <c r="E96" s="165"/>
      <c r="G96" s="108" t="s">
        <v>4</v>
      </c>
      <c r="H96" s="186">
        <f>IF(H$72&lt;0,,VLOOKUP(G96,G$69:H$84,2,FALSE)/VLOOKUP("Generación",G$69:H$84,2,FALSE)*100)</f>
        <v>0</v>
      </c>
      <c r="I96" s="107"/>
      <c r="J96" s="165"/>
      <c r="K96" s="165"/>
    </row>
    <row r="97" spans="1:11">
      <c r="A97" s="108" t="s">
        <v>11</v>
      </c>
      <c r="B97" s="186">
        <f t="shared" ref="B97:B105" si="5">IF(B$72&lt;0,VLOOKUP(A97,A$69:B$84,2,FALSE)/SUM(B$69:B$71,B$73:B$81)*100,VLOOKUP(A97,A$69:B$84,2,FALSE)/VLOOKUP("Generación",A$69:B$84,2,FALSE)*100)</f>
        <v>10.859041806963537</v>
      </c>
      <c r="C97" s="107"/>
      <c r="D97" s="165"/>
      <c r="E97" s="165"/>
      <c r="G97" s="108" t="s">
        <v>11</v>
      </c>
      <c r="H97" s="186">
        <f t="shared" ref="H97:H105" si="6">VLOOKUP(G97,G$69:H$84,2,FALSE)/VLOOKUP("Generación",G$69:H$84,2,FALSE)*100</f>
        <v>2.8866594676324682</v>
      </c>
      <c r="I97" s="107"/>
      <c r="J97" s="165"/>
      <c r="K97" s="165"/>
    </row>
    <row r="98" spans="1:11">
      <c r="A98" s="108" t="s">
        <v>9</v>
      </c>
      <c r="B98" s="186">
        <f t="shared" si="5"/>
        <v>8.9285956539197144</v>
      </c>
      <c r="C98" s="107"/>
      <c r="D98" s="107"/>
      <c r="E98" s="107"/>
      <c r="G98" s="108" t="s">
        <v>9</v>
      </c>
      <c r="H98" s="186">
        <f t="shared" si="6"/>
        <v>7.3717055656322099</v>
      </c>
      <c r="I98" s="107"/>
      <c r="J98" s="107"/>
      <c r="K98" s="107"/>
    </row>
    <row r="99" spans="1:11">
      <c r="A99" s="108" t="s">
        <v>70</v>
      </c>
      <c r="B99" s="186">
        <f t="shared" si="5"/>
        <v>0.88382744825773329</v>
      </c>
      <c r="C99" s="107"/>
      <c r="D99" s="107"/>
      <c r="E99" s="107"/>
      <c r="G99" s="108" t="s">
        <v>70</v>
      </c>
      <c r="H99" s="186">
        <f t="shared" si="6"/>
        <v>0.66208941020774792</v>
      </c>
      <c r="I99" s="107"/>
      <c r="J99" s="107"/>
      <c r="K99" s="107"/>
    </row>
    <row r="100" spans="1:11">
      <c r="A100" s="108" t="s">
        <v>69</v>
      </c>
      <c r="B100" s="186">
        <f t="shared" si="5"/>
        <v>0.30245614758509637</v>
      </c>
      <c r="C100" s="107"/>
      <c r="D100" s="107"/>
      <c r="E100" s="107"/>
      <c r="G100" s="108" t="s">
        <v>69</v>
      </c>
      <c r="H100" s="186">
        <f t="shared" si="6"/>
        <v>0.22788295173986686</v>
      </c>
      <c r="I100" s="107"/>
      <c r="J100" s="107"/>
      <c r="K100" s="107"/>
    </row>
    <row r="101" spans="1:11">
      <c r="A101" s="108" t="s">
        <v>5</v>
      </c>
      <c r="B101" s="186">
        <f t="shared" si="5"/>
        <v>33.604283170856966</v>
      </c>
      <c r="C101" s="107"/>
      <c r="D101" s="107"/>
      <c r="E101" s="107"/>
      <c r="G101" s="108" t="s">
        <v>5</v>
      </c>
      <c r="H101" s="186">
        <f t="shared" si="6"/>
        <v>49.409597566100615</v>
      </c>
      <c r="I101" s="107"/>
      <c r="J101" s="107"/>
      <c r="K101" s="107"/>
    </row>
    <row r="102" spans="1:11">
      <c r="A102" s="108" t="s">
        <v>2</v>
      </c>
      <c r="B102" s="186">
        <f t="shared" si="5"/>
        <v>5.0850753299784328</v>
      </c>
      <c r="C102" s="107"/>
      <c r="D102" s="107"/>
      <c r="E102" s="107"/>
      <c r="G102" s="108" t="s">
        <v>2</v>
      </c>
      <c r="H102" s="186">
        <f t="shared" si="6"/>
        <v>15.77299788250706</v>
      </c>
      <c r="I102" s="107"/>
      <c r="J102" s="107"/>
      <c r="K102" s="107"/>
    </row>
    <row r="103" spans="1:11">
      <c r="A103" s="108" t="s">
        <v>6</v>
      </c>
      <c r="B103" s="186">
        <f t="shared" si="5"/>
        <v>10.677012636965751</v>
      </c>
      <c r="C103" s="107"/>
      <c r="D103" s="107"/>
      <c r="E103" s="107"/>
      <c r="G103" s="108" t="s">
        <v>6</v>
      </c>
      <c r="H103" s="186">
        <f t="shared" si="6"/>
        <v>3.6790456418855046</v>
      </c>
      <c r="I103" s="107"/>
      <c r="J103" s="107"/>
      <c r="K103" s="107"/>
    </row>
    <row r="104" spans="1:11">
      <c r="A104" s="108" t="s">
        <v>7</v>
      </c>
      <c r="B104" s="186">
        <f t="shared" si="5"/>
        <v>3.5589171063392855</v>
      </c>
      <c r="C104" s="107"/>
      <c r="D104" s="107"/>
      <c r="E104" s="107"/>
      <c r="G104" s="108" t="s">
        <v>7</v>
      </c>
      <c r="H104" s="186">
        <f t="shared" si="6"/>
        <v>0.17164642589485377</v>
      </c>
      <c r="I104" s="107"/>
      <c r="J104" s="107"/>
      <c r="K104" s="107"/>
    </row>
    <row r="105" spans="1:11">
      <c r="A105" s="108" t="s">
        <v>8</v>
      </c>
      <c r="B105" s="186">
        <f t="shared" si="5"/>
        <v>1.7353763304661929</v>
      </c>
      <c r="C105" s="164"/>
      <c r="D105" s="164"/>
      <c r="E105" s="164"/>
      <c r="G105" s="108" t="s">
        <v>8</v>
      </c>
      <c r="H105" s="186">
        <f t="shared" si="6"/>
        <v>1.7888777028500891</v>
      </c>
      <c r="I105" s="165"/>
      <c r="J105" s="165"/>
      <c r="K105" s="165"/>
    </row>
    <row r="106" spans="1:11">
      <c r="A106" s="110" t="s">
        <v>15</v>
      </c>
      <c r="B106" s="111">
        <f>SUM(B94:B105)</f>
        <v>100</v>
      </c>
      <c r="C106" s="164"/>
      <c r="D106" s="164"/>
      <c r="E106" s="164"/>
      <c r="G106" s="110" t="s">
        <v>15</v>
      </c>
      <c r="H106" s="111">
        <f>SUM(H94:H105)</f>
        <v>100.05960965082585</v>
      </c>
      <c r="I106" s="165"/>
      <c r="J106" s="165"/>
      <c r="K106" s="165"/>
    </row>
    <row r="108" spans="1:11">
      <c r="A108" s="169"/>
      <c r="B108" s="170" t="s">
        <v>14</v>
      </c>
      <c r="G108" s="169"/>
      <c r="H108" s="170" t="s">
        <v>14</v>
      </c>
    </row>
    <row r="109" spans="1:11">
      <c r="A109" s="167" t="s">
        <v>16</v>
      </c>
      <c r="B109" s="168">
        <f>SUM(B94:B99)</f>
        <v>45.036879277808268</v>
      </c>
      <c r="G109" s="167" t="s">
        <v>16</v>
      </c>
      <c r="H109" s="168">
        <f>SUM(H94:H99)</f>
        <v>29.009561479847868</v>
      </c>
    </row>
    <row r="110" spans="1:11">
      <c r="A110" s="171" t="s">
        <v>17</v>
      </c>
      <c r="B110" s="172">
        <f>SUM(B100:B105)</f>
        <v>54.963120722191725</v>
      </c>
      <c r="G110" s="171" t="s">
        <v>17</v>
      </c>
      <c r="H110" s="172">
        <f>SUM(H100:H105)</f>
        <v>71.050048170977988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4" t="s">
        <v>105</v>
      </c>
      <c r="B115" s="343" t="s">
        <v>98</v>
      </c>
      <c r="C115" s="344"/>
      <c r="D115" s="344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4"/>
      <c r="V115" s="344"/>
      <c r="W115" s="344"/>
      <c r="X115" s="344"/>
      <c r="Y115" s="344"/>
      <c r="Z115" s="344"/>
    </row>
    <row r="116" spans="1:26">
      <c r="A116" s="174" t="s">
        <v>106</v>
      </c>
      <c r="B116" s="337" t="s">
        <v>109</v>
      </c>
      <c r="C116" s="338"/>
      <c r="D116" s="338"/>
      <c r="E116" s="338"/>
      <c r="F116" s="338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38"/>
      <c r="X116" s="338"/>
      <c r="Y116" s="338"/>
      <c r="Z116" s="338"/>
    </row>
    <row r="117" spans="1:26">
      <c r="A117" s="183" t="s">
        <v>30</v>
      </c>
      <c r="B117" s="317" t="s">
        <v>177</v>
      </c>
      <c r="C117" s="317" t="s">
        <v>179</v>
      </c>
      <c r="D117" s="317" t="s">
        <v>180</v>
      </c>
      <c r="E117" s="317" t="s">
        <v>181</v>
      </c>
      <c r="F117" s="317" t="s">
        <v>183</v>
      </c>
      <c r="G117" s="317" t="s">
        <v>186</v>
      </c>
      <c r="H117" s="317" t="s">
        <v>187</v>
      </c>
      <c r="I117" s="317" t="s">
        <v>189</v>
      </c>
      <c r="J117" s="317" t="s">
        <v>193</v>
      </c>
      <c r="K117" s="317" t="s">
        <v>194</v>
      </c>
      <c r="L117" s="317" t="s">
        <v>195</v>
      </c>
      <c r="M117" s="317" t="s">
        <v>196</v>
      </c>
      <c r="N117" s="317" t="s">
        <v>197</v>
      </c>
      <c r="O117" s="317" t="s">
        <v>198</v>
      </c>
      <c r="P117" s="317" t="s">
        <v>199</v>
      </c>
      <c r="Q117" s="317" t="s">
        <v>200</v>
      </c>
      <c r="R117" s="317" t="s">
        <v>201</v>
      </c>
      <c r="S117" s="317" t="s">
        <v>203</v>
      </c>
      <c r="T117" s="317" t="s">
        <v>205</v>
      </c>
      <c r="U117" s="317" t="s">
        <v>206</v>
      </c>
      <c r="V117" s="317" t="s">
        <v>208</v>
      </c>
      <c r="W117" s="317" t="s">
        <v>222</v>
      </c>
      <c r="X117" s="317" t="s">
        <v>224</v>
      </c>
      <c r="Y117" s="317" t="s">
        <v>231</v>
      </c>
      <c r="Z117" s="317" t="s">
        <v>233</v>
      </c>
    </row>
    <row r="118" spans="1:26">
      <c r="A118" s="174" t="s">
        <v>107</v>
      </c>
      <c r="B118" s="189"/>
      <c r="C118" s="189"/>
      <c r="D118" s="189"/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</row>
    <row r="119" spans="1:26">
      <c r="A119" s="177" t="s">
        <v>2</v>
      </c>
      <c r="B119" s="178">
        <v>1254.7128498279999</v>
      </c>
      <c r="C119" s="178">
        <v>1224.9819326679999</v>
      </c>
      <c r="D119" s="178">
        <v>1122.02994646</v>
      </c>
      <c r="E119" s="178">
        <v>2663.0366552999999</v>
      </c>
      <c r="F119" s="178">
        <v>4638.9097267759998</v>
      </c>
      <c r="G119" s="178">
        <v>3729.0395239300001</v>
      </c>
      <c r="H119" s="178">
        <v>2838.3377134379998</v>
      </c>
      <c r="I119" s="178">
        <v>3113.7620234460001</v>
      </c>
      <c r="J119" s="178">
        <v>2862.0862255259999</v>
      </c>
      <c r="K119" s="178">
        <v>2859.971565626</v>
      </c>
      <c r="L119" s="178">
        <v>2262.29681415</v>
      </c>
      <c r="M119" s="178">
        <v>1836.876773208</v>
      </c>
      <c r="N119" s="178">
        <v>1886.0039274440001</v>
      </c>
      <c r="O119" s="178">
        <v>1678.3274013719999</v>
      </c>
      <c r="P119" s="178">
        <v>1892.9846669420001</v>
      </c>
      <c r="Q119" s="178">
        <v>2459.7328362960002</v>
      </c>
      <c r="R119" s="178">
        <v>3191.3531995479998</v>
      </c>
      <c r="S119" s="178">
        <v>4055.5224591820001</v>
      </c>
      <c r="T119" s="178">
        <v>4515.6890129479998</v>
      </c>
      <c r="U119" s="178">
        <v>3713.0280040799998</v>
      </c>
      <c r="V119" s="178">
        <v>2742.9927041320002</v>
      </c>
      <c r="W119" s="178">
        <v>2156.5677169599999</v>
      </c>
      <c r="X119" s="178">
        <v>2178.1559084280002</v>
      </c>
      <c r="Y119" s="178">
        <v>2203.5825142980002</v>
      </c>
      <c r="Z119" s="178">
        <v>1879.8039341619999</v>
      </c>
    </row>
    <row r="120" spans="1:26">
      <c r="A120" s="177" t="s">
        <v>81</v>
      </c>
      <c r="B120" s="178">
        <v>70.640000060000006</v>
      </c>
      <c r="C120" s="178">
        <v>104.26472390000001</v>
      </c>
      <c r="D120" s="178">
        <v>116.03074081</v>
      </c>
      <c r="E120" s="178">
        <v>172.10635217000001</v>
      </c>
      <c r="F120" s="178">
        <v>321.94269827400001</v>
      </c>
      <c r="G120" s="178">
        <v>233.77888705199999</v>
      </c>
      <c r="H120" s="178">
        <v>229.83714941400001</v>
      </c>
      <c r="I120" s="178">
        <v>303.52379088800001</v>
      </c>
      <c r="J120" s="178">
        <v>314.35098405000002</v>
      </c>
      <c r="K120" s="178">
        <v>243.63992918599999</v>
      </c>
      <c r="L120" s="178">
        <v>152.39581989600001</v>
      </c>
      <c r="M120" s="178">
        <v>167.16093403400001</v>
      </c>
      <c r="N120" s="178">
        <v>158.85512120000001</v>
      </c>
      <c r="O120" s="178">
        <v>187.668031348</v>
      </c>
      <c r="P120" s="178">
        <v>229.96202238999999</v>
      </c>
      <c r="Q120" s="178">
        <v>205.997806862</v>
      </c>
      <c r="R120" s="178">
        <v>320.93024189800002</v>
      </c>
      <c r="S120" s="178">
        <v>320.51078940799999</v>
      </c>
      <c r="T120" s="178">
        <v>401.29321896599998</v>
      </c>
      <c r="U120" s="178">
        <v>330.80630354200002</v>
      </c>
      <c r="V120" s="178">
        <v>153.67971897199999</v>
      </c>
      <c r="W120" s="178">
        <v>238.70894406400001</v>
      </c>
      <c r="X120" s="178">
        <v>105.70565758799999</v>
      </c>
      <c r="Y120" s="178">
        <v>115.790175512</v>
      </c>
      <c r="Z120" s="178">
        <v>159.086738274</v>
      </c>
    </row>
    <row r="121" spans="1:26">
      <c r="A121" s="177" t="s">
        <v>3</v>
      </c>
      <c r="B121" s="178">
        <v>5068.1443870000003</v>
      </c>
      <c r="C121" s="178">
        <v>4995.5062809999999</v>
      </c>
      <c r="D121" s="178">
        <v>4530.6687620000002</v>
      </c>
      <c r="E121" s="178">
        <v>3427.5262950000001</v>
      </c>
      <c r="F121" s="178">
        <v>4349.8902129999997</v>
      </c>
      <c r="G121" s="178">
        <v>5289.1460239999997</v>
      </c>
      <c r="H121" s="178">
        <v>4885.6830239999999</v>
      </c>
      <c r="I121" s="178">
        <v>5174.9451150000004</v>
      </c>
      <c r="J121" s="178">
        <v>4085.604789</v>
      </c>
      <c r="K121" s="178">
        <v>3078.9577610000001</v>
      </c>
      <c r="L121" s="178">
        <v>3621.3812859999998</v>
      </c>
      <c r="M121" s="178">
        <v>5159.0193049999998</v>
      </c>
      <c r="N121" s="178">
        <v>5151.9174220000004</v>
      </c>
      <c r="O121" s="178">
        <v>4871.2094020000004</v>
      </c>
      <c r="P121" s="178">
        <v>4528.3442359999999</v>
      </c>
      <c r="Q121" s="178">
        <v>4639.755709</v>
      </c>
      <c r="R121" s="178">
        <v>5270.8108380000003</v>
      </c>
      <c r="S121" s="178">
        <v>5199.7405159999998</v>
      </c>
      <c r="T121" s="178">
        <v>4358.5151070000002</v>
      </c>
      <c r="U121" s="178">
        <v>4833.1364599999997</v>
      </c>
      <c r="V121" s="178">
        <v>4197.3329299999996</v>
      </c>
      <c r="W121" s="178">
        <v>4373.2508939999998</v>
      </c>
      <c r="X121" s="178">
        <v>3684.3838430000001</v>
      </c>
      <c r="Y121" s="178">
        <v>5119.3959809999997</v>
      </c>
      <c r="Z121" s="178">
        <v>5150.2640140000003</v>
      </c>
    </row>
    <row r="122" spans="1:26">
      <c r="A122" s="177" t="s">
        <v>4</v>
      </c>
      <c r="B122" s="178">
        <v>340.84407900000002</v>
      </c>
      <c r="C122" s="178">
        <v>443.178541</v>
      </c>
      <c r="D122" s="178">
        <v>675.29856600000005</v>
      </c>
      <c r="E122" s="178">
        <v>548.13411599999995</v>
      </c>
      <c r="F122" s="178">
        <v>374.11610899999999</v>
      </c>
      <c r="G122" s="178">
        <v>869.06435199999999</v>
      </c>
      <c r="H122" s="178">
        <v>822.65919599999995</v>
      </c>
      <c r="I122" s="178">
        <v>476.48416300000002</v>
      </c>
      <c r="J122" s="178">
        <v>306.82421299999999</v>
      </c>
      <c r="K122" s="178">
        <v>244.56557599999999</v>
      </c>
      <c r="L122" s="178">
        <v>362.74284999999998</v>
      </c>
      <c r="M122" s="178">
        <v>303.34445399999998</v>
      </c>
      <c r="N122" s="178">
        <v>338.34884299999999</v>
      </c>
      <c r="O122" s="178">
        <v>282.55493999999999</v>
      </c>
      <c r="P122" s="178">
        <v>235.11278300000001</v>
      </c>
      <c r="Q122" s="178">
        <v>336.18096000000003</v>
      </c>
      <c r="R122" s="178">
        <v>222.17338899999999</v>
      </c>
      <c r="S122" s="178">
        <v>558.54747499999996</v>
      </c>
      <c r="T122" s="178">
        <v>177.073452</v>
      </c>
      <c r="U122" s="178">
        <v>242.90618799999999</v>
      </c>
      <c r="V122" s="178">
        <v>270.940157</v>
      </c>
      <c r="W122" s="178">
        <v>333.46570800000001</v>
      </c>
      <c r="X122" s="178">
        <v>431.99096700000001</v>
      </c>
      <c r="Y122" s="178">
        <v>302.41718100000003</v>
      </c>
      <c r="Z122" s="178">
        <v>320.34443199999998</v>
      </c>
    </row>
    <row r="123" spans="1:26">
      <c r="A123" s="177" t="s">
        <v>95</v>
      </c>
      <c r="B123" s="178">
        <v>-9.9999999999999995E-7</v>
      </c>
      <c r="C123" s="178">
        <v>9.9999999999999995E-7</v>
      </c>
      <c r="D123" s="178">
        <v>-9.9999999999999995E-7</v>
      </c>
      <c r="E123" s="178">
        <v>0</v>
      </c>
      <c r="F123" s="178">
        <v>0</v>
      </c>
      <c r="G123" s="178">
        <v>0</v>
      </c>
      <c r="H123" s="178">
        <v>0</v>
      </c>
      <c r="I123" s="178">
        <v>9.9999999999999995E-7</v>
      </c>
      <c r="J123" s="178">
        <v>0</v>
      </c>
      <c r="K123" s="178">
        <v>-9.9999999999999995E-7</v>
      </c>
      <c r="L123" s="178">
        <v>0</v>
      </c>
      <c r="M123" s="178">
        <v>0</v>
      </c>
      <c r="N123" s="178">
        <v>0</v>
      </c>
      <c r="O123" s="178">
        <v>0</v>
      </c>
      <c r="P123" s="178">
        <v>0</v>
      </c>
      <c r="Q123" s="178">
        <v>0</v>
      </c>
      <c r="R123" s="178">
        <v>0</v>
      </c>
      <c r="S123" s="178">
        <v>0</v>
      </c>
      <c r="T123" s="178">
        <v>0</v>
      </c>
      <c r="U123" s="178">
        <v>0</v>
      </c>
      <c r="V123" s="178">
        <v>0</v>
      </c>
      <c r="W123" s="178">
        <v>0</v>
      </c>
      <c r="X123" s="178">
        <v>0</v>
      </c>
      <c r="Y123" s="178">
        <v>-9.9999999999999995E-7</v>
      </c>
      <c r="Z123" s="178">
        <v>0</v>
      </c>
    </row>
    <row r="124" spans="1:26">
      <c r="A124" s="177" t="s">
        <v>11</v>
      </c>
      <c r="B124" s="178">
        <v>7016.5746319999998</v>
      </c>
      <c r="C124" s="178">
        <v>5427.2638960000004</v>
      </c>
      <c r="D124" s="178">
        <v>5624.8074539999998</v>
      </c>
      <c r="E124" s="178">
        <v>3860.487071</v>
      </c>
      <c r="F124" s="178">
        <v>2755.5232569999998</v>
      </c>
      <c r="G124" s="178">
        <v>3272.2781909999999</v>
      </c>
      <c r="H124" s="178">
        <v>2388.361879</v>
      </c>
      <c r="I124" s="178">
        <v>1386.2401620000001</v>
      </c>
      <c r="J124" s="178">
        <v>1730.7334739999999</v>
      </c>
      <c r="K124" s="178">
        <v>2017.855785</v>
      </c>
      <c r="L124" s="178">
        <v>3556.3490299999999</v>
      </c>
      <c r="M124" s="178">
        <v>5829.9045759999999</v>
      </c>
      <c r="N124" s="178">
        <v>5051.1759519999996</v>
      </c>
      <c r="O124" s="178">
        <v>4546.4757390000004</v>
      </c>
      <c r="P124" s="178">
        <v>2791.0383710000001</v>
      </c>
      <c r="Q124" s="178">
        <v>3221.3084140000001</v>
      </c>
      <c r="R124" s="178">
        <v>2564.8316060000002</v>
      </c>
      <c r="S124" s="178">
        <v>2188.3044850000001</v>
      </c>
      <c r="T124" s="178">
        <v>1086.83896</v>
      </c>
      <c r="U124" s="178">
        <v>1649.419373</v>
      </c>
      <c r="V124" s="178">
        <v>2865.8610100000001</v>
      </c>
      <c r="W124" s="178">
        <v>2004.7769000000001</v>
      </c>
      <c r="X124" s="178">
        <v>3136.247484</v>
      </c>
      <c r="Y124" s="178">
        <v>3024.8909399999998</v>
      </c>
      <c r="Z124" s="178">
        <v>3325.1988150000002</v>
      </c>
    </row>
    <row r="125" spans="1:26">
      <c r="A125" s="177" t="s">
        <v>5</v>
      </c>
      <c r="B125" s="178">
        <v>2731.9189540000002</v>
      </c>
      <c r="C125" s="178">
        <v>3794.4408159999998</v>
      </c>
      <c r="D125" s="178">
        <v>3719.9329819999998</v>
      </c>
      <c r="E125" s="178">
        <v>7333.0039489999999</v>
      </c>
      <c r="F125" s="178">
        <v>5408.226525</v>
      </c>
      <c r="G125" s="178">
        <v>4566.3040510000001</v>
      </c>
      <c r="H125" s="178">
        <v>4177.8132310000001</v>
      </c>
      <c r="I125" s="178">
        <v>5503.5027019999998</v>
      </c>
      <c r="J125" s="178">
        <v>3639.796961</v>
      </c>
      <c r="K125" s="178">
        <v>3894.5800979999999</v>
      </c>
      <c r="L125" s="178">
        <v>3240.1634920000001</v>
      </c>
      <c r="M125" s="178">
        <v>4099.9316170000002</v>
      </c>
      <c r="N125" s="178">
        <v>3508.4515270000002</v>
      </c>
      <c r="O125" s="178">
        <v>3962.2430210000002</v>
      </c>
      <c r="P125" s="178">
        <v>5669.7146759999996</v>
      </c>
      <c r="Q125" s="178">
        <v>4154.0834599999998</v>
      </c>
      <c r="R125" s="178">
        <v>7378.7336489999998</v>
      </c>
      <c r="S125" s="178">
        <v>7019.2746690000004</v>
      </c>
      <c r="T125" s="178">
        <v>6235.5684270000002</v>
      </c>
      <c r="U125" s="178">
        <v>5521.443166</v>
      </c>
      <c r="V125" s="178">
        <v>4041.7178789999998</v>
      </c>
      <c r="W125" s="178">
        <v>4620.819896</v>
      </c>
      <c r="X125" s="178">
        <v>3532.9370509999999</v>
      </c>
      <c r="Y125" s="178">
        <v>4120.4592439999997</v>
      </c>
      <c r="Z125" s="178">
        <v>3597.1086890000001</v>
      </c>
    </row>
    <row r="126" spans="1:26">
      <c r="A126" s="177" t="s">
        <v>6</v>
      </c>
      <c r="B126" s="178">
        <v>975.19046400000002</v>
      </c>
      <c r="C126" s="178">
        <v>827.93207900000004</v>
      </c>
      <c r="D126" s="178">
        <v>764.70668699999999</v>
      </c>
      <c r="E126" s="178">
        <v>501.06963000000002</v>
      </c>
      <c r="F126" s="178">
        <v>494.84732300000002</v>
      </c>
      <c r="G126" s="178">
        <v>600.905395</v>
      </c>
      <c r="H126" s="178">
        <v>944.41641100000004</v>
      </c>
      <c r="I126" s="178">
        <v>1036.7663419999999</v>
      </c>
      <c r="J126" s="178">
        <v>1115.1015640000001</v>
      </c>
      <c r="K126" s="178">
        <v>1597.8024949999999</v>
      </c>
      <c r="L126" s="178">
        <v>1757.982127</v>
      </c>
      <c r="M126" s="178">
        <v>1862.75749</v>
      </c>
      <c r="N126" s="178">
        <v>1778.4640589999999</v>
      </c>
      <c r="O126" s="178">
        <v>1426.722043</v>
      </c>
      <c r="P126" s="178">
        <v>1283.3937249999999</v>
      </c>
      <c r="Q126" s="178">
        <v>788.93134899999995</v>
      </c>
      <c r="R126" s="178">
        <v>719.15622399999995</v>
      </c>
      <c r="S126" s="178">
        <v>821.66945299999998</v>
      </c>
      <c r="T126" s="178">
        <v>944.59647700000005</v>
      </c>
      <c r="U126" s="178">
        <v>1648.188848</v>
      </c>
      <c r="V126" s="178">
        <v>1625.0275710000001</v>
      </c>
      <c r="W126" s="178">
        <v>2335.6640040000002</v>
      </c>
      <c r="X126" s="178">
        <v>2265.4350840000002</v>
      </c>
      <c r="Y126" s="178">
        <v>2465.699314</v>
      </c>
      <c r="Z126" s="178">
        <v>2330.2383329999998</v>
      </c>
    </row>
    <row r="127" spans="1:26">
      <c r="A127" s="177" t="s">
        <v>7</v>
      </c>
      <c r="B127" s="178">
        <v>745.49877100000003</v>
      </c>
      <c r="C127" s="178">
        <v>454.73186500000003</v>
      </c>
      <c r="D127" s="178">
        <v>303.08525700000001</v>
      </c>
      <c r="E127" s="178">
        <v>69.970612000000003</v>
      </c>
      <c r="F127" s="178">
        <v>68.978174999999993</v>
      </c>
      <c r="G127" s="178">
        <v>85.967850999999996</v>
      </c>
      <c r="H127" s="178">
        <v>227.955996</v>
      </c>
      <c r="I127" s="178">
        <v>235.96742</v>
      </c>
      <c r="J127" s="178">
        <v>206.86543699999999</v>
      </c>
      <c r="K127" s="178">
        <v>552.48475099999996</v>
      </c>
      <c r="L127" s="178">
        <v>711.64684799999998</v>
      </c>
      <c r="M127" s="178">
        <v>796.17204200000003</v>
      </c>
      <c r="N127" s="178">
        <v>744.54166099999998</v>
      </c>
      <c r="O127" s="178">
        <v>452.15923299999997</v>
      </c>
      <c r="P127" s="178">
        <v>340.27470899999997</v>
      </c>
      <c r="Q127" s="178">
        <v>108.048269</v>
      </c>
      <c r="R127" s="178">
        <v>76.225913000000006</v>
      </c>
      <c r="S127" s="178">
        <v>102.634029</v>
      </c>
      <c r="T127" s="178">
        <v>138.18132700000001</v>
      </c>
      <c r="U127" s="178">
        <v>355.01542699999999</v>
      </c>
      <c r="V127" s="178">
        <v>266.78751899999997</v>
      </c>
      <c r="W127" s="178">
        <v>645.65319899999997</v>
      </c>
      <c r="X127" s="178">
        <v>655.36365000000001</v>
      </c>
      <c r="Y127" s="178">
        <v>828.47839999999997</v>
      </c>
      <c r="Z127" s="178">
        <v>661.321641</v>
      </c>
    </row>
    <row r="128" spans="1:26">
      <c r="A128" s="177" t="s">
        <v>8</v>
      </c>
      <c r="B128" s="178">
        <v>320.61878899999999</v>
      </c>
      <c r="C128" s="178">
        <v>301.518664</v>
      </c>
      <c r="D128" s="178">
        <v>310.9246</v>
      </c>
      <c r="E128" s="178">
        <v>308.17036200000001</v>
      </c>
      <c r="F128" s="178">
        <v>299.96974799999998</v>
      </c>
      <c r="G128" s="178">
        <v>334.23399499999999</v>
      </c>
      <c r="H128" s="178">
        <v>346.68957799999998</v>
      </c>
      <c r="I128" s="178">
        <v>345.447835</v>
      </c>
      <c r="J128" s="178">
        <v>336.902581</v>
      </c>
      <c r="K128" s="178">
        <v>386.581592</v>
      </c>
      <c r="L128" s="178">
        <v>379.163185</v>
      </c>
      <c r="M128" s="178">
        <v>348.81331</v>
      </c>
      <c r="N128" s="178">
        <v>367.860117</v>
      </c>
      <c r="O128" s="178">
        <v>394.86022600000001</v>
      </c>
      <c r="P128" s="178">
        <v>414.07609600000001</v>
      </c>
      <c r="Q128" s="178">
        <v>393.05924800000003</v>
      </c>
      <c r="R128" s="178">
        <v>422.601923</v>
      </c>
      <c r="S128" s="178">
        <v>389.92807800000003</v>
      </c>
      <c r="T128" s="178">
        <v>364.09361200000001</v>
      </c>
      <c r="U128" s="178">
        <v>358.00908700000002</v>
      </c>
      <c r="V128" s="178">
        <v>391.39413100000002</v>
      </c>
      <c r="W128" s="178">
        <v>390.09032500000001</v>
      </c>
      <c r="X128" s="178">
        <v>357.15492699999999</v>
      </c>
      <c r="Y128" s="178">
        <v>351.58971200000002</v>
      </c>
      <c r="Z128" s="178">
        <v>409.60947299999998</v>
      </c>
    </row>
    <row r="129" spans="1:26">
      <c r="A129" s="177" t="s">
        <v>9</v>
      </c>
      <c r="B129" s="178">
        <v>2355.228345</v>
      </c>
      <c r="C129" s="178">
        <v>2354.323535</v>
      </c>
      <c r="D129" s="178">
        <v>2493.6785410000002</v>
      </c>
      <c r="E129" s="178">
        <v>2467.9510030000001</v>
      </c>
      <c r="F129" s="178">
        <v>2342.3448360000002</v>
      </c>
      <c r="G129" s="178">
        <v>2436.4933970000002</v>
      </c>
      <c r="H129" s="178">
        <v>2231.5593079999999</v>
      </c>
      <c r="I129" s="178">
        <v>2233.481276</v>
      </c>
      <c r="J129" s="178">
        <v>1926.0522579999999</v>
      </c>
      <c r="K129" s="178">
        <v>2084.4744719999999</v>
      </c>
      <c r="L129" s="178">
        <v>2186.730004</v>
      </c>
      <c r="M129" s="178">
        <v>2301.546304</v>
      </c>
      <c r="N129" s="178">
        <v>2191.606194</v>
      </c>
      <c r="O129" s="178">
        <v>2304.531516</v>
      </c>
      <c r="P129" s="178">
        <v>2351.3923199999999</v>
      </c>
      <c r="Q129" s="178">
        <v>2386.903992</v>
      </c>
      <c r="R129" s="178">
        <v>2339.665661</v>
      </c>
      <c r="S129" s="178">
        <v>2400.83545</v>
      </c>
      <c r="T129" s="178">
        <v>1835.7706760000001</v>
      </c>
      <c r="U129" s="178">
        <v>2247.9164740000001</v>
      </c>
      <c r="V129" s="178">
        <v>2187.7371330000001</v>
      </c>
      <c r="W129" s="178">
        <v>2200.0301570000001</v>
      </c>
      <c r="X129" s="178">
        <v>2158.3921679999999</v>
      </c>
      <c r="Y129" s="178">
        <v>2239.4408100000001</v>
      </c>
      <c r="Z129" s="178">
        <v>2097.6266230000001</v>
      </c>
    </row>
    <row r="130" spans="1:26">
      <c r="A130" s="177" t="s">
        <v>69</v>
      </c>
      <c r="B130" s="178">
        <v>66.150598000000002</v>
      </c>
      <c r="C130" s="178">
        <v>63.723962499999999</v>
      </c>
      <c r="D130" s="178">
        <v>61.976173000000003</v>
      </c>
      <c r="E130" s="178">
        <v>60.149876499999998</v>
      </c>
      <c r="F130" s="178">
        <v>65.337529000000004</v>
      </c>
      <c r="G130" s="178">
        <v>55.184336000000002</v>
      </c>
      <c r="H130" s="178">
        <v>55.978365500000002</v>
      </c>
      <c r="I130" s="178">
        <v>51.389567499999998</v>
      </c>
      <c r="J130" s="178">
        <v>29.749654499999998</v>
      </c>
      <c r="K130" s="178">
        <v>30.791229000000001</v>
      </c>
      <c r="L130" s="178">
        <v>27.458276000000001</v>
      </c>
      <c r="M130" s="178">
        <v>31.820180000000001</v>
      </c>
      <c r="N130" s="178">
        <v>66.037119500000003</v>
      </c>
      <c r="O130" s="178">
        <v>58.507686499999998</v>
      </c>
      <c r="P130" s="178">
        <v>64.967821499999999</v>
      </c>
      <c r="Q130" s="178">
        <v>67.556750500000007</v>
      </c>
      <c r="R130" s="178">
        <v>66.683813999999998</v>
      </c>
      <c r="S130" s="178">
        <v>52.060037999999999</v>
      </c>
      <c r="T130" s="178">
        <v>57.768275000000003</v>
      </c>
      <c r="U130" s="178">
        <v>61.963368000000003</v>
      </c>
      <c r="V130" s="178">
        <v>66.322567500000005</v>
      </c>
      <c r="W130" s="178">
        <v>53.009402999999999</v>
      </c>
      <c r="X130" s="178">
        <v>65.533088500000005</v>
      </c>
      <c r="Y130" s="178">
        <v>70.069165499999997</v>
      </c>
      <c r="Z130" s="178">
        <v>67.949684000000005</v>
      </c>
    </row>
    <row r="131" spans="1:26">
      <c r="A131" s="177" t="s">
        <v>70</v>
      </c>
      <c r="B131" s="178">
        <v>182.311137</v>
      </c>
      <c r="C131" s="178">
        <v>188.01692750000001</v>
      </c>
      <c r="D131" s="178">
        <v>169.348387</v>
      </c>
      <c r="E131" s="178">
        <v>144.5833825</v>
      </c>
      <c r="F131" s="178">
        <v>160.99247</v>
      </c>
      <c r="G131" s="178">
        <v>157.97660099999999</v>
      </c>
      <c r="H131" s="178">
        <v>163.5454105</v>
      </c>
      <c r="I131" s="178">
        <v>166.0983985</v>
      </c>
      <c r="J131" s="178">
        <v>134.23411250000001</v>
      </c>
      <c r="K131" s="178">
        <v>139.503086</v>
      </c>
      <c r="L131" s="178">
        <v>134.24086700000001</v>
      </c>
      <c r="M131" s="178">
        <v>129.766637</v>
      </c>
      <c r="N131" s="178">
        <v>178.96316150000001</v>
      </c>
      <c r="O131" s="178">
        <v>173.89508950000001</v>
      </c>
      <c r="P131" s="178">
        <v>156.50662750000001</v>
      </c>
      <c r="Q131" s="178">
        <v>180.74303649999999</v>
      </c>
      <c r="R131" s="178">
        <v>180.31613300000001</v>
      </c>
      <c r="S131" s="178">
        <v>175.14184499999999</v>
      </c>
      <c r="T131" s="178">
        <v>161.44275200000001</v>
      </c>
      <c r="U131" s="178">
        <v>171.48853299999999</v>
      </c>
      <c r="V131" s="178">
        <v>167.72491149999999</v>
      </c>
      <c r="W131" s="178">
        <v>170.74740800000001</v>
      </c>
      <c r="X131" s="178">
        <v>182.05203750000001</v>
      </c>
      <c r="Y131" s="178">
        <v>193.13370449999999</v>
      </c>
      <c r="Z131" s="178">
        <v>198.40012300000001</v>
      </c>
    </row>
    <row r="132" spans="1:26">
      <c r="A132" s="180" t="s">
        <v>10</v>
      </c>
      <c r="B132" s="181">
        <v>21127.833004888002</v>
      </c>
      <c r="C132" s="181">
        <v>20179.883224567999</v>
      </c>
      <c r="D132" s="181">
        <v>19892.48809527</v>
      </c>
      <c r="E132" s="181">
        <v>21556.189304470001</v>
      </c>
      <c r="F132" s="181">
        <v>21281.078610050001</v>
      </c>
      <c r="G132" s="181">
        <v>21630.372603981999</v>
      </c>
      <c r="H132" s="181">
        <v>19312.837261852001</v>
      </c>
      <c r="I132" s="181">
        <v>20027.608796334</v>
      </c>
      <c r="J132" s="181">
        <v>16688.302253575999</v>
      </c>
      <c r="K132" s="181">
        <v>17131.208338812001</v>
      </c>
      <c r="L132" s="181">
        <v>18392.550599046001</v>
      </c>
      <c r="M132" s="181">
        <v>22867.113622241999</v>
      </c>
      <c r="N132" s="181">
        <v>21422.225104644</v>
      </c>
      <c r="O132" s="181">
        <v>20339.15432872</v>
      </c>
      <c r="P132" s="181">
        <v>19957.768054331998</v>
      </c>
      <c r="Q132" s="181">
        <v>18942.301831158002</v>
      </c>
      <c r="R132" s="181">
        <v>22753.482591446002</v>
      </c>
      <c r="S132" s="181">
        <v>23284.16928659</v>
      </c>
      <c r="T132" s="181">
        <v>20276.831296913999</v>
      </c>
      <c r="U132" s="181">
        <v>21133.321231622002</v>
      </c>
      <c r="V132" s="181">
        <v>18977.518232104001</v>
      </c>
      <c r="W132" s="181">
        <v>19522.784555024002</v>
      </c>
      <c r="X132" s="181">
        <v>18753.351866016001</v>
      </c>
      <c r="Y132" s="181">
        <v>21034.94714081</v>
      </c>
      <c r="Z132" s="181">
        <v>20196.952499436</v>
      </c>
    </row>
    <row r="133" spans="1:26">
      <c r="A133" s="177" t="s">
        <v>122</v>
      </c>
      <c r="B133" s="178">
        <v>-113.611379904</v>
      </c>
      <c r="C133" s="178">
        <v>-188.46613504800001</v>
      </c>
      <c r="D133" s="178">
        <v>-180.30089699999999</v>
      </c>
      <c r="E133" s="178">
        <v>-350.171471</v>
      </c>
      <c r="F133" s="178">
        <v>-703.10755800000004</v>
      </c>
      <c r="G133" s="178">
        <v>-399.378153</v>
      </c>
      <c r="H133" s="178">
        <v>-392.60482500000001</v>
      </c>
      <c r="I133" s="178">
        <v>-600.24192497599995</v>
      </c>
      <c r="J133" s="178">
        <v>-679.70917919199997</v>
      </c>
      <c r="K133" s="178">
        <v>-366.54343990900003</v>
      </c>
      <c r="L133" s="178">
        <v>-213.878454</v>
      </c>
      <c r="M133" s="178">
        <v>-303.17795204800001</v>
      </c>
      <c r="N133" s="178">
        <v>-259.28085923999998</v>
      </c>
      <c r="O133" s="178">
        <v>-221.76098604800001</v>
      </c>
      <c r="P133" s="178">
        <v>-360.25418200000001</v>
      </c>
      <c r="Q133" s="178">
        <v>-296.43321600000002</v>
      </c>
      <c r="R133" s="178">
        <v>-528.06515300000001</v>
      </c>
      <c r="S133" s="178">
        <v>-610.91121899999996</v>
      </c>
      <c r="T133" s="178">
        <v>-789.64869999999996</v>
      </c>
      <c r="U133" s="178">
        <v>-463.99076698200003</v>
      </c>
      <c r="V133" s="178">
        <v>-216.71217380799999</v>
      </c>
      <c r="W133" s="178">
        <v>-393.88363104799998</v>
      </c>
      <c r="X133" s="178">
        <v>-199.35877199999999</v>
      </c>
      <c r="Y133" s="178">
        <v>-232.93415899999999</v>
      </c>
      <c r="Z133" s="178">
        <v>-216.75099700000001</v>
      </c>
    </row>
    <row r="134" spans="1:26">
      <c r="A134" s="177" t="s">
        <v>97</v>
      </c>
      <c r="B134" s="178">
        <v>-185.76976199999999</v>
      </c>
      <c r="C134" s="178">
        <v>-153.19726600000001</v>
      </c>
      <c r="D134" s="178">
        <v>-137.66557</v>
      </c>
      <c r="E134" s="178">
        <v>-91.396833999999998</v>
      </c>
      <c r="F134" s="178">
        <v>-119.614278</v>
      </c>
      <c r="G134" s="178">
        <v>-136.155901</v>
      </c>
      <c r="H134" s="178">
        <v>-115.92849699999999</v>
      </c>
      <c r="I134" s="178">
        <v>-112.780382</v>
      </c>
      <c r="J134" s="178">
        <v>-80.581305999999998</v>
      </c>
      <c r="K134" s="178">
        <v>-79.946523999999997</v>
      </c>
      <c r="L134" s="178">
        <v>-93.289579000000003</v>
      </c>
      <c r="M134" s="178">
        <v>-168.331695</v>
      </c>
      <c r="N134" s="178">
        <v>-182.71595500000001</v>
      </c>
      <c r="O134" s="178">
        <v>-116.274961</v>
      </c>
      <c r="P134" s="178">
        <v>-105.943506</v>
      </c>
      <c r="Q134" s="178">
        <v>-96.327618999999999</v>
      </c>
      <c r="R134" s="178">
        <v>-138.26159999999999</v>
      </c>
      <c r="S134" s="178">
        <v>-138.25041200000001</v>
      </c>
      <c r="T134" s="178">
        <v>-113.412009</v>
      </c>
      <c r="U134" s="178">
        <v>-127.985573</v>
      </c>
      <c r="V134" s="178">
        <v>-111.02179700000001</v>
      </c>
      <c r="W134" s="178">
        <v>-111.601713</v>
      </c>
      <c r="X134" s="178">
        <v>-65.429468</v>
      </c>
      <c r="Y134" s="178">
        <v>-45.879221000000001</v>
      </c>
      <c r="Z134" s="178">
        <v>-40.107311000000003</v>
      </c>
    </row>
    <row r="135" spans="1:26">
      <c r="A135" s="177" t="s">
        <v>123</v>
      </c>
      <c r="B135" s="178">
        <v>348.80169899999999</v>
      </c>
      <c r="C135" s="178">
        <v>97.964608999999996</v>
      </c>
      <c r="D135" s="178">
        <v>580.94192099999998</v>
      </c>
      <c r="E135" s="178">
        <v>-297.39445499999999</v>
      </c>
      <c r="F135" s="178">
        <v>448.80726199999998</v>
      </c>
      <c r="G135" s="178">
        <v>1482.378827</v>
      </c>
      <c r="H135" s="178">
        <v>1035.7817219999999</v>
      </c>
      <c r="I135" s="178">
        <v>493.77581300000003</v>
      </c>
      <c r="J135" s="178">
        <v>232.43756099999999</v>
      </c>
      <c r="K135" s="178">
        <v>683.67150800000002</v>
      </c>
      <c r="L135" s="178">
        <v>268.89827500000001</v>
      </c>
      <c r="M135" s="178">
        <v>-450.84462000000002</v>
      </c>
      <c r="N135" s="178">
        <v>-239.66814099999999</v>
      </c>
      <c r="O135" s="178">
        <v>-625.62728200000004</v>
      </c>
      <c r="P135" s="178">
        <v>108.16498300000001</v>
      </c>
      <c r="Q135" s="178">
        <v>1090.931722</v>
      </c>
      <c r="R135" s="178">
        <v>-800.31548099999998</v>
      </c>
      <c r="S135" s="178">
        <v>214.90690699999999</v>
      </c>
      <c r="T135" s="178">
        <v>-162.58580799999999</v>
      </c>
      <c r="U135" s="178">
        <v>189.854399</v>
      </c>
      <c r="V135" s="178">
        <v>256.56955599999998</v>
      </c>
      <c r="W135" s="178">
        <v>274.30057599999998</v>
      </c>
      <c r="X135" s="178">
        <v>1012.957181</v>
      </c>
      <c r="Y135" s="178">
        <v>627.15375300000005</v>
      </c>
      <c r="Z135" s="178">
        <v>661.43739400000004</v>
      </c>
    </row>
    <row r="136" spans="1:26">
      <c r="A136" s="180" t="s">
        <v>124</v>
      </c>
      <c r="B136" s="181">
        <v>21177.253561983998</v>
      </c>
      <c r="C136" s="181">
        <v>19936.18443252</v>
      </c>
      <c r="D136" s="181">
        <v>20155.46354927</v>
      </c>
      <c r="E136" s="181">
        <v>20817.226544469999</v>
      </c>
      <c r="F136" s="181">
        <v>20907.164036049999</v>
      </c>
      <c r="G136" s="181">
        <v>22577.217376982</v>
      </c>
      <c r="H136" s="181">
        <v>19840.085661852001</v>
      </c>
      <c r="I136" s="181">
        <v>19808.362302358</v>
      </c>
      <c r="J136" s="181">
        <v>16160.449329384001</v>
      </c>
      <c r="K136" s="181">
        <v>17368.389882903</v>
      </c>
      <c r="L136" s="181">
        <v>18354.280841045998</v>
      </c>
      <c r="M136" s="181">
        <v>21944.759355194001</v>
      </c>
      <c r="N136" s="181">
        <v>20740.560149403998</v>
      </c>
      <c r="O136" s="181">
        <v>19375.491099671999</v>
      </c>
      <c r="P136" s="181">
        <v>19599.735349332001</v>
      </c>
      <c r="Q136" s="181">
        <v>19640.472718157998</v>
      </c>
      <c r="R136" s="181">
        <v>21286.840357445999</v>
      </c>
      <c r="S136" s="181">
        <v>22749.914562589998</v>
      </c>
      <c r="T136" s="181">
        <v>19211.184779914001</v>
      </c>
      <c r="U136" s="181">
        <v>20731.199290640001</v>
      </c>
      <c r="V136" s="181">
        <v>18906.353817296</v>
      </c>
      <c r="W136" s="181">
        <v>19291.599786975999</v>
      </c>
      <c r="X136" s="181">
        <v>19501.520807016001</v>
      </c>
      <c r="Y136" s="181">
        <v>21383.287513809999</v>
      </c>
      <c r="Z136" s="181">
        <v>20601.531585436001</v>
      </c>
    </row>
    <row r="140" spans="1:26" s="190" customFormat="1" ht="12">
      <c r="A140" s="196" t="s">
        <v>30</v>
      </c>
      <c r="B140" s="196" t="str">
        <f t="shared" ref="B140:N140" si="7">MID(UPPER(TEXT(B141,"mmm")),1,1)</f>
        <v>A</v>
      </c>
      <c r="C140" s="196" t="str">
        <f t="shared" si="7"/>
        <v>S</v>
      </c>
      <c r="D140" s="196" t="str">
        <f t="shared" si="7"/>
        <v>O</v>
      </c>
      <c r="E140" s="196" t="str">
        <f t="shared" si="7"/>
        <v>N</v>
      </c>
      <c r="F140" s="196" t="str">
        <f t="shared" si="7"/>
        <v>D</v>
      </c>
      <c r="G140" s="196" t="str">
        <f t="shared" si="7"/>
        <v>E</v>
      </c>
      <c r="H140" s="196" t="str">
        <f t="shared" si="7"/>
        <v>F</v>
      </c>
      <c r="I140" s="196" t="str">
        <f t="shared" si="7"/>
        <v>M</v>
      </c>
      <c r="J140" s="196" t="str">
        <f t="shared" si="7"/>
        <v>A</v>
      </c>
      <c r="K140" s="196" t="str">
        <f t="shared" si="7"/>
        <v>M</v>
      </c>
      <c r="L140" s="196" t="str">
        <f t="shared" si="7"/>
        <v>J</v>
      </c>
      <c r="M140" s="196" t="str">
        <f t="shared" si="7"/>
        <v>J</v>
      </c>
      <c r="N140" s="196" t="str">
        <f t="shared" si="7"/>
        <v>A</v>
      </c>
    </row>
    <row r="141" spans="1:26" s="190" customFormat="1" ht="12">
      <c r="A141" s="196" t="s">
        <v>112</v>
      </c>
      <c r="B141" s="196" t="str">
        <f>TEXT(EDATE(C141,-1),"mmmm aaaa")</f>
        <v>agosto 2020</v>
      </c>
      <c r="C141" s="196" t="str">
        <f t="shared" ref="C141:M141" si="8">TEXT(EDATE(D141,-1),"mmmm aaaa")</f>
        <v>septiembre 2020</v>
      </c>
      <c r="D141" s="196" t="str">
        <f t="shared" si="8"/>
        <v>octubre 2020</v>
      </c>
      <c r="E141" s="196" t="str">
        <f t="shared" si="8"/>
        <v>noviembre 2020</v>
      </c>
      <c r="F141" s="196" t="str">
        <f t="shared" si="8"/>
        <v>diciembre 2020</v>
      </c>
      <c r="G141" s="196" t="str">
        <f t="shared" si="8"/>
        <v>enero 2021</v>
      </c>
      <c r="H141" s="196" t="str">
        <f t="shared" si="8"/>
        <v>febrero 2021</v>
      </c>
      <c r="I141" s="196" t="str">
        <f t="shared" si="8"/>
        <v>marzo 2021</v>
      </c>
      <c r="J141" s="196" t="str">
        <f t="shared" si="8"/>
        <v>abril 2021</v>
      </c>
      <c r="K141" s="196" t="str">
        <f t="shared" si="8"/>
        <v>mayo 2021</v>
      </c>
      <c r="L141" s="196" t="str">
        <f t="shared" si="8"/>
        <v>junio 2021</v>
      </c>
      <c r="M141" s="196" t="str">
        <f t="shared" si="8"/>
        <v>julio 2021</v>
      </c>
      <c r="N141" s="196" t="str">
        <f>A2</f>
        <v>Agosto 2021</v>
      </c>
    </row>
    <row r="142" spans="1:26" s="193" customFormat="1" ht="12">
      <c r="A142" s="191" t="s">
        <v>2</v>
      </c>
      <c r="B142" s="192">
        <f t="shared" ref="B142:N142" si="9">HLOOKUP(B$141,$117:$133,3,FALSE)</f>
        <v>1886.0039274440001</v>
      </c>
      <c r="C142" s="192">
        <f t="shared" si="9"/>
        <v>1678.3274013719999</v>
      </c>
      <c r="D142" s="192">
        <f t="shared" si="9"/>
        <v>1892.9846669420001</v>
      </c>
      <c r="E142" s="192">
        <f t="shared" si="9"/>
        <v>2459.7328362960002</v>
      </c>
      <c r="F142" s="192">
        <f t="shared" si="9"/>
        <v>3191.3531995479998</v>
      </c>
      <c r="G142" s="192">
        <f t="shared" si="9"/>
        <v>4055.5224591820001</v>
      </c>
      <c r="H142" s="192">
        <f t="shared" si="9"/>
        <v>4515.6890129479998</v>
      </c>
      <c r="I142" s="192">
        <f t="shared" si="9"/>
        <v>3713.0280040799998</v>
      </c>
      <c r="J142" s="192">
        <f t="shared" si="9"/>
        <v>2742.9927041320002</v>
      </c>
      <c r="K142" s="192">
        <f t="shared" si="9"/>
        <v>2156.5677169599999</v>
      </c>
      <c r="L142" s="192">
        <f t="shared" si="9"/>
        <v>2178.1559084280002</v>
      </c>
      <c r="M142" s="192">
        <f t="shared" si="9"/>
        <v>2203.5825142980002</v>
      </c>
      <c r="N142" s="192">
        <f t="shared" si="9"/>
        <v>1879.8039341619999</v>
      </c>
    </row>
    <row r="143" spans="1:26" s="193" customFormat="1" ht="12">
      <c r="A143" s="191" t="s">
        <v>81</v>
      </c>
      <c r="B143" s="192">
        <f t="shared" ref="B143:N143" si="10">HLOOKUP(B$141,$117:$133,4,FALSE)</f>
        <v>158.85512120000001</v>
      </c>
      <c r="C143" s="192">
        <f t="shared" si="10"/>
        <v>187.668031348</v>
      </c>
      <c r="D143" s="192">
        <f t="shared" si="10"/>
        <v>229.96202238999999</v>
      </c>
      <c r="E143" s="192">
        <f t="shared" si="10"/>
        <v>205.997806862</v>
      </c>
      <c r="F143" s="192">
        <f t="shared" si="10"/>
        <v>320.93024189800002</v>
      </c>
      <c r="G143" s="192">
        <f t="shared" si="10"/>
        <v>320.51078940799999</v>
      </c>
      <c r="H143" s="192">
        <f t="shared" si="10"/>
        <v>401.29321896599998</v>
      </c>
      <c r="I143" s="192">
        <f t="shared" si="10"/>
        <v>330.80630354200002</v>
      </c>
      <c r="J143" s="192">
        <f t="shared" si="10"/>
        <v>153.67971897199999</v>
      </c>
      <c r="K143" s="192">
        <f t="shared" si="10"/>
        <v>238.70894406400001</v>
      </c>
      <c r="L143" s="192">
        <f t="shared" si="10"/>
        <v>105.70565758799999</v>
      </c>
      <c r="M143" s="192">
        <f t="shared" si="10"/>
        <v>115.790175512</v>
      </c>
      <c r="N143" s="192">
        <f t="shared" si="10"/>
        <v>159.086738274</v>
      </c>
    </row>
    <row r="144" spans="1:26" s="193" customFormat="1" ht="12">
      <c r="A144" s="191" t="s">
        <v>3</v>
      </c>
      <c r="B144" s="192">
        <f t="shared" ref="B144:N144" si="11">HLOOKUP(B$141,$117:$133,5,FALSE)</f>
        <v>5151.9174220000004</v>
      </c>
      <c r="C144" s="192">
        <f t="shared" si="11"/>
        <v>4871.2094020000004</v>
      </c>
      <c r="D144" s="192">
        <f t="shared" si="11"/>
        <v>4528.3442359999999</v>
      </c>
      <c r="E144" s="192">
        <f t="shared" si="11"/>
        <v>4639.755709</v>
      </c>
      <c r="F144" s="192">
        <f t="shared" si="11"/>
        <v>5270.8108380000003</v>
      </c>
      <c r="G144" s="192">
        <f t="shared" si="11"/>
        <v>5199.7405159999998</v>
      </c>
      <c r="H144" s="192">
        <f t="shared" si="11"/>
        <v>4358.5151070000002</v>
      </c>
      <c r="I144" s="192">
        <f t="shared" si="11"/>
        <v>4833.1364599999997</v>
      </c>
      <c r="J144" s="192">
        <f t="shared" si="11"/>
        <v>4197.3329299999996</v>
      </c>
      <c r="K144" s="192">
        <f t="shared" si="11"/>
        <v>4373.2508939999998</v>
      </c>
      <c r="L144" s="192">
        <f t="shared" si="11"/>
        <v>3684.3838430000001</v>
      </c>
      <c r="M144" s="192">
        <f t="shared" si="11"/>
        <v>5119.3959809999997</v>
      </c>
      <c r="N144" s="192">
        <f t="shared" si="11"/>
        <v>5150.2640140000003</v>
      </c>
    </row>
    <row r="145" spans="1:15" s="193" customFormat="1" ht="12">
      <c r="A145" s="191" t="s">
        <v>4</v>
      </c>
      <c r="B145" s="192">
        <f t="shared" ref="B145:N145" si="12">HLOOKUP(B$141,$117:$133,6,FALSE)</f>
        <v>338.34884299999999</v>
      </c>
      <c r="C145" s="192">
        <f t="shared" si="12"/>
        <v>282.55493999999999</v>
      </c>
      <c r="D145" s="192">
        <f t="shared" si="12"/>
        <v>235.11278300000001</v>
      </c>
      <c r="E145" s="192">
        <f t="shared" si="12"/>
        <v>336.18096000000003</v>
      </c>
      <c r="F145" s="192">
        <f t="shared" si="12"/>
        <v>222.17338899999999</v>
      </c>
      <c r="G145" s="192">
        <f t="shared" si="12"/>
        <v>558.54747499999996</v>
      </c>
      <c r="H145" s="192">
        <f t="shared" si="12"/>
        <v>177.073452</v>
      </c>
      <c r="I145" s="192">
        <f t="shared" si="12"/>
        <v>242.90618799999999</v>
      </c>
      <c r="J145" s="192">
        <f t="shared" si="12"/>
        <v>270.940157</v>
      </c>
      <c r="K145" s="192">
        <f t="shared" si="12"/>
        <v>333.46570800000001</v>
      </c>
      <c r="L145" s="192">
        <f t="shared" si="12"/>
        <v>431.99096700000001</v>
      </c>
      <c r="M145" s="192">
        <f t="shared" si="12"/>
        <v>302.41718100000003</v>
      </c>
      <c r="N145" s="192">
        <f t="shared" si="12"/>
        <v>320.34443199999998</v>
      </c>
    </row>
    <row r="146" spans="1:15" s="193" customFormat="1" ht="12">
      <c r="A146" s="191" t="s">
        <v>11</v>
      </c>
      <c r="B146" s="192">
        <f t="shared" ref="B146:N146" si="13">HLOOKUP(B$141,$117:$133,8,FALSE)</f>
        <v>5051.1759519999996</v>
      </c>
      <c r="C146" s="192">
        <f t="shared" si="13"/>
        <v>4546.4757390000004</v>
      </c>
      <c r="D146" s="192">
        <f t="shared" si="13"/>
        <v>2791.0383710000001</v>
      </c>
      <c r="E146" s="192">
        <f t="shared" si="13"/>
        <v>3221.3084140000001</v>
      </c>
      <c r="F146" s="192">
        <f t="shared" si="13"/>
        <v>2564.8316060000002</v>
      </c>
      <c r="G146" s="192">
        <f t="shared" si="13"/>
        <v>2188.3044850000001</v>
      </c>
      <c r="H146" s="192">
        <f t="shared" si="13"/>
        <v>1086.83896</v>
      </c>
      <c r="I146" s="192">
        <f t="shared" si="13"/>
        <v>1649.419373</v>
      </c>
      <c r="J146" s="192">
        <f t="shared" si="13"/>
        <v>2865.8610100000001</v>
      </c>
      <c r="K146" s="192">
        <f t="shared" si="13"/>
        <v>2004.7769000000001</v>
      </c>
      <c r="L146" s="192">
        <f t="shared" si="13"/>
        <v>3136.247484</v>
      </c>
      <c r="M146" s="192">
        <f t="shared" si="13"/>
        <v>3024.8909399999998</v>
      </c>
      <c r="N146" s="192">
        <f t="shared" si="13"/>
        <v>3325.1988150000002</v>
      </c>
    </row>
    <row r="147" spans="1:15" s="193" customFormat="1" ht="12">
      <c r="A147" s="191" t="s">
        <v>5</v>
      </c>
      <c r="B147" s="192">
        <f t="shared" ref="B147:N147" si="14">HLOOKUP(B$141,$117:$133,9,FALSE)</f>
        <v>3508.4515270000002</v>
      </c>
      <c r="C147" s="192">
        <f t="shared" si="14"/>
        <v>3962.2430210000002</v>
      </c>
      <c r="D147" s="192">
        <f t="shared" si="14"/>
        <v>5669.7146759999996</v>
      </c>
      <c r="E147" s="192">
        <f t="shared" si="14"/>
        <v>4154.0834599999998</v>
      </c>
      <c r="F147" s="192">
        <f t="shared" si="14"/>
        <v>7378.7336489999998</v>
      </c>
      <c r="G147" s="192">
        <f t="shared" si="14"/>
        <v>7019.2746690000004</v>
      </c>
      <c r="H147" s="192">
        <f t="shared" si="14"/>
        <v>6235.5684270000002</v>
      </c>
      <c r="I147" s="192">
        <f t="shared" si="14"/>
        <v>5521.443166</v>
      </c>
      <c r="J147" s="192">
        <f t="shared" si="14"/>
        <v>4041.7178789999998</v>
      </c>
      <c r="K147" s="192">
        <f t="shared" si="14"/>
        <v>4620.819896</v>
      </c>
      <c r="L147" s="192">
        <f t="shared" si="14"/>
        <v>3532.9370509999999</v>
      </c>
      <c r="M147" s="192">
        <f t="shared" si="14"/>
        <v>4120.4592439999997</v>
      </c>
      <c r="N147" s="192">
        <f t="shared" si="14"/>
        <v>3597.1086890000001</v>
      </c>
    </row>
    <row r="148" spans="1:15" s="193" customFormat="1" ht="12">
      <c r="A148" s="191" t="s">
        <v>6</v>
      </c>
      <c r="B148" s="192">
        <f t="shared" ref="B148:N148" si="15">HLOOKUP(B$141,$117:$133,10,FALSE)</f>
        <v>1778.4640589999999</v>
      </c>
      <c r="C148" s="192">
        <f t="shared" si="15"/>
        <v>1426.722043</v>
      </c>
      <c r="D148" s="192">
        <f t="shared" si="15"/>
        <v>1283.3937249999999</v>
      </c>
      <c r="E148" s="192">
        <f t="shared" si="15"/>
        <v>788.93134899999995</v>
      </c>
      <c r="F148" s="192">
        <f t="shared" si="15"/>
        <v>719.15622399999995</v>
      </c>
      <c r="G148" s="192">
        <f t="shared" si="15"/>
        <v>821.66945299999998</v>
      </c>
      <c r="H148" s="192">
        <f t="shared" si="15"/>
        <v>944.59647700000005</v>
      </c>
      <c r="I148" s="192">
        <f t="shared" si="15"/>
        <v>1648.188848</v>
      </c>
      <c r="J148" s="192">
        <f t="shared" si="15"/>
        <v>1625.0275710000001</v>
      </c>
      <c r="K148" s="192">
        <f t="shared" si="15"/>
        <v>2335.6640040000002</v>
      </c>
      <c r="L148" s="192">
        <f t="shared" si="15"/>
        <v>2265.4350840000002</v>
      </c>
      <c r="M148" s="192">
        <f t="shared" si="15"/>
        <v>2465.699314</v>
      </c>
      <c r="N148" s="192">
        <f t="shared" si="15"/>
        <v>2330.2383329999998</v>
      </c>
    </row>
    <row r="149" spans="1:15" s="193" customFormat="1" ht="12">
      <c r="A149" s="191" t="s">
        <v>7</v>
      </c>
      <c r="B149" s="192">
        <f t="shared" ref="B149:N149" si="16">HLOOKUP(B$141,$117:$133,11,FALSE)</f>
        <v>744.54166099999998</v>
      </c>
      <c r="C149" s="192">
        <f t="shared" si="16"/>
        <v>452.15923299999997</v>
      </c>
      <c r="D149" s="192">
        <f t="shared" si="16"/>
        <v>340.27470899999997</v>
      </c>
      <c r="E149" s="192">
        <f t="shared" si="16"/>
        <v>108.048269</v>
      </c>
      <c r="F149" s="192">
        <f t="shared" si="16"/>
        <v>76.225913000000006</v>
      </c>
      <c r="G149" s="192">
        <f t="shared" si="16"/>
        <v>102.634029</v>
      </c>
      <c r="H149" s="192">
        <f t="shared" si="16"/>
        <v>138.18132700000001</v>
      </c>
      <c r="I149" s="192">
        <f t="shared" si="16"/>
        <v>355.01542699999999</v>
      </c>
      <c r="J149" s="192">
        <f t="shared" si="16"/>
        <v>266.78751899999997</v>
      </c>
      <c r="K149" s="192">
        <f t="shared" si="16"/>
        <v>645.65319899999997</v>
      </c>
      <c r="L149" s="192">
        <f t="shared" si="16"/>
        <v>655.36365000000001</v>
      </c>
      <c r="M149" s="192">
        <f t="shared" si="16"/>
        <v>828.47839999999997</v>
      </c>
      <c r="N149" s="192">
        <f t="shared" si="16"/>
        <v>661.321641</v>
      </c>
    </row>
    <row r="150" spans="1:15" s="193" customFormat="1" ht="12">
      <c r="A150" s="191" t="s">
        <v>8</v>
      </c>
      <c r="B150" s="192">
        <f t="shared" ref="B150:N150" si="17">HLOOKUP(B$141,$117:$133,12,FALSE)</f>
        <v>367.860117</v>
      </c>
      <c r="C150" s="192">
        <f t="shared" si="17"/>
        <v>394.86022600000001</v>
      </c>
      <c r="D150" s="192">
        <f t="shared" si="17"/>
        <v>414.07609600000001</v>
      </c>
      <c r="E150" s="192">
        <f t="shared" si="17"/>
        <v>393.05924800000003</v>
      </c>
      <c r="F150" s="192">
        <f t="shared" si="17"/>
        <v>422.601923</v>
      </c>
      <c r="G150" s="192">
        <f t="shared" si="17"/>
        <v>389.92807800000003</v>
      </c>
      <c r="H150" s="192">
        <f t="shared" si="17"/>
        <v>364.09361200000001</v>
      </c>
      <c r="I150" s="192">
        <f t="shared" si="17"/>
        <v>358.00908700000002</v>
      </c>
      <c r="J150" s="192">
        <f t="shared" si="17"/>
        <v>391.39413100000002</v>
      </c>
      <c r="K150" s="192">
        <f t="shared" si="17"/>
        <v>390.09032500000001</v>
      </c>
      <c r="L150" s="192">
        <f t="shared" si="17"/>
        <v>357.15492699999999</v>
      </c>
      <c r="M150" s="192">
        <f t="shared" si="17"/>
        <v>351.58971200000002</v>
      </c>
      <c r="N150" s="192">
        <f t="shared" si="17"/>
        <v>409.60947299999998</v>
      </c>
    </row>
    <row r="151" spans="1:15" s="193" customFormat="1" ht="12">
      <c r="A151" s="191" t="s">
        <v>9</v>
      </c>
      <c r="B151" s="192">
        <f t="shared" ref="B151:N151" si="18">HLOOKUP(B$141,$117:$133,13,FALSE)</f>
        <v>2191.606194</v>
      </c>
      <c r="C151" s="192">
        <f t="shared" si="18"/>
        <v>2304.531516</v>
      </c>
      <c r="D151" s="192">
        <f t="shared" si="18"/>
        <v>2351.3923199999999</v>
      </c>
      <c r="E151" s="192">
        <f t="shared" si="18"/>
        <v>2386.903992</v>
      </c>
      <c r="F151" s="192">
        <f t="shared" si="18"/>
        <v>2339.665661</v>
      </c>
      <c r="G151" s="192">
        <f t="shared" si="18"/>
        <v>2400.83545</v>
      </c>
      <c r="H151" s="192">
        <f t="shared" si="18"/>
        <v>1835.7706760000001</v>
      </c>
      <c r="I151" s="192">
        <f t="shared" si="18"/>
        <v>2247.9164740000001</v>
      </c>
      <c r="J151" s="192">
        <f t="shared" si="18"/>
        <v>2187.7371330000001</v>
      </c>
      <c r="K151" s="192">
        <f t="shared" si="18"/>
        <v>2200.0301570000001</v>
      </c>
      <c r="L151" s="192">
        <f t="shared" si="18"/>
        <v>2158.3921679999999</v>
      </c>
      <c r="M151" s="192">
        <f t="shared" si="18"/>
        <v>2239.4408100000001</v>
      </c>
      <c r="N151" s="192">
        <f t="shared" si="18"/>
        <v>2097.6266230000001</v>
      </c>
    </row>
    <row r="152" spans="1:15" s="193" customFormat="1" ht="12">
      <c r="A152" s="191" t="s">
        <v>70</v>
      </c>
      <c r="B152" s="192">
        <f t="shared" ref="B152:N152" si="19">HLOOKUP(B$141,$117:$133,15,FALSE)</f>
        <v>178.96316150000001</v>
      </c>
      <c r="C152" s="192">
        <f t="shared" si="19"/>
        <v>173.89508950000001</v>
      </c>
      <c r="D152" s="192">
        <f t="shared" si="19"/>
        <v>156.50662750000001</v>
      </c>
      <c r="E152" s="192">
        <f t="shared" si="19"/>
        <v>180.74303649999999</v>
      </c>
      <c r="F152" s="192">
        <f t="shared" si="19"/>
        <v>180.31613300000001</v>
      </c>
      <c r="G152" s="192">
        <f t="shared" si="19"/>
        <v>175.14184499999999</v>
      </c>
      <c r="H152" s="192">
        <f t="shared" si="19"/>
        <v>161.44275200000001</v>
      </c>
      <c r="I152" s="192">
        <f t="shared" si="19"/>
        <v>171.48853299999999</v>
      </c>
      <c r="J152" s="192">
        <f t="shared" si="19"/>
        <v>167.72491149999999</v>
      </c>
      <c r="K152" s="192">
        <f t="shared" si="19"/>
        <v>170.74740800000001</v>
      </c>
      <c r="L152" s="192">
        <f t="shared" si="19"/>
        <v>182.05203750000001</v>
      </c>
      <c r="M152" s="192">
        <f t="shared" si="19"/>
        <v>193.13370449999999</v>
      </c>
      <c r="N152" s="192">
        <f t="shared" si="19"/>
        <v>198.40012300000001</v>
      </c>
    </row>
    <row r="153" spans="1:15" s="193" customFormat="1" ht="12">
      <c r="A153" s="191" t="s">
        <v>69</v>
      </c>
      <c r="B153" s="192">
        <f t="shared" ref="B153:N153" si="20">HLOOKUP(B$141,$117:$133,14,FALSE)</f>
        <v>66.037119500000003</v>
      </c>
      <c r="C153" s="192">
        <f t="shared" si="20"/>
        <v>58.507686499999998</v>
      </c>
      <c r="D153" s="192">
        <f t="shared" si="20"/>
        <v>64.967821499999999</v>
      </c>
      <c r="E153" s="192">
        <f t="shared" si="20"/>
        <v>67.556750500000007</v>
      </c>
      <c r="F153" s="192">
        <f t="shared" si="20"/>
        <v>66.683813999999998</v>
      </c>
      <c r="G153" s="192">
        <f t="shared" si="20"/>
        <v>52.060037999999999</v>
      </c>
      <c r="H153" s="192">
        <f t="shared" si="20"/>
        <v>57.768275000000003</v>
      </c>
      <c r="I153" s="192">
        <f t="shared" si="20"/>
        <v>61.963368000000003</v>
      </c>
      <c r="J153" s="192">
        <f t="shared" si="20"/>
        <v>66.322567500000005</v>
      </c>
      <c r="K153" s="192">
        <f t="shared" si="20"/>
        <v>53.009402999999999</v>
      </c>
      <c r="L153" s="192">
        <f t="shared" si="20"/>
        <v>65.533088500000005</v>
      </c>
      <c r="M153" s="192">
        <f t="shared" si="20"/>
        <v>70.069165499999997</v>
      </c>
      <c r="N153" s="192">
        <f t="shared" si="20"/>
        <v>67.949684000000005</v>
      </c>
    </row>
    <row r="154" spans="1:15" s="193" customFormat="1" ht="12">
      <c r="A154" s="194" t="s">
        <v>96</v>
      </c>
      <c r="B154" s="195">
        <f>SUM(B142:B153)</f>
        <v>21422.225104644</v>
      </c>
      <c r="C154" s="195">
        <f t="shared" ref="C154:N154" si="21">SUM(C142:C153)</f>
        <v>20339.15432872</v>
      </c>
      <c r="D154" s="195">
        <f t="shared" si="21"/>
        <v>19957.768054331998</v>
      </c>
      <c r="E154" s="195">
        <f t="shared" si="21"/>
        <v>18942.301831158002</v>
      </c>
      <c r="F154" s="195">
        <f t="shared" si="21"/>
        <v>22753.482591445994</v>
      </c>
      <c r="G154" s="195">
        <f t="shared" si="21"/>
        <v>23284.169286589997</v>
      </c>
      <c r="H154" s="195">
        <f t="shared" si="21"/>
        <v>20276.831296913999</v>
      </c>
      <c r="I154" s="195">
        <f t="shared" si="21"/>
        <v>21133.321231622002</v>
      </c>
      <c r="J154" s="195">
        <f t="shared" si="21"/>
        <v>18977.518232103997</v>
      </c>
      <c r="K154" s="195">
        <f t="shared" si="21"/>
        <v>19522.784555024002</v>
      </c>
      <c r="L154" s="195">
        <f t="shared" si="21"/>
        <v>18753.351866016001</v>
      </c>
      <c r="M154" s="195">
        <f t="shared" si="21"/>
        <v>21034.94714181</v>
      </c>
      <c r="N154" s="195">
        <f t="shared" si="21"/>
        <v>20196.952499436</v>
      </c>
    </row>
    <row r="156" spans="1:15" s="193" customFormat="1" ht="12">
      <c r="A156" s="197" t="s">
        <v>115</v>
      </c>
      <c r="B156" s="210">
        <f>B142+B147+B148+B149+B150+B153</f>
        <v>8351.3584109439998</v>
      </c>
      <c r="C156" s="210">
        <f t="shared" ref="C156:M156" si="22">C142+C147+C148+C149+C150+C153</f>
        <v>7972.8196108720003</v>
      </c>
      <c r="D156" s="210">
        <f t="shared" si="22"/>
        <v>9665.4116944420002</v>
      </c>
      <c r="E156" s="210">
        <f t="shared" si="22"/>
        <v>7971.4119127960003</v>
      </c>
      <c r="F156" s="210">
        <f t="shared" si="22"/>
        <v>11854.754722547999</v>
      </c>
      <c r="G156" s="210">
        <f t="shared" si="22"/>
        <v>12441.088726182003</v>
      </c>
      <c r="H156" s="210">
        <f t="shared" si="22"/>
        <v>12255.897130948</v>
      </c>
      <c r="I156" s="210">
        <f t="shared" si="22"/>
        <v>11657.647900080001</v>
      </c>
      <c r="J156" s="210">
        <f t="shared" si="22"/>
        <v>9134.2423716320009</v>
      </c>
      <c r="K156" s="210">
        <f t="shared" si="22"/>
        <v>10201.804543959999</v>
      </c>
      <c r="L156" s="210">
        <f t="shared" si="22"/>
        <v>9054.5797089280004</v>
      </c>
      <c r="M156" s="210">
        <f t="shared" si="22"/>
        <v>10039.878349798</v>
      </c>
      <c r="N156" s="210">
        <f>N142+N147+N148+N149+N150+N153</f>
        <v>8946.0317541620007</v>
      </c>
    </row>
    <row r="157" spans="1:15" s="193" customFormat="1" ht="12">
      <c r="A157" s="197" t="s">
        <v>116</v>
      </c>
      <c r="B157" s="210">
        <f>B143+B144+B145+B146+B151+B152</f>
        <v>13070.8666937</v>
      </c>
      <c r="C157" s="210">
        <f t="shared" ref="C157:N157" si="23">C143+C144+C145+C146+C151+C152</f>
        <v>12366.334717848002</v>
      </c>
      <c r="D157" s="210">
        <f t="shared" si="23"/>
        <v>10292.356359890002</v>
      </c>
      <c r="E157" s="210">
        <f t="shared" si="23"/>
        <v>10970.889918362</v>
      </c>
      <c r="F157" s="210">
        <f t="shared" si="23"/>
        <v>10898.727868898</v>
      </c>
      <c r="G157" s="210">
        <f t="shared" si="23"/>
        <v>10843.080560408001</v>
      </c>
      <c r="H157" s="210">
        <f t="shared" si="23"/>
        <v>8020.9341659659995</v>
      </c>
      <c r="I157" s="210">
        <f t="shared" si="23"/>
        <v>9475.6733315419988</v>
      </c>
      <c r="J157" s="210">
        <f t="shared" si="23"/>
        <v>9843.2758604720002</v>
      </c>
      <c r="K157" s="210">
        <f t="shared" si="23"/>
        <v>9320.980011063999</v>
      </c>
      <c r="L157" s="210">
        <f t="shared" si="23"/>
        <v>9698.7721570880003</v>
      </c>
      <c r="M157" s="210">
        <f t="shared" si="23"/>
        <v>10995.068792012</v>
      </c>
      <c r="N157" s="210">
        <f t="shared" si="23"/>
        <v>11250.920745273999</v>
      </c>
    </row>
    <row r="158" spans="1:15" s="193" customFormat="1" ht="12">
      <c r="A158" s="197" t="s">
        <v>117</v>
      </c>
      <c r="B158" s="198">
        <f>B142/B$154*100+B147/B$154*100+B148/B$154*100+B149/B$154*100+B150/B$154*100+B153/B$154*100</f>
        <v>38.984551652076327</v>
      </c>
      <c r="C158" s="198">
        <f t="shared" ref="C158:N158" si="24">C142/C$154*100+C147/C$154*100+C148/C$154*100+C149/C$154*100+C150/C$154*100+C153/C$154*100</f>
        <v>39.199366315904015</v>
      </c>
      <c r="D158" s="198">
        <f t="shared" si="24"/>
        <v>48.429321696340907</v>
      </c>
      <c r="E158" s="198">
        <f t="shared" si="24"/>
        <v>42.082593677627422</v>
      </c>
      <c r="F158" s="198">
        <f t="shared" si="24"/>
        <v>52.100836322105295</v>
      </c>
      <c r="G158" s="198">
        <f t="shared" si="24"/>
        <v>53.431533558498792</v>
      </c>
      <c r="H158" s="198">
        <f t="shared" si="24"/>
        <v>60.442861862806282</v>
      </c>
      <c r="I158" s="198">
        <f t="shared" si="24"/>
        <v>55.162403354928152</v>
      </c>
      <c r="J158" s="198">
        <f t="shared" si="24"/>
        <v>48.13191198088132</v>
      </c>
      <c r="K158" s="198">
        <f t="shared" si="24"/>
        <v>52.255888575764992</v>
      </c>
      <c r="L158" s="198">
        <f t="shared" si="24"/>
        <v>48.282460509559954</v>
      </c>
      <c r="M158" s="198">
        <f t="shared" si="24"/>
        <v>47.72951546829556</v>
      </c>
      <c r="N158" s="198">
        <f t="shared" si="24"/>
        <v>44.29396838167451</v>
      </c>
      <c r="O158" s="263">
        <f>N158-B158</f>
        <v>5.3094167295981833</v>
      </c>
    </row>
    <row r="159" spans="1:15" s="193" customFormat="1" ht="12">
      <c r="A159" s="197" t="s">
        <v>118</v>
      </c>
      <c r="B159" s="198">
        <f>B143/B$154*100+B144/B$154*100+B145/B$154*100+B151/B$154*100+B152/B$154*100+B146/B$154*100</f>
        <v>61.015448347923694</v>
      </c>
      <c r="C159" s="198">
        <f>C143/C$154*100+C144/C$154*100+C145/C$154*100+C151/C$154*100+C152/C$154*100+C146/C$154*100</f>
        <v>60.800633684095999</v>
      </c>
      <c r="D159" s="198">
        <f>D143/D$154*100+D144/D$154*100+D145/D$154*100+D151/D$154*100+D152/D$154*100+D146/D$154*100</f>
        <v>51.570678303659108</v>
      </c>
      <c r="E159" s="198">
        <f>E143/E$154*100+E144/E$154*100+E145/E$154*100+E151/E$154*100+E152/E$154*100+E146/E$154*100</f>
        <v>57.917406322372578</v>
      </c>
      <c r="F159" s="198">
        <f t="shared" ref="F159:M159" si="25">100-F158</f>
        <v>47.899163677894705</v>
      </c>
      <c r="G159" s="198">
        <f t="shared" si="25"/>
        <v>46.568466441501208</v>
      </c>
      <c r="H159" s="198">
        <f t="shared" si="25"/>
        <v>39.557138137193718</v>
      </c>
      <c r="I159" s="198">
        <f t="shared" si="25"/>
        <v>44.837596645071848</v>
      </c>
      <c r="J159" s="198">
        <f t="shared" si="25"/>
        <v>51.86808801911868</v>
      </c>
      <c r="K159" s="198">
        <f t="shared" si="25"/>
        <v>47.744111424235008</v>
      </c>
      <c r="L159" s="198">
        <f t="shared" si="25"/>
        <v>51.717539490440046</v>
      </c>
      <c r="M159" s="198">
        <f t="shared" si="25"/>
        <v>52.27048453170444</v>
      </c>
      <c r="N159" s="198">
        <f t="shared" ref="N159" si="26">100-N158</f>
        <v>55.70603161832549</v>
      </c>
    </row>
    <row r="160" spans="1:15" s="193" customFormat="1" ht="12">
      <c r="A160" s="197"/>
      <c r="B160" s="197"/>
    </row>
    <row r="161" spans="1:19" s="193" customFormat="1" ht="12">
      <c r="A161" s="197" t="s">
        <v>84</v>
      </c>
      <c r="B161" s="197"/>
      <c r="N161" s="263"/>
    </row>
    <row r="162" spans="1:19" s="193" customFormat="1" ht="12">
      <c r="A162" s="197" t="s">
        <v>85</v>
      </c>
      <c r="B162" s="197"/>
    </row>
    <row r="164" spans="1:19" s="193" customFormat="1" ht="12">
      <c r="A164" s="197" t="s">
        <v>19</v>
      </c>
      <c r="B164" s="192">
        <f>B142+B143+B144+B147+B148+B149+B150+B153</f>
        <v>13662.130954144</v>
      </c>
      <c r="C164" s="192">
        <f t="shared" ref="C164:M164" si="27">C142+C143+C144+C147+C148+C149+C150+C153</f>
        <v>13031.69704422</v>
      </c>
      <c r="D164" s="192">
        <f t="shared" si="27"/>
        <v>14423.717952831999</v>
      </c>
      <c r="E164" s="192">
        <f t="shared" si="27"/>
        <v>12817.165428658</v>
      </c>
      <c r="F164" s="192">
        <f t="shared" si="27"/>
        <v>17446.495802445996</v>
      </c>
      <c r="G164" s="192">
        <f t="shared" si="27"/>
        <v>17961.34003159</v>
      </c>
      <c r="H164" s="192">
        <f t="shared" si="27"/>
        <v>17015.705456913998</v>
      </c>
      <c r="I164" s="192">
        <f t="shared" si="27"/>
        <v>16821.590663621999</v>
      </c>
      <c r="J164" s="192">
        <f t="shared" si="27"/>
        <v>13485.255020604</v>
      </c>
      <c r="K164" s="192">
        <f t="shared" si="27"/>
        <v>14813.764382024001</v>
      </c>
      <c r="L164" s="192">
        <f t="shared" si="27"/>
        <v>12844.669209516</v>
      </c>
      <c r="M164" s="192">
        <f t="shared" si="27"/>
        <v>15275.064506309998</v>
      </c>
      <c r="N164" s="192">
        <f>N142+N143+N144+N147+N148+N149+N150+N153</f>
        <v>14255.382506436001</v>
      </c>
    </row>
    <row r="165" spans="1:19" s="193" customFormat="1" ht="12">
      <c r="A165" s="197" t="s">
        <v>20</v>
      </c>
      <c r="B165" s="192">
        <f t="shared" ref="B165:M165" si="28">B145+B146+B151+B152</f>
        <v>7760.0941504999992</v>
      </c>
      <c r="C165" s="192">
        <f t="shared" si="28"/>
        <v>7307.4572845000002</v>
      </c>
      <c r="D165" s="192">
        <f t="shared" si="28"/>
        <v>5534.0501015</v>
      </c>
      <c r="E165" s="192">
        <f t="shared" si="28"/>
        <v>6125.1364025000003</v>
      </c>
      <c r="F165" s="192">
        <f t="shared" si="28"/>
        <v>5306.9867890000005</v>
      </c>
      <c r="G165" s="192">
        <f t="shared" si="28"/>
        <v>5322.8292550000006</v>
      </c>
      <c r="H165" s="192">
        <f t="shared" si="28"/>
        <v>3261.1258400000002</v>
      </c>
      <c r="I165" s="192">
        <f t="shared" si="28"/>
        <v>4311.7305679999999</v>
      </c>
      <c r="J165" s="192">
        <f t="shared" si="28"/>
        <v>5492.2632115000006</v>
      </c>
      <c r="K165" s="192">
        <f t="shared" si="28"/>
        <v>4709.0201729999999</v>
      </c>
      <c r="L165" s="192">
        <f t="shared" si="28"/>
        <v>5908.6826564999992</v>
      </c>
      <c r="M165" s="192">
        <f t="shared" si="28"/>
        <v>5759.8826355000001</v>
      </c>
      <c r="N165" s="192">
        <f>N145+N146+N151+N152</f>
        <v>5941.5699930000001</v>
      </c>
    </row>
    <row r="166" spans="1:19" s="193" customFormat="1" ht="12">
      <c r="A166" s="197" t="s">
        <v>113</v>
      </c>
      <c r="B166" s="198">
        <f>B142/B$154*100+B143/B$154*100+B147/B$154*100+B148/B$154*100+B149/B$154*100+B150/B$154*100+B144/B$154*100+B153/B$154*100</f>
        <v>63.775498984847594</v>
      </c>
      <c r="C166" s="198">
        <f>C142/C$154*100+C143/C$154*100+C147/C$154*100+C148/C$154*100+C149/C$154*100+C150/C$154*100+C144/C$154*100+C153/C$154*100</f>
        <v>64.071970906964054</v>
      </c>
      <c r="D166" s="198">
        <f t="shared" ref="D166:N166" si="29">D142/D$154*100+D143/D$154*100+D147/D$154*100+D148/D$154*100+D149/D$154*100+D150/D$154*100+D144/D$154*100+D153/D$154*100</f>
        <v>72.271197428317706</v>
      </c>
      <c r="E166" s="198">
        <f t="shared" si="29"/>
        <v>67.664244519508046</v>
      </c>
      <c r="F166" s="198">
        <f t="shared" si="29"/>
        <v>76.676155978886854</v>
      </c>
      <c r="G166" s="198">
        <f t="shared" si="29"/>
        <v>77.139707285732712</v>
      </c>
      <c r="H166" s="198">
        <f t="shared" si="29"/>
        <v>83.916984896469884</v>
      </c>
      <c r="I166" s="198">
        <f t="shared" si="29"/>
        <v>79.59747774264504</v>
      </c>
      <c r="J166" s="198">
        <f t="shared" si="29"/>
        <v>71.059107179732194</v>
      </c>
      <c r="K166" s="198">
        <f t="shared" si="29"/>
        <v>75.879362087268532</v>
      </c>
      <c r="L166" s="198">
        <f t="shared" si="29"/>
        <v>68.492658279358281</v>
      </c>
      <c r="M166" s="198">
        <f t="shared" si="29"/>
        <v>72.617555933613914</v>
      </c>
      <c r="N166" s="198">
        <f t="shared" si="29"/>
        <v>70.581848953866114</v>
      </c>
      <c r="O166" s="298">
        <f>N166-B166</f>
        <v>6.8063499690185196</v>
      </c>
    </row>
    <row r="167" spans="1:19" s="193" customFormat="1" ht="12">
      <c r="A167" s="197" t="s">
        <v>114</v>
      </c>
      <c r="B167" s="198">
        <f>B151/B$154*100+B152/B$154*100+B145/B$154*100+B146/B$154*100</f>
        <v>36.224501015152406</v>
      </c>
      <c r="C167" s="198">
        <f>C151/C$154*100+C152/C$154*100+C145/C$154*100+C146/C$154*100</f>
        <v>35.928029093035939</v>
      </c>
      <c r="D167" s="198">
        <f>D151/D$154*100+D152/D$154*100+D145/D$154*100+D146/D$154*100</f>
        <v>27.728802571682301</v>
      </c>
      <c r="E167" s="198">
        <f>E151/E$154*100+E152/E$154*100+E145/E$154*100+E146/E$154*100</f>
        <v>32.335755480491947</v>
      </c>
      <c r="F167" s="198">
        <f t="shared" ref="F167:N167" si="30">F151/F$154*100+F152/F$154*100+F145/F$154*100+F146/F$154*100</f>
        <v>23.32384402111316</v>
      </c>
      <c r="G167" s="198">
        <f t="shared" si="30"/>
        <v>22.860292714267313</v>
      </c>
      <c r="H167" s="198">
        <f t="shared" si="30"/>
        <v>16.083015103530119</v>
      </c>
      <c r="I167" s="198">
        <f t="shared" si="30"/>
        <v>20.40252225735496</v>
      </c>
      <c r="J167" s="198">
        <f t="shared" si="30"/>
        <v>28.940892820267809</v>
      </c>
      <c r="K167" s="198">
        <f t="shared" si="30"/>
        <v>24.120637912731453</v>
      </c>
      <c r="L167" s="198">
        <f t="shared" si="30"/>
        <v>31.507341720641712</v>
      </c>
      <c r="M167" s="198">
        <f t="shared" si="30"/>
        <v>27.382444066386078</v>
      </c>
      <c r="N167" s="198">
        <f t="shared" si="30"/>
        <v>29.418151046133911</v>
      </c>
    </row>
    <row r="168" spans="1:19" s="193" customFormat="1" ht="12">
      <c r="A168" s="197"/>
      <c r="B168" s="197"/>
    </row>
    <row r="169" spans="1:19" s="193" customFormat="1" ht="12">
      <c r="A169" s="197" t="s">
        <v>127</v>
      </c>
      <c r="B169" s="197"/>
      <c r="N169" s="263"/>
    </row>
    <row r="170" spans="1:19" s="193" customFormat="1" ht="12">
      <c r="A170" s="197" t="s">
        <v>128</v>
      </c>
      <c r="B170" s="197"/>
    </row>
    <row r="175" spans="1:19">
      <c r="A175" s="174" t="s">
        <v>105</v>
      </c>
      <c r="B175" s="343" t="s">
        <v>98</v>
      </c>
      <c r="C175" s="344"/>
      <c r="D175" s="344"/>
      <c r="E175" s="344"/>
      <c r="F175" s="344"/>
      <c r="G175" s="344"/>
      <c r="H175" s="344"/>
      <c r="I175" s="344"/>
      <c r="J175" s="344"/>
      <c r="K175" s="344"/>
      <c r="L175" s="344"/>
      <c r="M175" s="344"/>
      <c r="N175" s="344"/>
      <c r="O175" s="344"/>
      <c r="P175" s="344"/>
      <c r="Q175" s="344"/>
      <c r="R175" s="344"/>
      <c r="S175" s="344"/>
    </row>
    <row r="176" spans="1:19">
      <c r="A176" s="174" t="s">
        <v>106</v>
      </c>
      <c r="B176" s="337" t="s">
        <v>119</v>
      </c>
      <c r="C176" s="338"/>
      <c r="D176" s="338"/>
      <c r="E176" s="338"/>
      <c r="F176" s="338"/>
      <c r="G176" s="338"/>
      <c r="H176" s="338"/>
      <c r="I176" s="338"/>
      <c r="J176" s="338"/>
      <c r="K176" s="338"/>
      <c r="L176" s="338"/>
      <c r="M176" s="338"/>
      <c r="N176" s="338"/>
      <c r="O176" s="338"/>
      <c r="P176" s="338"/>
      <c r="Q176" s="338"/>
      <c r="R176" s="338"/>
      <c r="S176" s="338"/>
    </row>
    <row r="177" spans="1:23">
      <c r="A177" s="183" t="s">
        <v>30</v>
      </c>
      <c r="B177" s="335" t="s">
        <v>233</v>
      </c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</row>
    <row r="178" spans="1:23">
      <c r="A178" s="183" t="s">
        <v>107</v>
      </c>
      <c r="B178" s="317" t="s">
        <v>2</v>
      </c>
      <c r="C178" s="317" t="s">
        <v>81</v>
      </c>
      <c r="D178" s="317" t="s">
        <v>3</v>
      </c>
      <c r="E178" s="317" t="s">
        <v>4</v>
      </c>
      <c r="F178" s="317" t="s">
        <v>95</v>
      </c>
      <c r="G178" s="317" t="s">
        <v>11</v>
      </c>
      <c r="H178" s="317" t="s">
        <v>5</v>
      </c>
      <c r="I178" s="317" t="s">
        <v>6</v>
      </c>
      <c r="J178" s="317" t="s">
        <v>7</v>
      </c>
      <c r="K178" s="317" t="s">
        <v>8</v>
      </c>
      <c r="L178" s="317" t="s">
        <v>9</v>
      </c>
      <c r="M178" s="317" t="s">
        <v>69</v>
      </c>
      <c r="N178" s="317" t="s">
        <v>70</v>
      </c>
      <c r="O178" s="199" t="s">
        <v>10</v>
      </c>
      <c r="P178" s="317" t="s">
        <v>122</v>
      </c>
      <c r="Q178" s="317" t="s">
        <v>97</v>
      </c>
      <c r="R178" s="317" t="s">
        <v>123</v>
      </c>
      <c r="S178" s="199" t="s">
        <v>124</v>
      </c>
      <c r="V178" s="201" t="s">
        <v>23</v>
      </c>
      <c r="W178" s="201" t="s">
        <v>22</v>
      </c>
    </row>
    <row r="179" spans="1:23" ht="14.25">
      <c r="A179" s="174" t="s">
        <v>31</v>
      </c>
      <c r="B179" s="189"/>
      <c r="C179" s="189"/>
      <c r="D179" s="189"/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200"/>
      <c r="P179" s="189"/>
      <c r="Q179" s="189"/>
      <c r="R179" s="189"/>
      <c r="S179" s="200"/>
      <c r="V179" s="202"/>
      <c r="W179" s="202"/>
    </row>
    <row r="180" spans="1:23" ht="14.25">
      <c r="A180" s="204">
        <v>1</v>
      </c>
      <c r="B180" s="178">
        <v>59213.30573</v>
      </c>
      <c r="C180" s="178">
        <v>7539.8870079999997</v>
      </c>
      <c r="D180" s="178">
        <v>167497.56</v>
      </c>
      <c r="E180" s="178">
        <v>7570.7359999999999</v>
      </c>
      <c r="F180" s="178">
        <v>0</v>
      </c>
      <c r="G180" s="178">
        <v>49066.775000000001</v>
      </c>
      <c r="H180" s="178">
        <v>99080.188999999998</v>
      </c>
      <c r="I180" s="178">
        <v>80381.8</v>
      </c>
      <c r="J180" s="178">
        <v>23060.767</v>
      </c>
      <c r="K180" s="178">
        <v>12451.856</v>
      </c>
      <c r="L180" s="178">
        <v>64423.438999999998</v>
      </c>
      <c r="M180" s="178">
        <v>2271.1095</v>
      </c>
      <c r="N180" s="178">
        <v>6506.7595000000001</v>
      </c>
      <c r="O180" s="181">
        <v>579064.18373799999</v>
      </c>
      <c r="P180" s="178">
        <v>-12588.039000000001</v>
      </c>
      <c r="Q180" s="178">
        <v>-1228.261</v>
      </c>
      <c r="R180" s="178">
        <v>3039.2260000000001</v>
      </c>
      <c r="S180" s="181">
        <v>568287.10973799997</v>
      </c>
      <c r="V180" s="203">
        <f>IFERROR($H180/$O180*100,"")</f>
        <v>17.110398429482085</v>
      </c>
      <c r="W180" s="202">
        <f>IF($H180=0,"",$H180/1000)</f>
        <v>99.080189000000004</v>
      </c>
    </row>
    <row r="181" spans="1:23" ht="14.25">
      <c r="A181" s="204">
        <v>2</v>
      </c>
      <c r="B181" s="178">
        <v>78857.706338000004</v>
      </c>
      <c r="C181" s="178">
        <v>5163.1760299999996</v>
      </c>
      <c r="D181" s="178">
        <v>166914.473</v>
      </c>
      <c r="E181" s="178">
        <v>10154.071</v>
      </c>
      <c r="F181" s="178">
        <v>0</v>
      </c>
      <c r="G181" s="178">
        <v>93306.603000000003</v>
      </c>
      <c r="H181" s="178">
        <v>65453.987999999998</v>
      </c>
      <c r="I181" s="178">
        <v>76732.282000000007</v>
      </c>
      <c r="J181" s="178">
        <v>21756.074000000001</v>
      </c>
      <c r="K181" s="178">
        <v>12842.120999999999</v>
      </c>
      <c r="L181" s="178">
        <v>70998.274000000005</v>
      </c>
      <c r="M181" s="178">
        <v>2299.5104999999999</v>
      </c>
      <c r="N181" s="178">
        <v>6668.6814999999997</v>
      </c>
      <c r="O181" s="181">
        <v>611146.96036799997</v>
      </c>
      <c r="P181" s="178">
        <v>-1763.3720000000001</v>
      </c>
      <c r="Q181" s="178">
        <v>-1228.1769999999999</v>
      </c>
      <c r="R181" s="178">
        <v>38494.834999999999</v>
      </c>
      <c r="S181" s="181">
        <v>646650.24636800005</v>
      </c>
      <c r="V181" s="203">
        <f t="shared" ref="V181:V210" si="31">IFERROR($H181/$O181*100,"")</f>
        <v>10.710024305870245</v>
      </c>
      <c r="W181" s="202">
        <f t="shared" ref="W181:W210" si="32">IF($H181=0,"",$H181/1000)</f>
        <v>65.453987999999995</v>
      </c>
    </row>
    <row r="182" spans="1:23" ht="14.25">
      <c r="A182" s="204">
        <v>3</v>
      </c>
      <c r="B182" s="178">
        <v>77575.666515999998</v>
      </c>
      <c r="C182" s="178">
        <v>9467.8631320000004</v>
      </c>
      <c r="D182" s="178">
        <v>166703.049</v>
      </c>
      <c r="E182" s="178">
        <v>11762.407999999999</v>
      </c>
      <c r="F182" s="178">
        <v>0</v>
      </c>
      <c r="G182" s="178">
        <v>91090.956999999995</v>
      </c>
      <c r="H182" s="178">
        <v>81134.425000000003</v>
      </c>
      <c r="I182" s="178">
        <v>79371.735000000001</v>
      </c>
      <c r="J182" s="178">
        <v>25395.857</v>
      </c>
      <c r="K182" s="178">
        <v>13859.028</v>
      </c>
      <c r="L182" s="178">
        <v>69227.501000000004</v>
      </c>
      <c r="M182" s="178">
        <v>2312.9765000000002</v>
      </c>
      <c r="N182" s="178">
        <v>6550.5095000000001</v>
      </c>
      <c r="O182" s="181">
        <v>634451.97564800002</v>
      </c>
      <c r="P182" s="178">
        <v>-1602.5219999999999</v>
      </c>
      <c r="Q182" s="178">
        <v>-1228.2190000000001</v>
      </c>
      <c r="R182" s="178">
        <v>38712.703000000001</v>
      </c>
      <c r="S182" s="181">
        <v>670333.93764799996</v>
      </c>
      <c r="V182" s="203">
        <f t="shared" si="31"/>
        <v>12.788111332955191</v>
      </c>
      <c r="W182" s="202">
        <f t="shared" si="32"/>
        <v>81.134425000000007</v>
      </c>
    </row>
    <row r="183" spans="1:23" ht="14.25">
      <c r="A183" s="204">
        <v>4</v>
      </c>
      <c r="B183" s="178">
        <v>80439.859616000002</v>
      </c>
      <c r="C183" s="178">
        <v>4082.1259839999998</v>
      </c>
      <c r="D183" s="178">
        <v>166655.69699999999</v>
      </c>
      <c r="E183" s="178">
        <v>11521.619000000001</v>
      </c>
      <c r="F183" s="178">
        <v>0</v>
      </c>
      <c r="G183" s="178">
        <v>100143.78200000001</v>
      </c>
      <c r="H183" s="178">
        <v>117793.466</v>
      </c>
      <c r="I183" s="178">
        <v>81350.457999999999</v>
      </c>
      <c r="J183" s="178">
        <v>27074.912</v>
      </c>
      <c r="K183" s="178">
        <v>13549.656999999999</v>
      </c>
      <c r="L183" s="178">
        <v>67959.316000000006</v>
      </c>
      <c r="M183" s="178">
        <v>2254.5300000000002</v>
      </c>
      <c r="N183" s="178">
        <v>6575.1850000000004</v>
      </c>
      <c r="O183" s="181">
        <v>679400.60759999999</v>
      </c>
      <c r="P183" s="178">
        <v>-6718.6850000000004</v>
      </c>
      <c r="Q183" s="178">
        <v>-1229.0830000000001</v>
      </c>
      <c r="R183" s="178">
        <v>8819.0210000000006</v>
      </c>
      <c r="S183" s="181">
        <v>680271.86060000001</v>
      </c>
      <c r="V183" s="203">
        <f t="shared" si="31"/>
        <v>17.337851141480197</v>
      </c>
      <c r="W183" s="202">
        <f t="shared" si="32"/>
        <v>117.793466</v>
      </c>
    </row>
    <row r="184" spans="1:23" ht="14.25">
      <c r="A184" s="204">
        <v>5</v>
      </c>
      <c r="B184" s="178">
        <v>75018.958683999997</v>
      </c>
      <c r="C184" s="178">
        <v>3589.408332</v>
      </c>
      <c r="D184" s="178">
        <v>166473.59</v>
      </c>
      <c r="E184" s="178">
        <v>10745.701999999999</v>
      </c>
      <c r="F184" s="178">
        <v>0</v>
      </c>
      <c r="G184" s="178">
        <v>68712.467999999993</v>
      </c>
      <c r="H184" s="178">
        <v>126170.054</v>
      </c>
      <c r="I184" s="178">
        <v>84796.275999999998</v>
      </c>
      <c r="J184" s="178">
        <v>30437.214</v>
      </c>
      <c r="K184" s="178">
        <v>13715.441000000001</v>
      </c>
      <c r="L184" s="178">
        <v>67369.423999999999</v>
      </c>
      <c r="M184" s="178">
        <v>2224.174</v>
      </c>
      <c r="N184" s="178">
        <v>6459.3649999999998</v>
      </c>
      <c r="O184" s="181">
        <v>655712.07501599996</v>
      </c>
      <c r="P184" s="178">
        <v>-13316.317999999999</v>
      </c>
      <c r="Q184" s="178">
        <v>-1228.6510000000001</v>
      </c>
      <c r="R184" s="178">
        <v>48080.559000000001</v>
      </c>
      <c r="S184" s="181">
        <v>689247.66501600004</v>
      </c>
      <c r="V184" s="203">
        <f t="shared" si="31"/>
        <v>19.241685307826813</v>
      </c>
      <c r="W184" s="202">
        <f t="shared" si="32"/>
        <v>126.17005400000001</v>
      </c>
    </row>
    <row r="185" spans="1:23" ht="14.25">
      <c r="A185" s="204">
        <v>6</v>
      </c>
      <c r="B185" s="178">
        <v>57031.488477999999</v>
      </c>
      <c r="C185" s="178">
        <v>12246.619322</v>
      </c>
      <c r="D185" s="178">
        <v>166795.15100000001</v>
      </c>
      <c r="E185" s="178">
        <v>10058.165000000001</v>
      </c>
      <c r="F185" s="178">
        <v>0</v>
      </c>
      <c r="G185" s="178">
        <v>72915.702999999994</v>
      </c>
      <c r="H185" s="178">
        <v>136271.041</v>
      </c>
      <c r="I185" s="178">
        <v>87156.206000000006</v>
      </c>
      <c r="J185" s="178">
        <v>30087.911</v>
      </c>
      <c r="K185" s="178">
        <v>13194.464</v>
      </c>
      <c r="L185" s="178">
        <v>68171.475999999995</v>
      </c>
      <c r="M185" s="178">
        <v>2272.864</v>
      </c>
      <c r="N185" s="178">
        <v>6578.6629999999996</v>
      </c>
      <c r="O185" s="181">
        <v>662779.75179999997</v>
      </c>
      <c r="P185" s="178">
        <v>-6627.7790000000005</v>
      </c>
      <c r="Q185" s="178">
        <v>-1228.1769999999999</v>
      </c>
      <c r="R185" s="178">
        <v>30033.120999999999</v>
      </c>
      <c r="S185" s="181">
        <v>684956.91680000001</v>
      </c>
      <c r="V185" s="203">
        <f t="shared" si="31"/>
        <v>20.560531704523324</v>
      </c>
      <c r="W185" s="202">
        <f t="shared" si="32"/>
        <v>136.271041</v>
      </c>
    </row>
    <row r="186" spans="1:23" ht="14.25">
      <c r="A186" s="204">
        <v>7</v>
      </c>
      <c r="B186" s="178">
        <v>47605.675913999999</v>
      </c>
      <c r="C186" s="178">
        <v>6004.2051099999999</v>
      </c>
      <c r="D186" s="178">
        <v>166925.02499999999</v>
      </c>
      <c r="E186" s="178">
        <v>7860.915</v>
      </c>
      <c r="F186" s="178">
        <v>0</v>
      </c>
      <c r="G186" s="178">
        <v>48647.815999999999</v>
      </c>
      <c r="H186" s="178">
        <v>161557.674</v>
      </c>
      <c r="I186" s="178">
        <v>84459.376999999993</v>
      </c>
      <c r="J186" s="178">
        <v>29946.159</v>
      </c>
      <c r="K186" s="178">
        <v>13261.188</v>
      </c>
      <c r="L186" s="178">
        <v>58256.75</v>
      </c>
      <c r="M186" s="178">
        <v>2225.7354999999998</v>
      </c>
      <c r="N186" s="178">
        <v>6257.9594999999999</v>
      </c>
      <c r="O186" s="181">
        <v>633008.48002400005</v>
      </c>
      <c r="P186" s="178">
        <v>-20154.68</v>
      </c>
      <c r="Q186" s="178">
        <v>-2517.0479999999998</v>
      </c>
      <c r="R186" s="178">
        <v>19552.876</v>
      </c>
      <c r="S186" s="181">
        <v>629889.62802399998</v>
      </c>
      <c r="V186" s="203">
        <f t="shared" si="31"/>
        <v>25.522197426782444</v>
      </c>
      <c r="W186" s="202">
        <f t="shared" si="32"/>
        <v>161.55767399999999</v>
      </c>
    </row>
    <row r="187" spans="1:23" ht="14.25">
      <c r="A187" s="204">
        <v>8</v>
      </c>
      <c r="B187" s="178">
        <v>51487.833809999996</v>
      </c>
      <c r="C187" s="178">
        <v>4482.6687099999999</v>
      </c>
      <c r="D187" s="178">
        <v>167117.26</v>
      </c>
      <c r="E187" s="178">
        <v>8372.7289999999994</v>
      </c>
      <c r="F187" s="178">
        <v>1E-3</v>
      </c>
      <c r="G187" s="178">
        <v>60174.646999999997</v>
      </c>
      <c r="H187" s="178">
        <v>90908.063999999998</v>
      </c>
      <c r="I187" s="178">
        <v>81575.260999999999</v>
      </c>
      <c r="J187" s="178">
        <v>29647.231</v>
      </c>
      <c r="K187" s="178">
        <v>13653.834999999999</v>
      </c>
      <c r="L187" s="178">
        <v>60596.724000000002</v>
      </c>
      <c r="M187" s="178">
        <v>2239.1869999999999</v>
      </c>
      <c r="N187" s="178">
        <v>6281.5640000000003</v>
      </c>
      <c r="O187" s="181">
        <v>576537.00552000001</v>
      </c>
      <c r="P187" s="178">
        <v>-14998.882</v>
      </c>
      <c r="Q187" s="178">
        <v>-1363.348</v>
      </c>
      <c r="R187" s="178">
        <v>12220.41</v>
      </c>
      <c r="S187" s="181">
        <v>572395.18552000006</v>
      </c>
      <c r="V187" s="203">
        <f t="shared" si="31"/>
        <v>15.76794952095168</v>
      </c>
      <c r="W187" s="202">
        <f t="shared" si="32"/>
        <v>90.908063999999996</v>
      </c>
    </row>
    <row r="188" spans="1:23" ht="14.25">
      <c r="A188" s="204">
        <v>9</v>
      </c>
      <c r="B188" s="178">
        <v>67652.154295999993</v>
      </c>
      <c r="C188" s="178">
        <v>6305.9157599999999</v>
      </c>
      <c r="D188" s="178">
        <v>165686.14499999999</v>
      </c>
      <c r="E188" s="178">
        <v>11695.297</v>
      </c>
      <c r="F188" s="178">
        <v>0</v>
      </c>
      <c r="G188" s="178">
        <v>78899.493000000002</v>
      </c>
      <c r="H188" s="178">
        <v>83165.186000000002</v>
      </c>
      <c r="I188" s="178">
        <v>77786.820000000007</v>
      </c>
      <c r="J188" s="178">
        <v>26750.508000000002</v>
      </c>
      <c r="K188" s="178">
        <v>13438.366</v>
      </c>
      <c r="L188" s="178">
        <v>67720.146999999997</v>
      </c>
      <c r="M188" s="178">
        <v>2282.9189999999999</v>
      </c>
      <c r="N188" s="178">
        <v>6531.2190000000001</v>
      </c>
      <c r="O188" s="181">
        <v>607914.170056</v>
      </c>
      <c r="P188" s="178">
        <v>-2080.1039999999998</v>
      </c>
      <c r="Q188" s="178">
        <v>-1665.577</v>
      </c>
      <c r="R188" s="178">
        <v>36904.517999999996</v>
      </c>
      <c r="S188" s="181">
        <v>641073.00705599994</v>
      </c>
      <c r="V188" s="203">
        <f t="shared" si="31"/>
        <v>13.680415771907237</v>
      </c>
      <c r="W188" s="202">
        <f t="shared" si="32"/>
        <v>83.165186000000006</v>
      </c>
    </row>
    <row r="189" spans="1:23" ht="14.25">
      <c r="A189" s="204">
        <v>10</v>
      </c>
      <c r="B189" s="178">
        <v>78875.826184000005</v>
      </c>
      <c r="C189" s="178">
        <v>4510.9746400000004</v>
      </c>
      <c r="D189" s="178">
        <v>166411.34599999999</v>
      </c>
      <c r="E189" s="178">
        <v>11779.045</v>
      </c>
      <c r="F189" s="178">
        <v>0</v>
      </c>
      <c r="G189" s="178">
        <v>134183.11799999999</v>
      </c>
      <c r="H189" s="178">
        <v>63679.190999999999</v>
      </c>
      <c r="I189" s="178">
        <v>66576.214000000007</v>
      </c>
      <c r="J189" s="178">
        <v>15573.084000000001</v>
      </c>
      <c r="K189" s="178">
        <v>13622.796</v>
      </c>
      <c r="L189" s="178">
        <v>69186.804000000004</v>
      </c>
      <c r="M189" s="178">
        <v>2239.5875000000001</v>
      </c>
      <c r="N189" s="178">
        <v>6313.3975</v>
      </c>
      <c r="O189" s="181">
        <v>632951.38382400002</v>
      </c>
      <c r="P189" s="178">
        <v>-47.183</v>
      </c>
      <c r="Q189" s="178">
        <v>-1228.8230000000001</v>
      </c>
      <c r="R189" s="178">
        <v>33732.618999999999</v>
      </c>
      <c r="S189" s="181">
        <v>665407.99682400003</v>
      </c>
      <c r="V189" s="203">
        <f t="shared" si="31"/>
        <v>10.060676479649942</v>
      </c>
      <c r="W189" s="202">
        <f t="shared" si="32"/>
        <v>63.679190999999996</v>
      </c>
    </row>
    <row r="190" spans="1:23" ht="14.25">
      <c r="A190" s="204">
        <v>11</v>
      </c>
      <c r="B190" s="178">
        <v>78428.106243999995</v>
      </c>
      <c r="C190" s="178">
        <v>6791.2250679999997</v>
      </c>
      <c r="D190" s="178">
        <v>165987.20199999999</v>
      </c>
      <c r="E190" s="178">
        <v>11787.677</v>
      </c>
      <c r="F190" s="178">
        <v>0</v>
      </c>
      <c r="G190" s="178">
        <v>140337.53700000001</v>
      </c>
      <c r="H190" s="178">
        <v>70815.057000000001</v>
      </c>
      <c r="I190" s="178">
        <v>64775.250999999997</v>
      </c>
      <c r="J190" s="178">
        <v>9422.223</v>
      </c>
      <c r="K190" s="178">
        <v>13297.312</v>
      </c>
      <c r="L190" s="178">
        <v>68390.03</v>
      </c>
      <c r="M190" s="178">
        <v>2245.6149999999998</v>
      </c>
      <c r="N190" s="178">
        <v>5741.5290000000005</v>
      </c>
      <c r="O190" s="181">
        <v>638018.76431200001</v>
      </c>
      <c r="P190" s="178">
        <v>-410.12599999999998</v>
      </c>
      <c r="Q190" s="178">
        <v>-1230.337</v>
      </c>
      <c r="R190" s="178">
        <v>50762.078999999998</v>
      </c>
      <c r="S190" s="181">
        <v>687140.38031200005</v>
      </c>
      <c r="V190" s="203">
        <f t="shared" si="31"/>
        <v>11.099212274166041</v>
      </c>
      <c r="W190" s="202">
        <f t="shared" si="32"/>
        <v>70.815056999999996</v>
      </c>
    </row>
    <row r="191" spans="1:23" ht="14.25">
      <c r="A191" s="204">
        <v>12</v>
      </c>
      <c r="B191" s="178">
        <v>67413.246088</v>
      </c>
      <c r="C191" s="178">
        <v>6232.3029200000001</v>
      </c>
      <c r="D191" s="178">
        <v>165352.75099999999</v>
      </c>
      <c r="E191" s="178">
        <v>11571.576999999999</v>
      </c>
      <c r="F191" s="178">
        <v>0</v>
      </c>
      <c r="G191" s="178">
        <v>144487.655</v>
      </c>
      <c r="H191" s="178">
        <v>105121.50199999999</v>
      </c>
      <c r="I191" s="178">
        <v>72812.739000000001</v>
      </c>
      <c r="J191" s="178">
        <v>18455.428</v>
      </c>
      <c r="K191" s="178">
        <v>12817.947</v>
      </c>
      <c r="L191" s="178">
        <v>67877.127999999997</v>
      </c>
      <c r="M191" s="178">
        <v>2203.1985</v>
      </c>
      <c r="N191" s="178">
        <v>6047.4764999999998</v>
      </c>
      <c r="O191" s="181">
        <v>680392.95100799995</v>
      </c>
      <c r="P191" s="178">
        <v>-11579.691000000001</v>
      </c>
      <c r="Q191" s="178">
        <v>-1244.3320000000001</v>
      </c>
      <c r="R191" s="178">
        <v>38273.839999999997</v>
      </c>
      <c r="S191" s="181">
        <v>705842.76800799998</v>
      </c>
      <c r="V191" s="203">
        <f t="shared" si="31"/>
        <v>15.450116266528457</v>
      </c>
      <c r="W191" s="202">
        <f t="shared" si="32"/>
        <v>105.12150199999999</v>
      </c>
    </row>
    <row r="192" spans="1:23" ht="14.25">
      <c r="A192" s="204">
        <v>13</v>
      </c>
      <c r="B192" s="178">
        <v>76241.859232000003</v>
      </c>
      <c r="C192" s="178">
        <v>7065.2792799999997</v>
      </c>
      <c r="D192" s="178">
        <v>165337.81400000001</v>
      </c>
      <c r="E192" s="178">
        <v>11751.519</v>
      </c>
      <c r="F192" s="178">
        <v>0</v>
      </c>
      <c r="G192" s="178">
        <v>157290.796</v>
      </c>
      <c r="H192" s="178">
        <v>77876.881999999998</v>
      </c>
      <c r="I192" s="178">
        <v>72427.342000000004</v>
      </c>
      <c r="J192" s="178">
        <v>14111.342000000001</v>
      </c>
      <c r="K192" s="178">
        <v>12744.484</v>
      </c>
      <c r="L192" s="178">
        <v>67853.728000000003</v>
      </c>
      <c r="M192" s="178">
        <v>2246.9630000000002</v>
      </c>
      <c r="N192" s="178">
        <v>6459.8729999999996</v>
      </c>
      <c r="O192" s="181">
        <v>671407.88151199999</v>
      </c>
      <c r="P192" s="178">
        <v>-961.43</v>
      </c>
      <c r="Q192" s="178">
        <v>-1321.3589999999999</v>
      </c>
      <c r="R192" s="178">
        <v>43394.913</v>
      </c>
      <c r="S192" s="181">
        <v>712520.00551199995</v>
      </c>
      <c r="V192" s="203">
        <f t="shared" si="31"/>
        <v>11.599041974994766</v>
      </c>
      <c r="W192" s="202">
        <f t="shared" si="32"/>
        <v>77.876881999999995</v>
      </c>
    </row>
    <row r="193" spans="1:23" ht="14.25">
      <c r="A193" s="204">
        <v>14</v>
      </c>
      <c r="B193" s="178">
        <v>65920.295303999999</v>
      </c>
      <c r="C193" s="178">
        <v>2590.985752</v>
      </c>
      <c r="D193" s="178">
        <v>165092.90299999999</v>
      </c>
      <c r="E193" s="178">
        <v>11393.168</v>
      </c>
      <c r="F193" s="178">
        <v>0</v>
      </c>
      <c r="G193" s="178">
        <v>161265.76300000001</v>
      </c>
      <c r="H193" s="178">
        <v>88148.835999999996</v>
      </c>
      <c r="I193" s="178">
        <v>69799.955000000002</v>
      </c>
      <c r="J193" s="178">
        <v>14535.741</v>
      </c>
      <c r="K193" s="178">
        <v>12553.33</v>
      </c>
      <c r="L193" s="178">
        <v>65817.42</v>
      </c>
      <c r="M193" s="178">
        <v>2266.3364999999999</v>
      </c>
      <c r="N193" s="178">
        <v>6552.6234999999997</v>
      </c>
      <c r="O193" s="181">
        <v>665937.35705600004</v>
      </c>
      <c r="P193" s="178">
        <v>-2214.029</v>
      </c>
      <c r="Q193" s="178">
        <v>-1228.7370000000001</v>
      </c>
      <c r="R193" s="178">
        <v>22986.004000000001</v>
      </c>
      <c r="S193" s="181">
        <v>685480.59505600005</v>
      </c>
      <c r="V193" s="203">
        <f t="shared" si="31"/>
        <v>13.23680599473974</v>
      </c>
      <c r="W193" s="202">
        <f t="shared" si="32"/>
        <v>88.148835999999989</v>
      </c>
    </row>
    <row r="194" spans="1:23" ht="14.25">
      <c r="A194" s="204">
        <v>15</v>
      </c>
      <c r="B194" s="178">
        <v>58454.124020000003</v>
      </c>
      <c r="C194" s="178">
        <v>3488.9385000000002</v>
      </c>
      <c r="D194" s="178">
        <v>165003.53599999999</v>
      </c>
      <c r="E194" s="178">
        <v>10540.254999999999</v>
      </c>
      <c r="F194" s="178">
        <v>0</v>
      </c>
      <c r="G194" s="178">
        <v>107975.806</v>
      </c>
      <c r="H194" s="178">
        <v>133480.70499999999</v>
      </c>
      <c r="I194" s="178">
        <v>67402.039999999994</v>
      </c>
      <c r="J194" s="178">
        <v>10887.554</v>
      </c>
      <c r="K194" s="178">
        <v>12330.314</v>
      </c>
      <c r="L194" s="178">
        <v>63304.262000000002</v>
      </c>
      <c r="M194" s="178">
        <v>2206.0079999999998</v>
      </c>
      <c r="N194" s="178">
        <v>6308.5810000000001</v>
      </c>
      <c r="O194" s="181">
        <v>641382.12352000002</v>
      </c>
      <c r="P194" s="178">
        <v>-7703.0609999999997</v>
      </c>
      <c r="Q194" s="178">
        <v>-1228.694</v>
      </c>
      <c r="R194" s="178">
        <v>14272.424999999999</v>
      </c>
      <c r="S194" s="181">
        <v>646722.79351999995</v>
      </c>
      <c r="V194" s="203">
        <f t="shared" si="31"/>
        <v>20.811416487169634</v>
      </c>
      <c r="W194" s="202">
        <f t="shared" si="32"/>
        <v>133.480705</v>
      </c>
    </row>
    <row r="195" spans="1:23" ht="14.25">
      <c r="A195" s="204">
        <v>16</v>
      </c>
      <c r="B195" s="178">
        <v>46142.946351999999</v>
      </c>
      <c r="C195" s="178">
        <v>3253.812856</v>
      </c>
      <c r="D195" s="178">
        <v>165577.27900000001</v>
      </c>
      <c r="E195" s="178">
        <v>9438.5589999999993</v>
      </c>
      <c r="F195" s="178">
        <v>0</v>
      </c>
      <c r="G195" s="178">
        <v>84831.851999999999</v>
      </c>
      <c r="H195" s="178">
        <v>227307.514</v>
      </c>
      <c r="I195" s="178">
        <v>80071.774000000005</v>
      </c>
      <c r="J195" s="178">
        <v>21595.629000000001</v>
      </c>
      <c r="K195" s="178">
        <v>11749.441000000001</v>
      </c>
      <c r="L195" s="178">
        <v>64533.427000000003</v>
      </c>
      <c r="M195" s="178">
        <v>2165.8915000000002</v>
      </c>
      <c r="N195" s="178">
        <v>6442.5574999999999</v>
      </c>
      <c r="O195" s="181">
        <v>723110.68320800003</v>
      </c>
      <c r="P195" s="178">
        <v>-18355.098999999998</v>
      </c>
      <c r="Q195" s="178">
        <v>-1235.694</v>
      </c>
      <c r="R195" s="178">
        <v>-17499.314999999999</v>
      </c>
      <c r="S195" s="181">
        <v>686020.57520800002</v>
      </c>
      <c r="V195" s="203">
        <f t="shared" si="31"/>
        <v>31.43467788244747</v>
      </c>
      <c r="W195" s="202">
        <f t="shared" si="32"/>
        <v>227.307514</v>
      </c>
    </row>
    <row r="196" spans="1:23" ht="14.25">
      <c r="A196" s="204">
        <v>17</v>
      </c>
      <c r="B196" s="178">
        <v>37264.640012000003</v>
      </c>
      <c r="C196" s="178">
        <v>2865.0696619999999</v>
      </c>
      <c r="D196" s="178">
        <v>166206.329</v>
      </c>
      <c r="E196" s="178">
        <v>9484.1460000000006</v>
      </c>
      <c r="F196" s="178">
        <v>0</v>
      </c>
      <c r="G196" s="178">
        <v>79577.638000000006</v>
      </c>
      <c r="H196" s="178">
        <v>246260.17</v>
      </c>
      <c r="I196" s="178">
        <v>78243.684999999998</v>
      </c>
      <c r="J196" s="178">
        <v>26080.59</v>
      </c>
      <c r="K196" s="178">
        <v>12717.25</v>
      </c>
      <c r="L196" s="178">
        <v>65430.87</v>
      </c>
      <c r="M196" s="178">
        <v>2216.4704999999999</v>
      </c>
      <c r="N196" s="178">
        <v>6476.8975</v>
      </c>
      <c r="O196" s="181">
        <v>732823.75567400001</v>
      </c>
      <c r="P196" s="178">
        <v>-22292.621999999999</v>
      </c>
      <c r="Q196" s="178">
        <v>-1229.5139999999999</v>
      </c>
      <c r="R196" s="178">
        <v>-24847.252</v>
      </c>
      <c r="S196" s="181">
        <v>684454.36767399998</v>
      </c>
      <c r="V196" s="203">
        <f t="shared" si="31"/>
        <v>33.604283170856974</v>
      </c>
      <c r="W196" s="202">
        <f t="shared" si="32"/>
        <v>246.26017000000002</v>
      </c>
    </row>
    <row r="197" spans="1:23" ht="14.25">
      <c r="A197" s="204">
        <v>18</v>
      </c>
      <c r="B197" s="178">
        <v>47101.404957999999</v>
      </c>
      <c r="C197" s="178">
        <v>7727.3015539999997</v>
      </c>
      <c r="D197" s="178">
        <v>166265.894</v>
      </c>
      <c r="E197" s="178">
        <v>9604.9770000000008</v>
      </c>
      <c r="F197" s="178">
        <v>0</v>
      </c>
      <c r="G197" s="178">
        <v>78512.520999999993</v>
      </c>
      <c r="H197" s="178">
        <v>188531.33900000001</v>
      </c>
      <c r="I197" s="178">
        <v>79577.206000000006</v>
      </c>
      <c r="J197" s="178">
        <v>24969.896000000001</v>
      </c>
      <c r="K197" s="178">
        <v>13440.055</v>
      </c>
      <c r="L197" s="178">
        <v>68790.725000000006</v>
      </c>
      <c r="M197" s="178">
        <v>1917.5129999999999</v>
      </c>
      <c r="N197" s="178">
        <v>6130.7569999999996</v>
      </c>
      <c r="O197" s="181">
        <v>692569.58951199998</v>
      </c>
      <c r="P197" s="178">
        <v>-6189.4639999999999</v>
      </c>
      <c r="Q197" s="178">
        <v>-1228.5219999999999</v>
      </c>
      <c r="R197" s="178">
        <v>-4915.2730000000001</v>
      </c>
      <c r="S197" s="181">
        <v>680236.33051200002</v>
      </c>
      <c r="V197" s="203">
        <f t="shared" si="31"/>
        <v>27.222006547073978</v>
      </c>
      <c r="W197" s="202">
        <f t="shared" si="32"/>
        <v>188.531339</v>
      </c>
    </row>
    <row r="198" spans="1:23" ht="14.25">
      <c r="A198" s="204">
        <v>19</v>
      </c>
      <c r="B198" s="178">
        <v>63290.132268000001</v>
      </c>
      <c r="C198" s="178">
        <v>9109.8388439999999</v>
      </c>
      <c r="D198" s="178">
        <v>166229.709</v>
      </c>
      <c r="E198" s="178">
        <v>11123.133</v>
      </c>
      <c r="F198" s="178">
        <v>-1E-3</v>
      </c>
      <c r="G198" s="178">
        <v>107231.545</v>
      </c>
      <c r="H198" s="178">
        <v>100552.685</v>
      </c>
      <c r="I198" s="178">
        <v>74523.982000000004</v>
      </c>
      <c r="J198" s="178">
        <v>23828.120999999999</v>
      </c>
      <c r="K198" s="178">
        <v>13357.861999999999</v>
      </c>
      <c r="L198" s="178">
        <v>69537.485000000001</v>
      </c>
      <c r="M198" s="178">
        <v>1809.373</v>
      </c>
      <c r="N198" s="178">
        <v>6043.4390000000003</v>
      </c>
      <c r="O198" s="181">
        <v>646637.30411200004</v>
      </c>
      <c r="P198" s="178">
        <v>-872.54300000000001</v>
      </c>
      <c r="Q198" s="178">
        <v>-1228.694</v>
      </c>
      <c r="R198" s="178">
        <v>29003.686000000002</v>
      </c>
      <c r="S198" s="181">
        <v>673539.75311199995</v>
      </c>
      <c r="V198" s="203">
        <f t="shared" si="31"/>
        <v>15.550090345945133</v>
      </c>
      <c r="W198" s="202">
        <f t="shared" si="32"/>
        <v>100.552685</v>
      </c>
    </row>
    <row r="199" spans="1:23" ht="14.25">
      <c r="A199" s="204">
        <v>20</v>
      </c>
      <c r="B199" s="178">
        <v>64047.901279999998</v>
      </c>
      <c r="C199" s="178">
        <v>3454.4972320000002</v>
      </c>
      <c r="D199" s="178">
        <v>165893.522</v>
      </c>
      <c r="E199" s="178">
        <v>11708.744000000001</v>
      </c>
      <c r="F199" s="178">
        <v>0</v>
      </c>
      <c r="G199" s="178">
        <v>127982.08900000001</v>
      </c>
      <c r="H199" s="178">
        <v>70082.198000000004</v>
      </c>
      <c r="I199" s="178">
        <v>81975.339000000007</v>
      </c>
      <c r="J199" s="178">
        <v>25620.012999999999</v>
      </c>
      <c r="K199" s="178">
        <v>13619.522999999999</v>
      </c>
      <c r="L199" s="178">
        <v>69549.460999999996</v>
      </c>
      <c r="M199" s="178">
        <v>1838.4860000000001</v>
      </c>
      <c r="N199" s="178">
        <v>6083.3549999999996</v>
      </c>
      <c r="O199" s="181">
        <v>641855.12851199997</v>
      </c>
      <c r="P199" s="178">
        <v>-2408.116</v>
      </c>
      <c r="Q199" s="178">
        <v>-1228.3489999999999</v>
      </c>
      <c r="R199" s="178">
        <v>35679.701000000001</v>
      </c>
      <c r="S199" s="181">
        <v>673898.364512</v>
      </c>
      <c r="V199" s="203">
        <f t="shared" si="31"/>
        <v>10.918694092617159</v>
      </c>
      <c r="W199" s="202">
        <f t="shared" si="32"/>
        <v>70.082198000000005</v>
      </c>
    </row>
    <row r="200" spans="1:23" ht="14.25">
      <c r="A200" s="204">
        <v>21</v>
      </c>
      <c r="B200" s="178">
        <v>55828.678244000002</v>
      </c>
      <c r="C200" s="178">
        <v>979.88738000000001</v>
      </c>
      <c r="D200" s="178">
        <v>165871.29199999999</v>
      </c>
      <c r="E200" s="178">
        <v>8604.7009999999991</v>
      </c>
      <c r="F200" s="178">
        <v>0</v>
      </c>
      <c r="G200" s="178">
        <v>106536.947</v>
      </c>
      <c r="H200" s="178">
        <v>75086.460999999996</v>
      </c>
      <c r="I200" s="178">
        <v>79592.894</v>
      </c>
      <c r="J200" s="178">
        <v>25578.719000000001</v>
      </c>
      <c r="K200" s="178">
        <v>13796.934999999999</v>
      </c>
      <c r="L200" s="178">
        <v>66020.842000000004</v>
      </c>
      <c r="M200" s="178">
        <v>1994.5735</v>
      </c>
      <c r="N200" s="178">
        <v>6257.1715000000004</v>
      </c>
      <c r="O200" s="181">
        <v>606149.101624</v>
      </c>
      <c r="P200" s="178">
        <v>-5561.4309999999996</v>
      </c>
      <c r="Q200" s="178">
        <v>-1227.7439999999999</v>
      </c>
      <c r="R200" s="178">
        <v>33970.345000000001</v>
      </c>
      <c r="S200" s="181">
        <v>633330.27162400004</v>
      </c>
      <c r="V200" s="203">
        <f t="shared" si="31"/>
        <v>12.387457277232233</v>
      </c>
      <c r="W200" s="202">
        <f t="shared" si="32"/>
        <v>75.086461</v>
      </c>
    </row>
    <row r="201" spans="1:23" ht="14.25">
      <c r="A201" s="204">
        <v>22</v>
      </c>
      <c r="B201" s="178">
        <v>50490.252692000002</v>
      </c>
      <c r="C201" s="178">
        <v>1877.207948</v>
      </c>
      <c r="D201" s="178">
        <v>164704.42499999999</v>
      </c>
      <c r="E201" s="178">
        <v>7623.67</v>
      </c>
      <c r="F201" s="178">
        <v>0</v>
      </c>
      <c r="G201" s="178">
        <v>77484.240999999995</v>
      </c>
      <c r="H201" s="178">
        <v>135558.31599999999</v>
      </c>
      <c r="I201" s="178">
        <v>67445.112999999998</v>
      </c>
      <c r="J201" s="178">
        <v>15380.175999999999</v>
      </c>
      <c r="K201" s="178">
        <v>13819.344999999999</v>
      </c>
      <c r="L201" s="178">
        <v>63322.684000000001</v>
      </c>
      <c r="M201" s="178">
        <v>2199.4470000000001</v>
      </c>
      <c r="N201" s="178">
        <v>6442.7039999999997</v>
      </c>
      <c r="O201" s="181">
        <v>606347.58163999999</v>
      </c>
      <c r="P201" s="178">
        <v>-11072.022000000001</v>
      </c>
      <c r="Q201" s="178">
        <v>-1227.7439999999999</v>
      </c>
      <c r="R201" s="178">
        <v>4293.5</v>
      </c>
      <c r="S201" s="181">
        <v>598341.31564000004</v>
      </c>
      <c r="V201" s="203">
        <f t="shared" si="31"/>
        <v>22.356536103162611</v>
      </c>
      <c r="W201" s="202">
        <f t="shared" si="32"/>
        <v>135.55831599999999</v>
      </c>
    </row>
    <row r="202" spans="1:23" ht="14.25">
      <c r="A202" s="204">
        <v>23</v>
      </c>
      <c r="B202" s="178">
        <v>49037.140504000003</v>
      </c>
      <c r="C202" s="178">
        <v>1560.1623199999999</v>
      </c>
      <c r="D202" s="178">
        <v>165970.67800000001</v>
      </c>
      <c r="E202" s="178">
        <v>9333.9689999999991</v>
      </c>
      <c r="F202" s="178">
        <v>0</v>
      </c>
      <c r="G202" s="178">
        <v>79351.837</v>
      </c>
      <c r="H202" s="178">
        <v>225249.38399999999</v>
      </c>
      <c r="I202" s="178">
        <v>69536.722999999998</v>
      </c>
      <c r="J202" s="178">
        <v>15721.699000000001</v>
      </c>
      <c r="K202" s="178">
        <v>13925.281999999999</v>
      </c>
      <c r="L202" s="178">
        <v>66939.646999999997</v>
      </c>
      <c r="M202" s="178">
        <v>2211.84</v>
      </c>
      <c r="N202" s="178">
        <v>6364.5709999999999</v>
      </c>
      <c r="O202" s="181">
        <v>705202.93282400002</v>
      </c>
      <c r="P202" s="178">
        <v>-13024.198</v>
      </c>
      <c r="Q202" s="178">
        <v>-1228.521</v>
      </c>
      <c r="R202" s="178">
        <v>1454.1079999999999</v>
      </c>
      <c r="S202" s="181">
        <v>692404.32182399998</v>
      </c>
      <c r="V202" s="203">
        <f t="shared" si="31"/>
        <v>31.94107306076906</v>
      </c>
      <c r="W202" s="202">
        <f t="shared" si="32"/>
        <v>225.24938399999999</v>
      </c>
    </row>
    <row r="203" spans="1:23" ht="14.25">
      <c r="A203" s="204">
        <v>24</v>
      </c>
      <c r="B203" s="178">
        <v>51933.344429999997</v>
      </c>
      <c r="C203" s="178">
        <v>4474.0008820000003</v>
      </c>
      <c r="D203" s="178">
        <v>166279.465</v>
      </c>
      <c r="E203" s="178">
        <v>9771.4860000000008</v>
      </c>
      <c r="F203" s="178">
        <v>0</v>
      </c>
      <c r="G203" s="178">
        <v>105795.72199999999</v>
      </c>
      <c r="H203" s="178">
        <v>199964.908</v>
      </c>
      <c r="I203" s="178">
        <v>63134.720000000001</v>
      </c>
      <c r="J203" s="178">
        <v>11350.915999999999</v>
      </c>
      <c r="K203" s="178">
        <v>13820.41</v>
      </c>
      <c r="L203" s="178">
        <v>68601.017999999996</v>
      </c>
      <c r="M203" s="178">
        <v>2216.9994999999999</v>
      </c>
      <c r="N203" s="178">
        <v>6453.5505000000003</v>
      </c>
      <c r="O203" s="181">
        <v>703796.54031199997</v>
      </c>
      <c r="P203" s="178">
        <v>-9177.991</v>
      </c>
      <c r="Q203" s="178">
        <v>-1228.48</v>
      </c>
      <c r="R203" s="178">
        <v>10743.653</v>
      </c>
      <c r="S203" s="181">
        <v>704133.722312</v>
      </c>
      <c r="V203" s="203">
        <f t="shared" si="31"/>
        <v>28.412317558616241</v>
      </c>
      <c r="W203" s="202">
        <f t="shared" si="32"/>
        <v>199.96490800000001</v>
      </c>
    </row>
    <row r="204" spans="1:23" ht="14.25">
      <c r="A204" s="204">
        <v>25</v>
      </c>
      <c r="B204" s="178">
        <v>56895.710668</v>
      </c>
      <c r="C204" s="178">
        <v>3940.6369399999999</v>
      </c>
      <c r="D204" s="178">
        <v>166074.91500000001</v>
      </c>
      <c r="E204" s="178">
        <v>11236.558999999999</v>
      </c>
      <c r="F204" s="178">
        <v>0</v>
      </c>
      <c r="G204" s="178">
        <v>170250.45600000001</v>
      </c>
      <c r="H204" s="178">
        <v>84560.846999999994</v>
      </c>
      <c r="I204" s="178">
        <v>67132.519</v>
      </c>
      <c r="J204" s="178">
        <v>11217.008</v>
      </c>
      <c r="K204" s="178">
        <v>13907.049000000001</v>
      </c>
      <c r="L204" s="178">
        <v>70268.131999999998</v>
      </c>
      <c r="M204" s="178">
        <v>2217.0225</v>
      </c>
      <c r="N204" s="178">
        <v>6419.7754999999997</v>
      </c>
      <c r="O204" s="181">
        <v>664120.63060799998</v>
      </c>
      <c r="P204" s="178">
        <v>-1085.902</v>
      </c>
      <c r="Q204" s="178">
        <v>-1228.866</v>
      </c>
      <c r="R204" s="178">
        <v>29846.071</v>
      </c>
      <c r="S204" s="181">
        <v>691651.93360800005</v>
      </c>
      <c r="V204" s="203">
        <f t="shared" si="31"/>
        <v>12.732754126699069</v>
      </c>
      <c r="W204" s="202">
        <f t="shared" si="32"/>
        <v>84.560846999999995</v>
      </c>
    </row>
    <row r="205" spans="1:23" ht="14.25">
      <c r="A205" s="204">
        <v>26</v>
      </c>
      <c r="B205" s="178">
        <v>58937.461911999999</v>
      </c>
      <c r="C205" s="178">
        <v>6309.6209040000003</v>
      </c>
      <c r="D205" s="178">
        <v>166128.215</v>
      </c>
      <c r="E205" s="178">
        <v>11849.887000000001</v>
      </c>
      <c r="F205" s="178">
        <v>0</v>
      </c>
      <c r="G205" s="178">
        <v>183390.47500000001</v>
      </c>
      <c r="H205" s="178">
        <v>43339.232000000004</v>
      </c>
      <c r="I205" s="178">
        <v>74523.157000000007</v>
      </c>
      <c r="J205" s="178">
        <v>21573.96</v>
      </c>
      <c r="K205" s="178">
        <v>14158.718999999999</v>
      </c>
      <c r="L205" s="178">
        <v>71471.944000000003</v>
      </c>
      <c r="M205" s="178">
        <v>2220.35</v>
      </c>
      <c r="N205" s="178">
        <v>6490.4359999999997</v>
      </c>
      <c r="O205" s="181">
        <v>660393.45781599998</v>
      </c>
      <c r="P205" s="178">
        <v>-55.326000000000001</v>
      </c>
      <c r="Q205" s="178">
        <v>-1240.9639999999999</v>
      </c>
      <c r="R205" s="178">
        <v>40154.423000000003</v>
      </c>
      <c r="S205" s="181">
        <v>699251.59081600001</v>
      </c>
      <c r="V205" s="203">
        <f t="shared" si="31"/>
        <v>6.5626379981606755</v>
      </c>
      <c r="W205" s="202">
        <f t="shared" si="32"/>
        <v>43.339232000000003</v>
      </c>
    </row>
    <row r="206" spans="1:23" ht="14.25">
      <c r="A206" s="204">
        <v>27</v>
      </c>
      <c r="B206" s="178">
        <v>60845.799784000003</v>
      </c>
      <c r="C206" s="178">
        <v>3573.5547280000001</v>
      </c>
      <c r="D206" s="178">
        <v>166080.87899999999</v>
      </c>
      <c r="E206" s="178">
        <v>11807.671</v>
      </c>
      <c r="F206" s="178">
        <v>0</v>
      </c>
      <c r="G206" s="178">
        <v>151231.13399999999</v>
      </c>
      <c r="H206" s="178">
        <v>80722.676000000007</v>
      </c>
      <c r="I206" s="178">
        <v>77676.175000000003</v>
      </c>
      <c r="J206" s="178">
        <v>22791.376</v>
      </c>
      <c r="K206" s="178">
        <v>14072.339</v>
      </c>
      <c r="L206" s="178">
        <v>72496.491999999998</v>
      </c>
      <c r="M206" s="178">
        <v>2256.3035</v>
      </c>
      <c r="N206" s="178">
        <v>6565.4395000000004</v>
      </c>
      <c r="O206" s="181">
        <v>670119.83951199998</v>
      </c>
      <c r="P206" s="178">
        <v>-57.128999999999998</v>
      </c>
      <c r="Q206" s="178">
        <v>-1231.6310000000001</v>
      </c>
      <c r="R206" s="178">
        <v>35151.478999999999</v>
      </c>
      <c r="S206" s="181">
        <v>703982.55851200002</v>
      </c>
      <c r="V206" s="203">
        <f t="shared" si="31"/>
        <v>12.04600598883694</v>
      </c>
      <c r="W206" s="202">
        <f t="shared" si="32"/>
        <v>80.722676000000007</v>
      </c>
    </row>
    <row r="207" spans="1:23" ht="14.25">
      <c r="A207" s="204">
        <v>28</v>
      </c>
      <c r="B207" s="178">
        <v>45507.743044000003</v>
      </c>
      <c r="C207" s="178">
        <v>2382.413364</v>
      </c>
      <c r="D207" s="178">
        <v>166087.56599999999</v>
      </c>
      <c r="E207" s="178">
        <v>8614.6550000000007</v>
      </c>
      <c r="F207" s="178">
        <v>0</v>
      </c>
      <c r="G207" s="178">
        <v>77806.057000000001</v>
      </c>
      <c r="H207" s="178">
        <v>162176.878</v>
      </c>
      <c r="I207" s="178">
        <v>79613.569000000003</v>
      </c>
      <c r="J207" s="178">
        <v>22928.221000000001</v>
      </c>
      <c r="K207" s="178">
        <v>13810.72</v>
      </c>
      <c r="L207" s="178">
        <v>68546.731</v>
      </c>
      <c r="M207" s="178">
        <v>2211.797</v>
      </c>
      <c r="N207" s="178">
        <v>6515.5969999999998</v>
      </c>
      <c r="O207" s="181">
        <v>656201.94740800001</v>
      </c>
      <c r="P207" s="178">
        <v>-10629.540999999999</v>
      </c>
      <c r="Q207" s="178">
        <v>-1260.577</v>
      </c>
      <c r="R207" s="178">
        <v>-10652.985000000001</v>
      </c>
      <c r="S207" s="181">
        <v>633658.844408</v>
      </c>
      <c r="V207" s="203">
        <f t="shared" si="31"/>
        <v>24.71447679187775</v>
      </c>
      <c r="W207" s="202">
        <f t="shared" si="32"/>
        <v>162.17687799999999</v>
      </c>
    </row>
    <row r="208" spans="1:23" ht="14.25">
      <c r="A208" s="204">
        <v>29</v>
      </c>
      <c r="B208" s="178">
        <v>48811.539003999998</v>
      </c>
      <c r="C208" s="178">
        <v>3906.4000120000001</v>
      </c>
      <c r="D208" s="178">
        <v>166270.481</v>
      </c>
      <c r="E208" s="178">
        <v>7913.3040000000001</v>
      </c>
      <c r="F208" s="178">
        <v>0</v>
      </c>
      <c r="G208" s="178">
        <v>74618.017999999996</v>
      </c>
      <c r="H208" s="178">
        <v>106964.74099999999</v>
      </c>
      <c r="I208" s="178">
        <v>74515.61</v>
      </c>
      <c r="J208" s="178">
        <v>23178.505000000001</v>
      </c>
      <c r="K208" s="178">
        <v>12364.471</v>
      </c>
      <c r="L208" s="178">
        <v>68145.279999999999</v>
      </c>
      <c r="M208" s="178">
        <v>2327.4780000000001</v>
      </c>
      <c r="N208" s="178">
        <v>6512.4859999999999</v>
      </c>
      <c r="O208" s="181">
        <v>595528.31301599997</v>
      </c>
      <c r="P208" s="178">
        <v>-12464.894</v>
      </c>
      <c r="Q208" s="178">
        <v>-1227.7429999999999</v>
      </c>
      <c r="R208" s="178">
        <v>1442.566</v>
      </c>
      <c r="S208" s="181">
        <v>583278.24201599997</v>
      </c>
      <c r="V208" s="203">
        <f t="shared" si="31"/>
        <v>17.961319161852543</v>
      </c>
      <c r="W208" s="202">
        <f t="shared" si="32"/>
        <v>106.96474099999999</v>
      </c>
    </row>
    <row r="209" spans="1:23" ht="14.25">
      <c r="A209" s="204">
        <v>30</v>
      </c>
      <c r="B209" s="178">
        <v>59863.1198</v>
      </c>
      <c r="C209" s="178">
        <v>6147.0402320000003</v>
      </c>
      <c r="D209" s="178">
        <v>166313.40100000001</v>
      </c>
      <c r="E209" s="178">
        <v>11784.034</v>
      </c>
      <c r="F209" s="178">
        <v>0</v>
      </c>
      <c r="G209" s="178">
        <v>148100.13699999999</v>
      </c>
      <c r="H209" s="178">
        <v>70593.452999999994</v>
      </c>
      <c r="I209" s="178">
        <v>71063.017999999996</v>
      </c>
      <c r="J209" s="178">
        <v>24873.481</v>
      </c>
      <c r="K209" s="178">
        <v>11866.324000000001</v>
      </c>
      <c r="L209" s="178">
        <v>73217.198999999993</v>
      </c>
      <c r="M209" s="178">
        <v>2208.8955000000001</v>
      </c>
      <c r="N209" s="178">
        <v>6674.9665000000005</v>
      </c>
      <c r="O209" s="181">
        <v>652705.06903200003</v>
      </c>
      <c r="P209" s="178">
        <v>-689.79600000000005</v>
      </c>
      <c r="Q209" s="178">
        <v>-1227.8309999999999</v>
      </c>
      <c r="R209" s="178">
        <v>25491.271000000001</v>
      </c>
      <c r="S209" s="181">
        <v>676278.713032</v>
      </c>
      <c r="V209" s="203">
        <f t="shared" si="31"/>
        <v>10.815520876020503</v>
      </c>
      <c r="W209" s="202">
        <f t="shared" si="32"/>
        <v>70.593452999999997</v>
      </c>
    </row>
    <row r="210" spans="1:23" ht="14.25">
      <c r="A210" s="204">
        <v>31</v>
      </c>
      <c r="B210" s="178">
        <v>63590.012755999996</v>
      </c>
      <c r="C210" s="178">
        <v>7963.7178679999997</v>
      </c>
      <c r="D210" s="178">
        <v>166356.462</v>
      </c>
      <c r="E210" s="178">
        <v>11880.054</v>
      </c>
      <c r="F210" s="178">
        <v>0</v>
      </c>
      <c r="G210" s="178">
        <v>163999.22700000001</v>
      </c>
      <c r="H210" s="178">
        <v>79501.626999999993</v>
      </c>
      <c r="I210" s="178">
        <v>64209.093000000001</v>
      </c>
      <c r="J210" s="178">
        <v>17491.326000000001</v>
      </c>
      <c r="K210" s="178">
        <v>11851.609</v>
      </c>
      <c r="L210" s="178">
        <v>73602.263000000006</v>
      </c>
      <c r="M210" s="178">
        <v>2146.529</v>
      </c>
      <c r="N210" s="178">
        <v>6693.0330000000004</v>
      </c>
      <c r="O210" s="181">
        <v>669284.95362399996</v>
      </c>
      <c r="P210" s="178">
        <v>-49.021999999999998</v>
      </c>
      <c r="Q210" s="178">
        <v>-1227.614</v>
      </c>
      <c r="R210" s="178">
        <v>32842.267</v>
      </c>
      <c r="S210" s="181">
        <v>700850.58462400001</v>
      </c>
      <c r="V210" s="203">
        <f t="shared" si="31"/>
        <v>11.878591707391573</v>
      </c>
      <c r="W210" s="202">
        <f t="shared" si="32"/>
        <v>79.501626999999999</v>
      </c>
    </row>
    <row r="211" spans="1:23">
      <c r="H211">
        <f>MAX(H180:H210)</f>
        <v>246260.17</v>
      </c>
      <c r="I211">
        <f>MAX(I180:I210)</f>
        <v>87156.206000000006</v>
      </c>
    </row>
    <row r="215" spans="1:23">
      <c r="A215" s="174" t="s">
        <v>31</v>
      </c>
      <c r="B215" s="343" t="s">
        <v>238</v>
      </c>
      <c r="C215" s="344"/>
      <c r="D215" s="344"/>
      <c r="E215" s="344"/>
      <c r="F215" s="344"/>
      <c r="G215" s="344"/>
      <c r="H215" s="344"/>
      <c r="I215" s="344"/>
      <c r="J215" s="344"/>
      <c r="K215" s="344"/>
      <c r="L215" s="344"/>
      <c r="M215" s="344"/>
      <c r="N215" s="344"/>
      <c r="O215" s="344"/>
      <c r="P215" s="344"/>
      <c r="Q215" s="344"/>
      <c r="R215" s="344"/>
      <c r="S215" s="344"/>
    </row>
    <row r="216" spans="1:23">
      <c r="A216" s="174" t="s">
        <v>105</v>
      </c>
      <c r="B216" s="335" t="s">
        <v>98</v>
      </c>
      <c r="C216" s="336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</row>
    <row r="217" spans="1:23">
      <c r="A217" s="174" t="s">
        <v>106</v>
      </c>
      <c r="B217" s="337" t="s">
        <v>121</v>
      </c>
      <c r="C217" s="338"/>
      <c r="D217" s="338"/>
      <c r="E217" s="338"/>
      <c r="F217" s="338"/>
      <c r="G217" s="338"/>
      <c r="H217" s="338"/>
      <c r="I217" s="338"/>
      <c r="J217" s="338"/>
      <c r="K217" s="338"/>
      <c r="L217" s="338"/>
      <c r="M217" s="338"/>
      <c r="N217" s="338"/>
      <c r="O217" s="338"/>
      <c r="P217" s="338"/>
      <c r="Q217" s="338"/>
      <c r="R217" s="338"/>
      <c r="S217" s="338"/>
    </row>
    <row r="218" spans="1:23">
      <c r="A218" s="183" t="s">
        <v>107</v>
      </c>
      <c r="B218" s="317" t="s">
        <v>2</v>
      </c>
      <c r="C218" s="317" t="s">
        <v>81</v>
      </c>
      <c r="D218" s="317" t="s">
        <v>3</v>
      </c>
      <c r="E218" s="317" t="s">
        <v>4</v>
      </c>
      <c r="F218" s="317" t="s">
        <v>95</v>
      </c>
      <c r="G218" s="317" t="s">
        <v>11</v>
      </c>
      <c r="H218" s="317" t="s">
        <v>5</v>
      </c>
      <c r="I218" s="317" t="s">
        <v>6</v>
      </c>
      <c r="J218" s="317" t="s">
        <v>7</v>
      </c>
      <c r="K218" s="317" t="s">
        <v>8</v>
      </c>
      <c r="L218" s="317" t="s">
        <v>9</v>
      </c>
      <c r="M218" s="317" t="s">
        <v>69</v>
      </c>
      <c r="N218" s="317" t="s">
        <v>70</v>
      </c>
      <c r="O218" s="199" t="s">
        <v>10</v>
      </c>
      <c r="P218" s="317" t="s">
        <v>122</v>
      </c>
      <c r="Q218" s="317" t="s">
        <v>97</v>
      </c>
      <c r="R218" s="317" t="s">
        <v>123</v>
      </c>
      <c r="S218" s="199" t="s">
        <v>124</v>
      </c>
      <c r="V218" s="201" t="s">
        <v>125</v>
      </c>
    </row>
    <row r="219" spans="1:23" ht="14.25">
      <c r="A219" s="183" t="s">
        <v>120</v>
      </c>
      <c r="B219" s="189"/>
      <c r="C219" s="189"/>
      <c r="D219" s="189"/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200"/>
      <c r="P219" s="189"/>
      <c r="Q219" s="189"/>
      <c r="R219" s="189"/>
      <c r="S219" s="200"/>
      <c r="V219" s="202"/>
    </row>
    <row r="220" spans="1:23" ht="14.25">
      <c r="A220" s="204">
        <v>1</v>
      </c>
      <c r="B220" s="178">
        <v>1.2135083360000001</v>
      </c>
      <c r="C220" s="178">
        <v>0.395290064</v>
      </c>
      <c r="D220" s="178">
        <v>6.915864</v>
      </c>
      <c r="E220" s="178">
        <v>0.31120199999999998</v>
      </c>
      <c r="F220" s="178">
        <v>0</v>
      </c>
      <c r="G220" s="178">
        <v>3.6671040000000001</v>
      </c>
      <c r="H220" s="178">
        <v>12.016024</v>
      </c>
      <c r="I220" s="178">
        <v>2.81E-4</v>
      </c>
      <c r="J220" s="178">
        <v>0.55070699999999995</v>
      </c>
      <c r="K220" s="178">
        <v>0.52088299999999998</v>
      </c>
      <c r="L220" s="178">
        <v>2.7340200000000001</v>
      </c>
      <c r="M220" s="178">
        <v>9.1413999999999995E-2</v>
      </c>
      <c r="N220" s="178">
        <v>0.27394800000000002</v>
      </c>
      <c r="O220" s="181">
        <v>28.690245399999998</v>
      </c>
      <c r="P220" s="178">
        <v>-0.24526700000000001</v>
      </c>
      <c r="Q220" s="178">
        <v>-5.1192000000000001E-2</v>
      </c>
      <c r="R220" s="178">
        <v>-0.64223300000000005</v>
      </c>
      <c r="S220" s="181">
        <v>27.751553399999999</v>
      </c>
      <c r="V220" s="203">
        <f t="shared" ref="V220:V243" si="33">IFERROR(H220/O220*100,"")</f>
        <v>41.881914331761003</v>
      </c>
    </row>
    <row r="221" spans="1:23" ht="14.25">
      <c r="A221" s="204">
        <v>2</v>
      </c>
      <c r="B221" s="178">
        <v>1.097094604</v>
      </c>
      <c r="C221" s="178">
        <v>-1.542404E-3</v>
      </c>
      <c r="D221" s="178">
        <v>6.9212809999999996</v>
      </c>
      <c r="E221" s="178">
        <v>0.31859999999999999</v>
      </c>
      <c r="F221" s="178">
        <v>0</v>
      </c>
      <c r="G221" s="178">
        <v>4.0458170000000004</v>
      </c>
      <c r="H221" s="178">
        <v>11.704402</v>
      </c>
      <c r="I221" s="178">
        <v>3.6999999999999999E-4</v>
      </c>
      <c r="J221" s="178">
        <v>0.530389</v>
      </c>
      <c r="K221" s="178">
        <v>0.52600400000000003</v>
      </c>
      <c r="L221" s="178">
        <v>2.7152949999999998</v>
      </c>
      <c r="M221" s="178">
        <v>9.17105E-2</v>
      </c>
      <c r="N221" s="178">
        <v>0.2707175</v>
      </c>
      <c r="O221" s="181">
        <v>28.220138200000001</v>
      </c>
      <c r="P221" s="178">
        <v>-1.3713960000000001</v>
      </c>
      <c r="Q221" s="178">
        <v>-5.1235000000000003E-2</v>
      </c>
      <c r="R221" s="178">
        <v>-0.60064200000000001</v>
      </c>
      <c r="S221" s="181">
        <v>26.196865200000001</v>
      </c>
      <c r="V221" s="203">
        <f t="shared" si="33"/>
        <v>41.475353228426073</v>
      </c>
    </row>
    <row r="222" spans="1:23" ht="14.25">
      <c r="A222" s="204">
        <v>3</v>
      </c>
      <c r="B222" s="178">
        <v>1.059499604</v>
      </c>
      <c r="C222" s="178">
        <v>-3.154404E-3</v>
      </c>
      <c r="D222" s="178">
        <v>6.9233690000000001</v>
      </c>
      <c r="E222" s="178">
        <v>0.31554700000000002</v>
      </c>
      <c r="F222" s="178">
        <v>0</v>
      </c>
      <c r="G222" s="178">
        <v>3.724504</v>
      </c>
      <c r="H222" s="178">
        <v>11.523942999999999</v>
      </c>
      <c r="I222" s="178">
        <v>4.3899999999999999E-4</v>
      </c>
      <c r="J222" s="178">
        <v>0.49335699999999999</v>
      </c>
      <c r="K222" s="178">
        <v>0.52677200000000002</v>
      </c>
      <c r="L222" s="178">
        <v>2.7040999999999999</v>
      </c>
      <c r="M222" s="178">
        <v>9.2553499999999997E-2</v>
      </c>
      <c r="N222" s="178">
        <v>0.26996049999999999</v>
      </c>
      <c r="O222" s="181">
        <v>27.6308902</v>
      </c>
      <c r="P222" s="178">
        <v>-1.9225220000000001</v>
      </c>
      <c r="Q222" s="178">
        <v>-5.1147999999999999E-2</v>
      </c>
      <c r="R222" s="178">
        <v>-0.69075699999999995</v>
      </c>
      <c r="S222" s="181">
        <v>24.9664632</v>
      </c>
      <c r="V222" s="203">
        <f t="shared" si="33"/>
        <v>41.706738062315488</v>
      </c>
    </row>
    <row r="223" spans="1:23" ht="14.25">
      <c r="A223" s="204">
        <v>4</v>
      </c>
      <c r="B223" s="178">
        <v>0.90619064800000004</v>
      </c>
      <c r="C223" s="178">
        <v>-3.1352480000000002E-3</v>
      </c>
      <c r="D223" s="178">
        <v>6.9261559999999998</v>
      </c>
      <c r="E223" s="178">
        <v>0.30972100000000002</v>
      </c>
      <c r="F223" s="178">
        <v>0</v>
      </c>
      <c r="G223" s="178">
        <v>3.4108839999999998</v>
      </c>
      <c r="H223" s="178">
        <v>11.366712</v>
      </c>
      <c r="I223" s="178">
        <v>4.8099999999999998E-4</v>
      </c>
      <c r="J223" s="178">
        <v>0.45427800000000002</v>
      </c>
      <c r="K223" s="178">
        <v>0.52590400000000004</v>
      </c>
      <c r="L223" s="178">
        <v>2.6943049999999999</v>
      </c>
      <c r="M223" s="178">
        <v>9.1750499999999999E-2</v>
      </c>
      <c r="N223" s="178">
        <v>0.26956550000000001</v>
      </c>
      <c r="O223" s="181">
        <v>26.952812399999999</v>
      </c>
      <c r="P223" s="178">
        <v>-1.92445</v>
      </c>
      <c r="Q223" s="178">
        <v>-5.1192000000000001E-2</v>
      </c>
      <c r="R223" s="178">
        <v>-0.80292799999999998</v>
      </c>
      <c r="S223" s="181">
        <v>24.174242400000001</v>
      </c>
      <c r="V223" s="203">
        <f t="shared" si="33"/>
        <v>42.172637984153369</v>
      </c>
    </row>
    <row r="224" spans="1:23" ht="14.25">
      <c r="A224" s="204">
        <v>5</v>
      </c>
      <c r="B224" s="178">
        <v>0.92103807199999999</v>
      </c>
      <c r="C224" s="178">
        <v>-3.1348719999999999E-3</v>
      </c>
      <c r="D224" s="178">
        <v>6.929246</v>
      </c>
      <c r="E224" s="178">
        <v>0.29971900000000001</v>
      </c>
      <c r="F224" s="178">
        <v>0</v>
      </c>
      <c r="G224" s="178">
        <v>3.0165820000000001</v>
      </c>
      <c r="H224" s="178">
        <v>11.273562999999999</v>
      </c>
      <c r="I224" s="178">
        <v>5.22E-4</v>
      </c>
      <c r="J224" s="178">
        <v>0.37851699999999999</v>
      </c>
      <c r="K224" s="178">
        <v>0.53104499999999999</v>
      </c>
      <c r="L224" s="178">
        <v>2.7008589999999999</v>
      </c>
      <c r="M224" s="178">
        <v>9.2437000000000005E-2</v>
      </c>
      <c r="N224" s="178">
        <v>0.27030700000000002</v>
      </c>
      <c r="O224" s="181">
        <v>26.410700200000001</v>
      </c>
      <c r="P224" s="178">
        <v>-1.972281</v>
      </c>
      <c r="Q224" s="178">
        <v>-5.1235000000000003E-2</v>
      </c>
      <c r="R224" s="178">
        <v>-0.53484699999999996</v>
      </c>
      <c r="S224" s="181">
        <v>23.852337200000001</v>
      </c>
      <c r="V224" s="203">
        <f t="shared" si="33"/>
        <v>42.685589229474495</v>
      </c>
    </row>
    <row r="225" spans="1:22" ht="14.25">
      <c r="A225" s="204">
        <v>6</v>
      </c>
      <c r="B225" s="178">
        <v>0.98236691600000003</v>
      </c>
      <c r="C225" s="178">
        <v>-3.2047159999999998E-3</v>
      </c>
      <c r="D225" s="178">
        <v>6.9257590000000002</v>
      </c>
      <c r="E225" s="178">
        <v>0.31364799999999998</v>
      </c>
      <c r="F225" s="178">
        <v>0</v>
      </c>
      <c r="G225" s="178">
        <v>2.9136489999999999</v>
      </c>
      <c r="H225" s="178">
        <v>11.256837000000001</v>
      </c>
      <c r="I225" s="178">
        <v>5.6999999999999998E-4</v>
      </c>
      <c r="J225" s="178">
        <v>0.33526499999999998</v>
      </c>
      <c r="K225" s="178">
        <v>0.53078000000000003</v>
      </c>
      <c r="L225" s="178">
        <v>2.7007940000000001</v>
      </c>
      <c r="M225" s="178">
        <v>9.2759499999999995E-2</v>
      </c>
      <c r="N225" s="178">
        <v>0.27134849999999999</v>
      </c>
      <c r="O225" s="181">
        <v>26.320572200000001</v>
      </c>
      <c r="P225" s="178">
        <v>-1.965022</v>
      </c>
      <c r="Q225" s="178">
        <v>-5.1235000000000003E-2</v>
      </c>
      <c r="R225" s="178">
        <v>-0.386046</v>
      </c>
      <c r="S225" s="181">
        <v>23.918269200000001</v>
      </c>
      <c r="V225" s="203">
        <f t="shared" si="33"/>
        <v>42.768207751957618</v>
      </c>
    </row>
    <row r="226" spans="1:22" ht="14.25">
      <c r="A226" s="204">
        <v>7</v>
      </c>
      <c r="B226" s="178">
        <v>1.2247016479999999</v>
      </c>
      <c r="C226" s="178">
        <v>-3.137248E-3</v>
      </c>
      <c r="D226" s="178">
        <v>6.9300639999999998</v>
      </c>
      <c r="E226" s="178">
        <v>0.320853</v>
      </c>
      <c r="F226" s="178">
        <v>0</v>
      </c>
      <c r="G226" s="178">
        <v>3.1886670000000001</v>
      </c>
      <c r="H226" s="178">
        <v>11.545140999999999</v>
      </c>
      <c r="I226" s="178">
        <v>8.0400000000000003E-4</v>
      </c>
      <c r="J226" s="178">
        <v>0.21015500000000001</v>
      </c>
      <c r="K226" s="178">
        <v>0.52976000000000001</v>
      </c>
      <c r="L226" s="178">
        <v>2.6978149999999999</v>
      </c>
      <c r="M226" s="178">
        <v>9.1300999999999993E-2</v>
      </c>
      <c r="N226" s="178">
        <v>0.27055600000000002</v>
      </c>
      <c r="O226" s="181">
        <v>27.0066804</v>
      </c>
      <c r="P226" s="178">
        <v>-1.9144890000000001</v>
      </c>
      <c r="Q226" s="178">
        <v>-5.1235999999999997E-2</v>
      </c>
      <c r="R226" s="178">
        <v>0.182173</v>
      </c>
      <c r="S226" s="181">
        <v>25.2231284</v>
      </c>
      <c r="V226" s="203">
        <f t="shared" si="33"/>
        <v>42.749204378335961</v>
      </c>
    </row>
    <row r="227" spans="1:22" ht="14.25">
      <c r="A227" s="204">
        <v>8</v>
      </c>
      <c r="B227" s="178">
        <v>1.299815108</v>
      </c>
      <c r="C227" s="178">
        <v>-3.099404E-3</v>
      </c>
      <c r="D227" s="178">
        <v>6.932779</v>
      </c>
      <c r="E227" s="178">
        <v>0.37710500000000002</v>
      </c>
      <c r="F227" s="178">
        <v>0</v>
      </c>
      <c r="G227" s="178">
        <v>3.3010820000000001</v>
      </c>
      <c r="H227" s="178">
        <v>11.441618</v>
      </c>
      <c r="I227" s="178">
        <v>8.4842000000000001E-2</v>
      </c>
      <c r="J227" s="178">
        <v>9.7722000000000003E-2</v>
      </c>
      <c r="K227" s="178">
        <v>0.534636</v>
      </c>
      <c r="L227" s="178">
        <v>2.7233360000000002</v>
      </c>
      <c r="M227" s="178">
        <v>9.2189499999999994E-2</v>
      </c>
      <c r="N227" s="178">
        <v>0.27530949999999998</v>
      </c>
      <c r="O227" s="181">
        <v>27.157334704</v>
      </c>
      <c r="P227" s="178">
        <v>-1.6548579999999999</v>
      </c>
      <c r="Q227" s="178">
        <v>-5.1191E-2</v>
      </c>
      <c r="R227" s="178">
        <v>1.015838</v>
      </c>
      <c r="S227" s="181">
        <v>26.467123703999999</v>
      </c>
      <c r="V227" s="203">
        <f t="shared" si="33"/>
        <v>42.130857555453574</v>
      </c>
    </row>
    <row r="228" spans="1:22" ht="14.25">
      <c r="A228" s="204">
        <v>9</v>
      </c>
      <c r="B228" s="178">
        <v>1.3731279160000001</v>
      </c>
      <c r="C228" s="178">
        <v>-3.0447159999999998E-3</v>
      </c>
      <c r="D228" s="178">
        <v>6.9380920000000001</v>
      </c>
      <c r="E228" s="178">
        <v>0.43318400000000001</v>
      </c>
      <c r="F228" s="178">
        <v>0</v>
      </c>
      <c r="G228" s="178">
        <v>3.0168349999999999</v>
      </c>
      <c r="H228" s="178">
        <v>11.291401</v>
      </c>
      <c r="I228" s="178">
        <v>1.487889</v>
      </c>
      <c r="J228" s="178">
        <v>8.9290999999999995E-2</v>
      </c>
      <c r="K228" s="178">
        <v>0.53612199999999999</v>
      </c>
      <c r="L228" s="178">
        <v>2.7356050000000001</v>
      </c>
      <c r="M228" s="178">
        <v>9.2159000000000005E-2</v>
      </c>
      <c r="N228" s="178">
        <v>0.270422</v>
      </c>
      <c r="O228" s="181">
        <v>28.261083200000002</v>
      </c>
      <c r="P228" s="178">
        <v>-1.5437860000000001</v>
      </c>
      <c r="Q228" s="178">
        <v>-5.1192000000000001E-2</v>
      </c>
      <c r="R228" s="178">
        <v>0.54550699999999996</v>
      </c>
      <c r="S228" s="181">
        <v>27.211612200000001</v>
      </c>
      <c r="V228" s="203">
        <f t="shared" si="33"/>
        <v>39.953886127054041</v>
      </c>
    </row>
    <row r="229" spans="1:22" ht="14.25">
      <c r="A229" s="204">
        <v>10</v>
      </c>
      <c r="B229" s="178">
        <v>1.471671116</v>
      </c>
      <c r="C229" s="178">
        <v>-3.0437160000000001E-3</v>
      </c>
      <c r="D229" s="178">
        <v>6.9363039999999998</v>
      </c>
      <c r="E229" s="178">
        <v>0.45962599999999998</v>
      </c>
      <c r="F229" s="178">
        <v>0</v>
      </c>
      <c r="G229" s="178">
        <v>2.7529590000000002</v>
      </c>
      <c r="H229" s="178">
        <v>11.038137000000001</v>
      </c>
      <c r="I229" s="178">
        <v>4.2667520000000003</v>
      </c>
      <c r="J229" s="178">
        <v>0.3821</v>
      </c>
      <c r="K229" s="178">
        <v>0.51850399999999996</v>
      </c>
      <c r="L229" s="178">
        <v>2.7247599999999998</v>
      </c>
      <c r="M229" s="178">
        <v>9.20575E-2</v>
      </c>
      <c r="N229" s="178">
        <v>0.26886149999999998</v>
      </c>
      <c r="O229" s="181">
        <v>30.908688399999999</v>
      </c>
      <c r="P229" s="178">
        <v>-1.4421649999999999</v>
      </c>
      <c r="Q229" s="178">
        <v>-5.1235999999999997E-2</v>
      </c>
      <c r="R229" s="178">
        <v>-0.92012700000000003</v>
      </c>
      <c r="S229" s="181">
        <v>28.4951604</v>
      </c>
      <c r="V229" s="203">
        <f t="shared" si="33"/>
        <v>35.712084761254381</v>
      </c>
    </row>
    <row r="230" spans="1:22" ht="14.25">
      <c r="A230" s="204">
        <v>11</v>
      </c>
      <c r="B230" s="178">
        <v>1.078840912</v>
      </c>
      <c r="C230" s="178">
        <v>0.13227108800000001</v>
      </c>
      <c r="D230" s="178">
        <v>6.9328919999999998</v>
      </c>
      <c r="E230" s="178">
        <v>0.48930600000000002</v>
      </c>
      <c r="F230" s="178">
        <v>0</v>
      </c>
      <c r="G230" s="178">
        <v>2.1429749999999999</v>
      </c>
      <c r="H230" s="178">
        <v>10.580558999999999</v>
      </c>
      <c r="I230" s="178">
        <v>6.2308209999999997</v>
      </c>
      <c r="J230" s="178">
        <v>1.6267210000000001</v>
      </c>
      <c r="K230" s="178">
        <v>0.52848700000000004</v>
      </c>
      <c r="L230" s="178">
        <v>2.6881270000000002</v>
      </c>
      <c r="M230" s="178">
        <v>9.1578499999999993E-2</v>
      </c>
      <c r="N230" s="178">
        <v>0.2657755</v>
      </c>
      <c r="O230" s="181">
        <v>32.788353999999998</v>
      </c>
      <c r="P230" s="178">
        <v>-1.9519880000000001</v>
      </c>
      <c r="Q230" s="178">
        <v>-5.1149E-2</v>
      </c>
      <c r="R230" s="178">
        <v>-1.374058</v>
      </c>
      <c r="S230" s="181">
        <v>29.411159000000001</v>
      </c>
      <c r="V230" s="203">
        <f t="shared" si="33"/>
        <v>32.269259383987375</v>
      </c>
    </row>
    <row r="231" spans="1:22" ht="14.25">
      <c r="A231" s="204">
        <v>12</v>
      </c>
      <c r="B231" s="178">
        <v>1.3198989080000001</v>
      </c>
      <c r="C231" s="178">
        <v>0.103705142</v>
      </c>
      <c r="D231" s="178">
        <v>6.9322670000000004</v>
      </c>
      <c r="E231" s="178">
        <v>0.49668000000000001</v>
      </c>
      <c r="F231" s="178">
        <v>0</v>
      </c>
      <c r="G231" s="178">
        <v>2.2781389999999999</v>
      </c>
      <c r="H231" s="178">
        <v>9.7826730000000008</v>
      </c>
      <c r="I231" s="178">
        <v>7.3740079999999999</v>
      </c>
      <c r="J231" s="178">
        <v>2.010443</v>
      </c>
      <c r="K231" s="178">
        <v>0.52973499999999996</v>
      </c>
      <c r="L231" s="178">
        <v>2.7090800000000002</v>
      </c>
      <c r="M231" s="178">
        <v>9.0396500000000005E-2</v>
      </c>
      <c r="N231" s="178">
        <v>0.26257449999999999</v>
      </c>
      <c r="O231" s="181">
        <v>33.889600049999999</v>
      </c>
      <c r="P231" s="178">
        <v>-2.0589209999999998</v>
      </c>
      <c r="Q231" s="178">
        <v>-5.1235000000000003E-2</v>
      </c>
      <c r="R231" s="178">
        <v>-1.5450459999999999</v>
      </c>
      <c r="S231" s="181">
        <v>30.234398049999999</v>
      </c>
      <c r="V231" s="203">
        <f t="shared" si="33"/>
        <v>28.866298172792987</v>
      </c>
    </row>
    <row r="232" spans="1:22" ht="14.25">
      <c r="A232" s="204">
        <v>13</v>
      </c>
      <c r="B232" s="178">
        <v>1.5243503759999999</v>
      </c>
      <c r="C232" s="178">
        <v>9.7944000000000004E-4</v>
      </c>
      <c r="D232" s="178">
        <v>6.9220550000000003</v>
      </c>
      <c r="E232" s="178">
        <v>0.49570399999999998</v>
      </c>
      <c r="F232" s="178">
        <v>0</v>
      </c>
      <c r="G232" s="178">
        <v>2.2041650000000002</v>
      </c>
      <c r="H232" s="178">
        <v>9.0012469999999993</v>
      </c>
      <c r="I232" s="178">
        <v>8.0973439999999997</v>
      </c>
      <c r="J232" s="178">
        <v>2.0584980000000002</v>
      </c>
      <c r="K232" s="178">
        <v>0.52527500000000005</v>
      </c>
      <c r="L232" s="178">
        <v>2.695284</v>
      </c>
      <c r="M232" s="178">
        <v>9.1277999999999998E-2</v>
      </c>
      <c r="N232" s="178">
        <v>0.26325599999999999</v>
      </c>
      <c r="O232" s="181">
        <v>33.879435815999997</v>
      </c>
      <c r="P232" s="178">
        <v>-0.78804099999999999</v>
      </c>
      <c r="Q232" s="178">
        <v>-5.1192000000000001E-2</v>
      </c>
      <c r="R232" s="178">
        <v>-1.983365</v>
      </c>
      <c r="S232" s="181">
        <v>31.056837816000002</v>
      </c>
      <c r="V232" s="203">
        <f t="shared" si="33"/>
        <v>26.568467813000137</v>
      </c>
    </row>
    <row r="233" spans="1:22" ht="14.25">
      <c r="A233" s="204">
        <v>14</v>
      </c>
      <c r="B233" s="178">
        <v>1.5033778040000001</v>
      </c>
      <c r="C233" s="178">
        <v>0.124019596</v>
      </c>
      <c r="D233" s="178">
        <v>6.9185949999999998</v>
      </c>
      <c r="E233" s="178">
        <v>0.49600300000000003</v>
      </c>
      <c r="F233" s="178">
        <v>0</v>
      </c>
      <c r="G233" s="178">
        <v>2.1720079999999999</v>
      </c>
      <c r="H233" s="178">
        <v>8.2335759999999993</v>
      </c>
      <c r="I233" s="178">
        <v>8.4493089999999995</v>
      </c>
      <c r="J233" s="178">
        <v>2.0557970000000001</v>
      </c>
      <c r="K233" s="178">
        <v>0.52902800000000005</v>
      </c>
      <c r="L233" s="178">
        <v>2.6768559999999999</v>
      </c>
      <c r="M233" s="178">
        <v>9.1437500000000005E-2</v>
      </c>
      <c r="N233" s="178">
        <v>0.26027250000000002</v>
      </c>
      <c r="O233" s="181">
        <v>33.510279400000002</v>
      </c>
      <c r="P233" s="178">
        <v>-0.111681</v>
      </c>
      <c r="Q233" s="178">
        <v>-5.1192000000000001E-2</v>
      </c>
      <c r="R233" s="178">
        <v>-1.576803</v>
      </c>
      <c r="S233" s="181">
        <v>31.770603399999999</v>
      </c>
      <c r="V233" s="203">
        <f t="shared" si="33"/>
        <v>24.570299464587571</v>
      </c>
    </row>
    <row r="234" spans="1:22" ht="14.25">
      <c r="A234" s="204">
        <v>15</v>
      </c>
      <c r="B234" s="178">
        <v>1.7843426200000001</v>
      </c>
      <c r="C234" s="178">
        <v>0.18989017999999999</v>
      </c>
      <c r="D234" s="178">
        <v>6.9147530000000001</v>
      </c>
      <c r="E234" s="178">
        <v>0.49627300000000002</v>
      </c>
      <c r="F234" s="178">
        <v>0</v>
      </c>
      <c r="G234" s="178">
        <v>2.5183610000000001</v>
      </c>
      <c r="H234" s="178">
        <v>7.7683299999999997</v>
      </c>
      <c r="I234" s="178">
        <v>8.5965489999999996</v>
      </c>
      <c r="J234" s="178">
        <v>2.0525549999999999</v>
      </c>
      <c r="K234" s="178">
        <v>0.531532</v>
      </c>
      <c r="L234" s="178">
        <v>2.668768</v>
      </c>
      <c r="M234" s="178">
        <v>9.1969999999999996E-2</v>
      </c>
      <c r="N234" s="178">
        <v>0.26507700000000001</v>
      </c>
      <c r="O234" s="181">
        <v>33.878400800000001</v>
      </c>
      <c r="P234" s="178">
        <v>-7.7795000000000003E-2</v>
      </c>
      <c r="Q234" s="178">
        <v>-5.1235000000000003E-2</v>
      </c>
      <c r="R234" s="178">
        <v>-1.699344</v>
      </c>
      <c r="S234" s="181">
        <v>32.050026799999998</v>
      </c>
      <c r="V234" s="203">
        <f t="shared" si="33"/>
        <v>22.930037476857525</v>
      </c>
    </row>
    <row r="235" spans="1:22" ht="14.25">
      <c r="A235" s="204">
        <v>16</v>
      </c>
      <c r="B235" s="178">
        <v>1.7515086479999999</v>
      </c>
      <c r="C235" s="178">
        <v>0.101457752</v>
      </c>
      <c r="D235" s="178">
        <v>6.9109980000000002</v>
      </c>
      <c r="E235" s="178">
        <v>0.49736799999999998</v>
      </c>
      <c r="F235" s="178">
        <v>0</v>
      </c>
      <c r="G235" s="178">
        <v>2.5704440000000002</v>
      </c>
      <c r="H235" s="178">
        <v>7.5919780000000001</v>
      </c>
      <c r="I235" s="178">
        <v>8.4566429999999997</v>
      </c>
      <c r="J235" s="178">
        <v>2.0740690000000002</v>
      </c>
      <c r="K235" s="178">
        <v>0.52964699999999998</v>
      </c>
      <c r="L235" s="178">
        <v>2.6633300000000002</v>
      </c>
      <c r="M235" s="178">
        <v>9.2336000000000001E-2</v>
      </c>
      <c r="N235" s="178">
        <v>0.26769199999999999</v>
      </c>
      <c r="O235" s="181">
        <v>33.5074714</v>
      </c>
      <c r="P235" s="178">
        <v>-0.130104</v>
      </c>
      <c r="Q235" s="178">
        <v>-5.1192000000000001E-2</v>
      </c>
      <c r="R235" s="178">
        <v>-1.9100280000000001</v>
      </c>
      <c r="S235" s="181">
        <v>31.4161474</v>
      </c>
      <c r="V235" s="203">
        <f t="shared" si="33"/>
        <v>22.657567649225836</v>
      </c>
    </row>
    <row r="236" spans="1:22" ht="14.25">
      <c r="A236" s="204">
        <v>17</v>
      </c>
      <c r="B236" s="178">
        <v>1.5318826480000001</v>
      </c>
      <c r="C236" s="178">
        <v>6.6877519999999999E-3</v>
      </c>
      <c r="D236" s="178">
        <v>6.9119640000000002</v>
      </c>
      <c r="E236" s="178">
        <v>0.469887</v>
      </c>
      <c r="F236" s="178">
        <v>0</v>
      </c>
      <c r="G236" s="178">
        <v>2.7205279999999998</v>
      </c>
      <c r="H236" s="178">
        <v>7.9183820000000003</v>
      </c>
      <c r="I236" s="178">
        <v>8.1203529999999997</v>
      </c>
      <c r="J236" s="178">
        <v>2.0571579999999998</v>
      </c>
      <c r="K236" s="178">
        <v>0.52978999999999998</v>
      </c>
      <c r="L236" s="178">
        <v>2.6759110000000002</v>
      </c>
      <c r="M236" s="178">
        <v>9.2271000000000006E-2</v>
      </c>
      <c r="N236" s="178">
        <v>0.26465899999999998</v>
      </c>
      <c r="O236" s="181">
        <v>33.299473399999997</v>
      </c>
      <c r="P236" s="178">
        <v>-0.13025100000000001</v>
      </c>
      <c r="Q236" s="178">
        <v>-5.1192000000000001E-2</v>
      </c>
      <c r="R236" s="178">
        <v>-1.9242680000000001</v>
      </c>
      <c r="S236" s="181">
        <v>31.193762400000001</v>
      </c>
      <c r="V236" s="203">
        <f t="shared" si="33"/>
        <v>23.779300966363031</v>
      </c>
    </row>
    <row r="237" spans="1:22" ht="14.25">
      <c r="A237" s="204">
        <v>18</v>
      </c>
      <c r="B237" s="178">
        <v>1.306257512</v>
      </c>
      <c r="C237" s="178">
        <v>-1.415312E-3</v>
      </c>
      <c r="D237" s="178">
        <v>6.9165520000000003</v>
      </c>
      <c r="E237" s="178">
        <v>0.42918400000000001</v>
      </c>
      <c r="F237" s="178">
        <v>0</v>
      </c>
      <c r="G237" s="178">
        <v>2.7563819999999999</v>
      </c>
      <c r="H237" s="178">
        <v>8.5974620000000002</v>
      </c>
      <c r="I237" s="178">
        <v>7.297784</v>
      </c>
      <c r="J237" s="178">
        <v>2.057868</v>
      </c>
      <c r="K237" s="178">
        <v>0.53393500000000005</v>
      </c>
      <c r="L237" s="178">
        <v>2.6642760000000001</v>
      </c>
      <c r="M237" s="178">
        <v>9.2412999999999995E-2</v>
      </c>
      <c r="N237" s="178">
        <v>0.26574500000000001</v>
      </c>
      <c r="O237" s="181">
        <v>32.916443200000003</v>
      </c>
      <c r="P237" s="178">
        <v>-0.13004599999999999</v>
      </c>
      <c r="Q237" s="178">
        <v>-5.1235000000000003E-2</v>
      </c>
      <c r="R237" s="178">
        <v>-1.8835630000000001</v>
      </c>
      <c r="S237" s="181">
        <v>30.851599199999999</v>
      </c>
      <c r="V237" s="203">
        <f t="shared" si="33"/>
        <v>26.11904921732248</v>
      </c>
    </row>
    <row r="238" spans="1:22" ht="14.25">
      <c r="A238" s="204">
        <v>19</v>
      </c>
      <c r="B238" s="178">
        <v>1.3614412</v>
      </c>
      <c r="C238" s="178">
        <v>-1.518E-3</v>
      </c>
      <c r="D238" s="178">
        <v>6.9185869999999996</v>
      </c>
      <c r="E238" s="178">
        <v>0.391739</v>
      </c>
      <c r="F238" s="178">
        <v>0</v>
      </c>
      <c r="G238" s="178">
        <v>3.183176</v>
      </c>
      <c r="H238" s="178">
        <v>9.3208800000000007</v>
      </c>
      <c r="I238" s="178">
        <v>5.8053100000000004</v>
      </c>
      <c r="J238" s="178">
        <v>1.950739</v>
      </c>
      <c r="K238" s="178">
        <v>0.53426099999999999</v>
      </c>
      <c r="L238" s="178">
        <v>2.7048999999999999</v>
      </c>
      <c r="M238" s="178">
        <v>9.3202499999999994E-2</v>
      </c>
      <c r="N238" s="178">
        <v>0.26881850000000002</v>
      </c>
      <c r="O238" s="181">
        <v>32.531536199999998</v>
      </c>
      <c r="P238" s="178">
        <v>-0.75049999999999994</v>
      </c>
      <c r="Q238" s="178">
        <v>-5.1192000000000001E-2</v>
      </c>
      <c r="R238" s="178">
        <v>-1.4984930000000001</v>
      </c>
      <c r="S238" s="181">
        <v>30.231351199999999</v>
      </c>
      <c r="V238" s="203">
        <f t="shared" si="33"/>
        <v>28.651828621606874</v>
      </c>
    </row>
    <row r="239" spans="1:22" ht="14.25">
      <c r="A239" s="204">
        <v>20</v>
      </c>
      <c r="B239" s="178">
        <v>1.8836264</v>
      </c>
      <c r="C239" s="178">
        <v>5.7140999999999997E-2</v>
      </c>
      <c r="D239" s="178">
        <v>6.9226989999999997</v>
      </c>
      <c r="E239" s="178">
        <v>0.39013399999999998</v>
      </c>
      <c r="F239" s="178">
        <v>0</v>
      </c>
      <c r="G239" s="178">
        <v>3.9397709999999999</v>
      </c>
      <c r="H239" s="178">
        <v>9.6879030000000004</v>
      </c>
      <c r="I239" s="178">
        <v>3.287893</v>
      </c>
      <c r="J239" s="178">
        <v>1.6891370000000001</v>
      </c>
      <c r="K239" s="178">
        <v>0.529559</v>
      </c>
      <c r="L239" s="178">
        <v>2.7917369999999999</v>
      </c>
      <c r="M239" s="178">
        <v>9.3055499999999999E-2</v>
      </c>
      <c r="N239" s="178">
        <v>0.27202749999999998</v>
      </c>
      <c r="O239" s="181">
        <v>31.5446834</v>
      </c>
      <c r="P239" s="178">
        <v>-9.1634999999999994E-2</v>
      </c>
      <c r="Q239" s="178">
        <v>-5.1278999999999998E-2</v>
      </c>
      <c r="R239" s="178">
        <v>-1.5368189999999999</v>
      </c>
      <c r="S239" s="181">
        <v>29.864950400000001</v>
      </c>
      <c r="V239" s="203">
        <f t="shared" si="33"/>
        <v>30.711682463739677</v>
      </c>
    </row>
    <row r="240" spans="1:22" ht="14.25">
      <c r="A240" s="204">
        <v>21</v>
      </c>
      <c r="B240" s="178">
        <v>2.8924881999999998</v>
      </c>
      <c r="C240" s="178">
        <v>0.19427900000000001</v>
      </c>
      <c r="D240" s="178">
        <v>6.9264739999999998</v>
      </c>
      <c r="E240" s="178">
        <v>0.35993399999999998</v>
      </c>
      <c r="F240" s="178">
        <v>0</v>
      </c>
      <c r="G240" s="178">
        <v>5.1667759999999996</v>
      </c>
      <c r="H240" s="178">
        <v>10.259909</v>
      </c>
      <c r="I240" s="178">
        <v>0.68001900000000004</v>
      </c>
      <c r="J240" s="178">
        <v>1.0659479999999999</v>
      </c>
      <c r="K240" s="178">
        <v>0.536389</v>
      </c>
      <c r="L240" s="178">
        <v>2.8311419999999998</v>
      </c>
      <c r="M240" s="178">
        <v>9.3812000000000006E-2</v>
      </c>
      <c r="N240" s="178">
        <v>0.27629900000000002</v>
      </c>
      <c r="O240" s="181">
        <v>31.283469199999999</v>
      </c>
      <c r="P240" s="178">
        <v>-1.748E-3</v>
      </c>
      <c r="Q240" s="178">
        <v>-5.1753E-2</v>
      </c>
      <c r="R240" s="178">
        <v>-1.43845</v>
      </c>
      <c r="S240" s="181">
        <v>29.791518199999999</v>
      </c>
      <c r="V240" s="203">
        <f t="shared" si="33"/>
        <v>32.796583187135781</v>
      </c>
    </row>
    <row r="241" spans="1:22" ht="14.25">
      <c r="A241" s="204">
        <v>22</v>
      </c>
      <c r="B241" s="178">
        <v>3.2007294000000002</v>
      </c>
      <c r="C241" s="178">
        <v>0.32134400000000002</v>
      </c>
      <c r="D241" s="178">
        <v>6.9307410000000003</v>
      </c>
      <c r="E241" s="178">
        <v>0.35731499999999999</v>
      </c>
      <c r="F241" s="178">
        <v>0</v>
      </c>
      <c r="G241" s="178">
        <v>5.4762709999999997</v>
      </c>
      <c r="H241" s="178">
        <v>10.760607</v>
      </c>
      <c r="I241" s="178">
        <v>4.0229999999999997E-3</v>
      </c>
      <c r="J241" s="178">
        <v>0.66880399999999995</v>
      </c>
      <c r="K241" s="178">
        <v>0.53713999999999995</v>
      </c>
      <c r="L241" s="178">
        <v>2.8568750000000001</v>
      </c>
      <c r="M241" s="178">
        <v>9.4751500000000002E-2</v>
      </c>
      <c r="N241" s="178">
        <v>0.28016550000000001</v>
      </c>
      <c r="O241" s="181">
        <v>31.488766399999999</v>
      </c>
      <c r="P241" s="178">
        <v>-1.7520000000000001E-3</v>
      </c>
      <c r="Q241" s="178">
        <v>-5.1192000000000001E-2</v>
      </c>
      <c r="R241" s="178">
        <v>-0.70644899999999999</v>
      </c>
      <c r="S241" s="181">
        <v>30.7293734</v>
      </c>
      <c r="V241" s="203">
        <f t="shared" si="33"/>
        <v>34.17284393840211</v>
      </c>
    </row>
    <row r="242" spans="1:22" ht="14.25">
      <c r="A242" s="204">
        <v>23</v>
      </c>
      <c r="B242" s="178">
        <v>2.7848552</v>
      </c>
      <c r="C242" s="178">
        <v>0.61738599999999999</v>
      </c>
      <c r="D242" s="178">
        <v>6.93248</v>
      </c>
      <c r="E242" s="178">
        <v>0.33331300000000003</v>
      </c>
      <c r="F242" s="178">
        <v>0</v>
      </c>
      <c r="G242" s="178">
        <v>5.0501009999999997</v>
      </c>
      <c r="H242" s="178">
        <v>11.174398</v>
      </c>
      <c r="I242" s="178">
        <v>3.3599999999999998E-4</v>
      </c>
      <c r="J242" s="178">
        <v>0.59643400000000002</v>
      </c>
      <c r="K242" s="178">
        <v>0.53532100000000005</v>
      </c>
      <c r="L242" s="178">
        <v>2.859524</v>
      </c>
      <c r="M242" s="178">
        <v>9.3915499999999999E-2</v>
      </c>
      <c r="N242" s="178">
        <v>0.27814749999999999</v>
      </c>
      <c r="O242" s="181">
        <v>31.256211199999999</v>
      </c>
      <c r="P242" s="178">
        <v>-2.0739999999999999E-3</v>
      </c>
      <c r="Q242" s="178">
        <v>-5.1192000000000001E-2</v>
      </c>
      <c r="R242" s="178">
        <v>-1.4667079999999999</v>
      </c>
      <c r="S242" s="181">
        <v>29.736237200000001</v>
      </c>
      <c r="V242" s="203">
        <f t="shared" si="33"/>
        <v>35.750967794842644</v>
      </c>
    </row>
    <row r="243" spans="1:22" ht="14.25">
      <c r="A243" s="204">
        <v>24</v>
      </c>
      <c r="B243" s="178">
        <v>1.792026216</v>
      </c>
      <c r="C243" s="178">
        <v>0.65004868800000004</v>
      </c>
      <c r="D243" s="178">
        <v>6.9363580000000002</v>
      </c>
      <c r="E243" s="178">
        <v>0.32210100000000003</v>
      </c>
      <c r="F243" s="178">
        <v>0</v>
      </c>
      <c r="G243" s="178">
        <v>4.3604580000000004</v>
      </c>
      <c r="H243" s="178">
        <v>11.124487999999999</v>
      </c>
      <c r="I243" s="178">
        <v>3.4299999999999999E-4</v>
      </c>
      <c r="J243" s="178">
        <v>0.594638</v>
      </c>
      <c r="K243" s="178">
        <v>0.52674100000000001</v>
      </c>
      <c r="L243" s="178">
        <v>2.814171</v>
      </c>
      <c r="M243" s="178">
        <v>9.3720999999999999E-2</v>
      </c>
      <c r="N243" s="178">
        <v>0.27539200000000003</v>
      </c>
      <c r="O243" s="181">
        <v>29.490485904</v>
      </c>
      <c r="P243" s="178">
        <v>-0.10985</v>
      </c>
      <c r="Q243" s="178">
        <v>-5.1192000000000001E-2</v>
      </c>
      <c r="R243" s="178">
        <v>-1.4697960000000001</v>
      </c>
      <c r="S243" s="181">
        <v>27.859647903999999</v>
      </c>
      <c r="V243" s="203">
        <f t="shared" si="33"/>
        <v>37.722294696036549</v>
      </c>
    </row>
    <row r="244" spans="1:22" ht="14.25">
      <c r="V244" s="203" t="str">
        <f t="shared" ref="V244:V246" si="34">IFERROR(G244/N244*100,"")</f>
        <v/>
      </c>
    </row>
    <row r="245" spans="1:22" ht="14.25">
      <c r="V245" s="203" t="str">
        <f t="shared" si="34"/>
        <v/>
      </c>
    </row>
    <row r="246" spans="1:22" ht="14.25">
      <c r="V246" s="203" t="str">
        <f t="shared" si="34"/>
        <v/>
      </c>
    </row>
    <row r="248" spans="1:22">
      <c r="A248" s="270"/>
      <c r="B248" s="270" t="s">
        <v>30</v>
      </c>
      <c r="C248" s="271" t="s">
        <v>197</v>
      </c>
      <c r="D248" s="271" t="s">
        <v>198</v>
      </c>
      <c r="E248" s="271" t="s">
        <v>199</v>
      </c>
      <c r="F248" s="271" t="s">
        <v>200</v>
      </c>
      <c r="G248" s="271" t="s">
        <v>201</v>
      </c>
      <c r="H248" s="271" t="s">
        <v>203</v>
      </c>
      <c r="I248" s="271" t="s">
        <v>205</v>
      </c>
      <c r="J248" s="271" t="s">
        <v>206</v>
      </c>
      <c r="K248" s="271" t="s">
        <v>208</v>
      </c>
      <c r="L248" s="271" t="s">
        <v>222</v>
      </c>
      <c r="M248" s="271" t="s">
        <v>224</v>
      </c>
      <c r="N248" s="271" t="s">
        <v>231</v>
      </c>
      <c r="O248" s="271" t="s">
        <v>233</v>
      </c>
    </row>
    <row r="249" spans="1:22">
      <c r="A249" s="270"/>
      <c r="B249" s="270" t="s">
        <v>106</v>
      </c>
      <c r="C249" s="271" t="s">
        <v>190</v>
      </c>
      <c r="D249" s="271" t="s">
        <v>190</v>
      </c>
      <c r="E249" s="271" t="s">
        <v>190</v>
      </c>
      <c r="F249" s="271" t="s">
        <v>190</v>
      </c>
      <c r="G249" s="271" t="s">
        <v>190</v>
      </c>
      <c r="H249" s="271" t="s">
        <v>190</v>
      </c>
      <c r="I249" s="271" t="s">
        <v>190</v>
      </c>
      <c r="J249" s="271" t="s">
        <v>190</v>
      </c>
      <c r="K249" s="271" t="s">
        <v>190</v>
      </c>
      <c r="L249" s="271" t="s">
        <v>190</v>
      </c>
      <c r="M249" s="271" t="s">
        <v>190</v>
      </c>
      <c r="N249" s="271" t="s">
        <v>190</v>
      </c>
      <c r="O249" s="271" t="s">
        <v>190</v>
      </c>
    </row>
    <row r="250" spans="1:22">
      <c r="A250" s="270" t="s">
        <v>169</v>
      </c>
      <c r="B250" s="270" t="s">
        <v>170</v>
      </c>
      <c r="C250" s="272"/>
      <c r="D250" s="272"/>
      <c r="E250" s="272"/>
      <c r="F250" s="272"/>
      <c r="G250" s="272"/>
      <c r="H250" s="272"/>
      <c r="I250" s="272"/>
      <c r="J250" s="272"/>
      <c r="K250" s="272"/>
      <c r="L250" s="272"/>
      <c r="M250" s="272"/>
      <c r="N250" s="272"/>
      <c r="O250" s="272"/>
    </row>
    <row r="251" spans="1:22">
      <c r="A251" s="339" t="s">
        <v>4</v>
      </c>
      <c r="B251" s="273" t="s">
        <v>160</v>
      </c>
      <c r="C251" s="278">
        <v>108802.93152</v>
      </c>
      <c r="D251" s="278">
        <v>95353.110719999997</v>
      </c>
      <c r="E251" s="278">
        <v>68355.734400000001</v>
      </c>
      <c r="F251" s="278">
        <v>98168.512319999994</v>
      </c>
      <c r="G251" s="278">
        <v>24298.63968</v>
      </c>
      <c r="H251" s="278">
        <v>198926.75232</v>
      </c>
      <c r="I251" s="278"/>
      <c r="J251" s="278"/>
      <c r="K251" s="278"/>
      <c r="L251" s="278">
        <v>59989.476479999998</v>
      </c>
      <c r="M251" s="278">
        <v>102841.992</v>
      </c>
      <c r="N251" s="278">
        <v>15271.65984</v>
      </c>
      <c r="O251" s="278"/>
    </row>
    <row r="252" spans="1:22">
      <c r="A252" s="340"/>
      <c r="B252" s="273" t="s">
        <v>161</v>
      </c>
      <c r="C252" s="278">
        <v>216261.94847999999</v>
      </c>
      <c r="D252" s="278">
        <v>176849.01887999999</v>
      </c>
      <c r="E252" s="278">
        <v>160358.09760000001</v>
      </c>
      <c r="F252" s="278">
        <v>225755.59968000001</v>
      </c>
      <c r="G252" s="278">
        <v>195798.21312</v>
      </c>
      <c r="H252" s="278">
        <v>342121.41791999998</v>
      </c>
      <c r="I252" s="278">
        <v>177665.46720000001</v>
      </c>
      <c r="J252" s="278">
        <v>241179.43392000001</v>
      </c>
      <c r="K252" s="278">
        <v>267483.56928</v>
      </c>
      <c r="L252" s="278">
        <v>263990.79168000002</v>
      </c>
      <c r="M252" s="278">
        <v>312672.93792</v>
      </c>
      <c r="N252" s="278">
        <v>282114.43776</v>
      </c>
      <c r="O252" s="278">
        <v>315216.2352</v>
      </c>
    </row>
    <row r="253" spans="1:22">
      <c r="A253" s="273" t="s">
        <v>95</v>
      </c>
      <c r="B253" s="273" t="s">
        <v>178</v>
      </c>
      <c r="C253" s="278">
        <v>7.6999999999999996E-4</v>
      </c>
      <c r="D253" s="278">
        <v>7.6999999999999996E-4</v>
      </c>
      <c r="E253" s="278"/>
      <c r="F253" s="278"/>
      <c r="G253" s="278"/>
      <c r="H253" s="278"/>
      <c r="I253" s="278"/>
      <c r="J253" s="278"/>
      <c r="K253" s="278"/>
      <c r="L253" s="278"/>
      <c r="M253" s="278"/>
      <c r="N253" s="278"/>
      <c r="O253" s="278">
        <v>7.6999999999999996E-4</v>
      </c>
    </row>
    <row r="254" spans="1:22">
      <c r="A254" s="273" t="s">
        <v>11</v>
      </c>
      <c r="B254" s="273" t="s">
        <v>162</v>
      </c>
      <c r="C254" s="278">
        <v>1868935.1022399999</v>
      </c>
      <c r="D254" s="278">
        <v>1682196.0234300001</v>
      </c>
      <c r="E254" s="278">
        <v>1032684.19727</v>
      </c>
      <c r="F254" s="278">
        <v>1191884.1131800001</v>
      </c>
      <c r="G254" s="278">
        <v>948987.69421999995</v>
      </c>
      <c r="H254" s="278">
        <v>809672.65945000004</v>
      </c>
      <c r="I254" s="278">
        <v>402130.41519999999</v>
      </c>
      <c r="J254" s="278">
        <v>610285.16801000002</v>
      </c>
      <c r="K254" s="278">
        <v>1060368.5737000001</v>
      </c>
      <c r="L254" s="278">
        <v>741767.45299999998</v>
      </c>
      <c r="M254" s="278">
        <v>1160411.56908</v>
      </c>
      <c r="N254" s="278">
        <v>1119209.6477999999</v>
      </c>
      <c r="O254" s="278">
        <v>1230323.56155</v>
      </c>
    </row>
    <row r="255" spans="1:22">
      <c r="A255" s="341" t="s">
        <v>9</v>
      </c>
      <c r="B255" s="273" t="s">
        <v>163</v>
      </c>
      <c r="C255" s="278">
        <v>95586.502500000002</v>
      </c>
      <c r="D255" s="278">
        <v>105936.9945</v>
      </c>
      <c r="E255" s="278">
        <v>109715.55100000001</v>
      </c>
      <c r="F255" s="278">
        <v>110040.65549999999</v>
      </c>
      <c r="G255" s="278">
        <v>92507.442999999999</v>
      </c>
      <c r="H255" s="278">
        <v>90670.160999999993</v>
      </c>
      <c r="I255" s="278">
        <v>57000.654000000002</v>
      </c>
      <c r="J255" s="278">
        <v>60910.863499999999</v>
      </c>
      <c r="K255" s="278">
        <v>70781.572499999995</v>
      </c>
      <c r="L255" s="278">
        <v>77218.312000000005</v>
      </c>
      <c r="M255" s="278">
        <v>73037.706999999995</v>
      </c>
      <c r="N255" s="278">
        <v>92289.863500000007</v>
      </c>
      <c r="O255" s="278">
        <v>88774.316500000001</v>
      </c>
    </row>
    <row r="256" spans="1:22">
      <c r="A256" s="342"/>
      <c r="B256" s="273" t="s">
        <v>164</v>
      </c>
      <c r="C256" s="278">
        <v>719715.88080000004</v>
      </c>
      <c r="D256" s="278">
        <v>752542.68096000003</v>
      </c>
      <c r="E256" s="278">
        <v>766641.48228</v>
      </c>
      <c r="F256" s="278">
        <v>779185.96704000002</v>
      </c>
      <c r="G256" s="278">
        <v>774971.06400000001</v>
      </c>
      <c r="H256" s="278">
        <v>798328.18440000003</v>
      </c>
      <c r="I256" s="278">
        <v>619480.10627999995</v>
      </c>
      <c r="J256" s="278">
        <v>764504.20296000002</v>
      </c>
      <c r="K256" s="278">
        <v>736196.92452</v>
      </c>
      <c r="L256" s="278">
        <v>735775.09883999999</v>
      </c>
      <c r="M256" s="278">
        <v>724003.48728</v>
      </c>
      <c r="N256" s="278">
        <v>739028.74176</v>
      </c>
      <c r="O256" s="278">
        <v>689838.14664000005</v>
      </c>
    </row>
    <row r="257" spans="1:17">
      <c r="A257" s="342"/>
      <c r="B257" s="273" t="s">
        <v>165</v>
      </c>
      <c r="C257" s="278">
        <v>464.51542000000001</v>
      </c>
      <c r="D257" s="278">
        <v>859.25257999999997</v>
      </c>
      <c r="E257" s="278">
        <v>912.58709999999996</v>
      </c>
      <c r="F257" s="278">
        <v>918.54246000000001</v>
      </c>
      <c r="G257" s="278">
        <v>742.28250000000003</v>
      </c>
      <c r="H257" s="278">
        <v>728.39844000000005</v>
      </c>
      <c r="I257" s="278">
        <v>376.69209999999998</v>
      </c>
      <c r="J257" s="278">
        <v>939.34518000000003</v>
      </c>
      <c r="K257" s="278">
        <v>449.36178000000001</v>
      </c>
      <c r="L257" s="278">
        <v>674.04931999999997</v>
      </c>
      <c r="M257" s="278">
        <v>454.46328</v>
      </c>
      <c r="N257" s="278">
        <v>761.31745999999998</v>
      </c>
      <c r="O257" s="278">
        <v>736.51941999999997</v>
      </c>
    </row>
    <row r="258" spans="1:17">
      <c r="A258" s="340"/>
      <c r="B258" s="273" t="s">
        <v>243</v>
      </c>
      <c r="C258" s="278"/>
      <c r="D258" s="278"/>
      <c r="E258" s="278"/>
      <c r="F258" s="278"/>
      <c r="G258" s="278"/>
      <c r="H258" s="278"/>
      <c r="I258" s="278"/>
      <c r="J258" s="278"/>
      <c r="K258" s="278"/>
      <c r="L258" s="278"/>
      <c r="M258" s="278"/>
      <c r="N258" s="278"/>
      <c r="O258" s="278">
        <v>730.62865999999997</v>
      </c>
    </row>
    <row r="259" spans="1:17">
      <c r="A259" s="341" t="s">
        <v>70</v>
      </c>
      <c r="B259" s="273" t="s">
        <v>166</v>
      </c>
      <c r="C259" s="278">
        <v>32198.464</v>
      </c>
      <c r="D259" s="278">
        <v>25630.812849999998</v>
      </c>
      <c r="E259" s="278">
        <v>19344.03585</v>
      </c>
      <c r="F259" s="278">
        <v>31364.934000000001</v>
      </c>
      <c r="G259" s="278">
        <v>32300.28025</v>
      </c>
      <c r="H259" s="278">
        <v>31509.960050000002</v>
      </c>
      <c r="I259" s="278">
        <v>27963.00965</v>
      </c>
      <c r="J259" s="278">
        <v>26848.965550000001</v>
      </c>
      <c r="K259" s="278">
        <v>14883.509400000001</v>
      </c>
      <c r="L259" s="278">
        <v>27951.797750000002</v>
      </c>
      <c r="M259" s="278">
        <v>27003.805100000001</v>
      </c>
      <c r="N259" s="278">
        <v>32066.770250000001</v>
      </c>
      <c r="O259" s="278">
        <v>31906.170849999999</v>
      </c>
    </row>
    <row r="260" spans="1:17">
      <c r="A260" s="342"/>
      <c r="B260" s="273" t="s">
        <v>167</v>
      </c>
      <c r="C260" s="278">
        <v>15848.90868</v>
      </c>
      <c r="D260" s="278">
        <v>14041.84476</v>
      </c>
      <c r="E260" s="278">
        <v>15592.27716</v>
      </c>
      <c r="F260" s="278">
        <v>16213.62012</v>
      </c>
      <c r="G260" s="278">
        <v>16004.11536</v>
      </c>
      <c r="H260" s="278">
        <v>12494.40912</v>
      </c>
      <c r="I260" s="278">
        <v>13864.386</v>
      </c>
      <c r="J260" s="278">
        <v>14871.20832</v>
      </c>
      <c r="K260" s="278">
        <v>15917.4162</v>
      </c>
      <c r="L260" s="278">
        <v>12722.256719999999</v>
      </c>
      <c r="M260" s="278">
        <v>15727.94124</v>
      </c>
      <c r="N260" s="278">
        <v>16816.599719999998</v>
      </c>
      <c r="O260" s="278">
        <v>16307.92416</v>
      </c>
    </row>
    <row r="261" spans="1:17">
      <c r="A261" s="340"/>
      <c r="B261" s="273" t="s">
        <v>168</v>
      </c>
      <c r="C261" s="278">
        <v>18967.901279999998</v>
      </c>
      <c r="D261" s="278">
        <v>21217.824000000001</v>
      </c>
      <c r="E261" s="278">
        <v>17082.399119999998</v>
      </c>
      <c r="F261" s="278">
        <v>19240.935839999998</v>
      </c>
      <c r="G261" s="278">
        <v>19111.68576</v>
      </c>
      <c r="H261" s="278">
        <v>21579.222720000002</v>
      </c>
      <c r="I261" s="278">
        <v>17817.535199999998</v>
      </c>
      <c r="J261" s="278">
        <v>19503.143039999999</v>
      </c>
      <c r="K261" s="278">
        <v>20576.518080000002</v>
      </c>
      <c r="L261" s="278">
        <v>21195.614399999999</v>
      </c>
      <c r="M261" s="278">
        <v>21142.53384</v>
      </c>
      <c r="N261" s="278">
        <v>21434.41056</v>
      </c>
      <c r="O261" s="278">
        <v>23247.599040000001</v>
      </c>
    </row>
    <row r="262" spans="1:17">
      <c r="A262" s="274" t="s">
        <v>15</v>
      </c>
      <c r="B262" s="275"/>
      <c r="C262" s="279">
        <v>3076782.1556899999</v>
      </c>
      <c r="D262" s="279">
        <v>2874627.5634499998</v>
      </c>
      <c r="E262" s="279">
        <v>2190686.3617799999</v>
      </c>
      <c r="F262" s="279">
        <v>2472772.88014</v>
      </c>
      <c r="G262" s="279">
        <v>2104721.4178900002</v>
      </c>
      <c r="H262" s="279">
        <v>2306031.16542</v>
      </c>
      <c r="I262" s="279">
        <v>1316298.26563</v>
      </c>
      <c r="J262" s="279">
        <v>1739042.33048</v>
      </c>
      <c r="K262" s="279">
        <v>2186657.4454600001</v>
      </c>
      <c r="L262" s="279">
        <v>1941284.8501899999</v>
      </c>
      <c r="M262" s="279">
        <v>2437296.4367399998</v>
      </c>
      <c r="N262" s="279">
        <v>2318993.4486500002</v>
      </c>
      <c r="O262" s="279">
        <v>2397081.1027899999</v>
      </c>
      <c r="Q262" s="44">
        <f>(O262-C262)/C262*100</f>
        <v>-22.091295987368014</v>
      </c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215:S215"/>
    <mergeCell ref="B115:Z115"/>
    <mergeCell ref="B116:Z116"/>
    <mergeCell ref="B175:S175"/>
    <mergeCell ref="B176:S176"/>
    <mergeCell ref="B216:S216"/>
    <mergeCell ref="B217:S217"/>
    <mergeCell ref="A251:A252"/>
    <mergeCell ref="A259:A261"/>
    <mergeCell ref="A255:A258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" workbookViewId="0">
      <selection activeCell="G229" sqref="G229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5" customWidth="1"/>
    <col min="7" max="7" width="7.7109375" style="206" customWidth="1"/>
  </cols>
  <sheetData>
    <row r="1" spans="1:6">
      <c r="C1" s="209" t="s">
        <v>32</v>
      </c>
      <c r="D1" s="209" t="s">
        <v>33</v>
      </c>
      <c r="E1" s="209" t="s">
        <v>34</v>
      </c>
    </row>
    <row r="2" spans="1:6">
      <c r="C2" s="345" t="s">
        <v>126</v>
      </c>
      <c r="D2" s="346"/>
      <c r="E2" s="346"/>
    </row>
    <row r="3" spans="1:6">
      <c r="A3">
        <v>0</v>
      </c>
      <c r="B3" s="46">
        <v>44044</v>
      </c>
      <c r="C3" s="277">
        <v>1.187373493168685</v>
      </c>
      <c r="D3" s="277">
        <v>17.313341416272394</v>
      </c>
      <c r="E3" s="178">
        <f>IF(C3&lt;D3,C3,D3)</f>
        <v>1.187373493168685</v>
      </c>
      <c r="F3" s="205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44045</v>
      </c>
      <c r="C4" s="277">
        <v>1.2324426491705454</v>
      </c>
      <c r="D4" s="277">
        <v>17.313341416272394</v>
      </c>
      <c r="E4" s="178">
        <f t="shared" ref="E4:E67" si="0">IF(C4&lt;D4,C4,D4)</f>
        <v>1.2324426491705454</v>
      </c>
      <c r="F4" s="205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44046</v>
      </c>
      <c r="C5" s="277">
        <v>2.2733819891686871</v>
      </c>
      <c r="D5" s="277">
        <v>17.313341416272394</v>
      </c>
      <c r="E5" s="178">
        <f t="shared" si="0"/>
        <v>2.2733819891686871</v>
      </c>
      <c r="F5" s="205" t="str">
        <f t="shared" si="1"/>
        <v/>
      </c>
    </row>
    <row r="6" spans="1:6">
      <c r="A6">
        <v>3</v>
      </c>
      <c r="B6" s="46">
        <v>44047</v>
      </c>
      <c r="C6" s="277">
        <v>1.0302514831686858</v>
      </c>
      <c r="D6" s="277">
        <v>17.313341416272394</v>
      </c>
      <c r="E6" s="178">
        <f t="shared" si="0"/>
        <v>1.0302514831686858</v>
      </c>
      <c r="F6" s="205" t="str">
        <f t="shared" si="1"/>
        <v/>
      </c>
    </row>
    <row r="7" spans="1:6">
      <c r="A7">
        <v>4</v>
      </c>
      <c r="B7" s="46">
        <v>44048</v>
      </c>
      <c r="C7" s="277">
        <v>1.2843243052110629</v>
      </c>
      <c r="D7" s="277">
        <v>17.313341416272394</v>
      </c>
      <c r="E7" s="178">
        <f t="shared" si="0"/>
        <v>1.2843243052110629</v>
      </c>
      <c r="F7" s="205" t="str">
        <f t="shared" si="1"/>
        <v/>
      </c>
    </row>
    <row r="8" spans="1:6">
      <c r="A8">
        <v>5</v>
      </c>
      <c r="B8" s="46">
        <v>44049</v>
      </c>
      <c r="C8" s="277">
        <v>5.0724915292054797</v>
      </c>
      <c r="D8" s="277">
        <v>17.313341416272394</v>
      </c>
      <c r="E8" s="178">
        <f t="shared" si="0"/>
        <v>5.0724915292054797</v>
      </c>
      <c r="F8" s="205" t="str">
        <f t="shared" si="1"/>
        <v/>
      </c>
    </row>
    <row r="9" spans="1:6">
      <c r="A9">
        <v>6</v>
      </c>
      <c r="B9" s="46">
        <v>44050</v>
      </c>
      <c r="C9" s="277">
        <v>9.7649471772054675</v>
      </c>
      <c r="D9" s="277">
        <v>17.313341416272394</v>
      </c>
      <c r="E9" s="178">
        <f t="shared" si="0"/>
        <v>9.7649471772054675</v>
      </c>
      <c r="F9" s="205" t="str">
        <f t="shared" si="1"/>
        <v/>
      </c>
    </row>
    <row r="10" spans="1:6">
      <c r="A10">
        <v>7</v>
      </c>
      <c r="B10" s="46">
        <v>44051</v>
      </c>
      <c r="C10" s="277">
        <v>1.2628975252110612</v>
      </c>
      <c r="D10" s="277">
        <v>17.313341416272394</v>
      </c>
      <c r="E10" s="178">
        <f t="shared" si="0"/>
        <v>1.2628975252110612</v>
      </c>
      <c r="F10" s="205" t="str">
        <f t="shared" si="1"/>
        <v/>
      </c>
    </row>
    <row r="11" spans="1:6">
      <c r="A11">
        <v>8</v>
      </c>
      <c r="B11" s="46">
        <v>44052</v>
      </c>
      <c r="C11" s="277">
        <v>1.4350578492073327</v>
      </c>
      <c r="D11" s="277">
        <v>17.313341416272394</v>
      </c>
      <c r="E11" s="178">
        <f t="shared" si="0"/>
        <v>1.4350578492073327</v>
      </c>
      <c r="F11" s="205" t="str">
        <f t="shared" si="1"/>
        <v/>
      </c>
    </row>
    <row r="12" spans="1:6">
      <c r="A12">
        <v>9</v>
      </c>
      <c r="B12" s="46">
        <v>44053</v>
      </c>
      <c r="C12" s="277">
        <v>2.0921907332092013</v>
      </c>
      <c r="D12" s="277">
        <v>17.313341416272394</v>
      </c>
      <c r="E12" s="178">
        <f t="shared" si="0"/>
        <v>2.0921907332092013</v>
      </c>
      <c r="F12" s="205" t="str">
        <f t="shared" si="1"/>
        <v/>
      </c>
    </row>
    <row r="13" spans="1:6">
      <c r="A13">
        <v>10</v>
      </c>
      <c r="B13" s="46">
        <v>44054</v>
      </c>
      <c r="C13" s="277">
        <v>10.213209065207339</v>
      </c>
      <c r="D13" s="277">
        <v>17.313341416272394</v>
      </c>
      <c r="E13" s="178">
        <f t="shared" si="0"/>
        <v>10.213209065207339</v>
      </c>
      <c r="F13" s="205" t="str">
        <f t="shared" si="1"/>
        <v/>
      </c>
    </row>
    <row r="14" spans="1:6">
      <c r="A14">
        <v>11</v>
      </c>
      <c r="B14" s="46">
        <v>44055</v>
      </c>
      <c r="C14" s="277">
        <v>26.557876889262886</v>
      </c>
      <c r="D14" s="277">
        <v>17.313341416272394</v>
      </c>
      <c r="E14" s="178">
        <f t="shared" si="0"/>
        <v>17.313341416272394</v>
      </c>
      <c r="F14" s="205" t="str">
        <f t="shared" si="1"/>
        <v/>
      </c>
    </row>
    <row r="15" spans="1:6">
      <c r="A15">
        <v>12</v>
      </c>
      <c r="B15" s="46">
        <v>44056</v>
      </c>
      <c r="C15" s="277">
        <v>36.699982845261026</v>
      </c>
      <c r="D15" s="277">
        <v>17.313341416272394</v>
      </c>
      <c r="E15" s="178">
        <f t="shared" si="0"/>
        <v>17.313341416272394</v>
      </c>
      <c r="F15" s="205" t="str">
        <f t="shared" si="1"/>
        <v/>
      </c>
    </row>
    <row r="16" spans="1:6">
      <c r="A16">
        <v>13</v>
      </c>
      <c r="B16" s="46">
        <v>44057</v>
      </c>
      <c r="C16" s="277">
        <v>25.851025137262884</v>
      </c>
      <c r="D16" s="277">
        <v>17.313341416272394</v>
      </c>
      <c r="E16" s="178">
        <f t="shared" si="0"/>
        <v>17.313341416272394</v>
      </c>
      <c r="F16" s="205" t="str">
        <f t="shared" si="1"/>
        <v/>
      </c>
    </row>
    <row r="17" spans="1:7">
      <c r="A17">
        <v>14</v>
      </c>
      <c r="B17" s="46">
        <v>44058</v>
      </c>
      <c r="C17" s="277">
        <v>1.4413111132628837</v>
      </c>
      <c r="D17" s="277">
        <v>17.313341416272394</v>
      </c>
      <c r="E17" s="178">
        <f t="shared" si="0"/>
        <v>1.4413111132628837</v>
      </c>
      <c r="F17" s="205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A</v>
      </c>
      <c r="G17" s="206">
        <f>IF(DAY(B17)=15,D17,"")</f>
        <v>17.313341416272394</v>
      </c>
    </row>
    <row r="18" spans="1:7">
      <c r="A18">
        <v>15</v>
      </c>
      <c r="B18" s="46">
        <v>44059</v>
      </c>
      <c r="C18" s="277">
        <v>1.3727565432591582</v>
      </c>
      <c r="D18" s="277">
        <v>17.313341416272394</v>
      </c>
      <c r="E18" s="178">
        <f t="shared" si="0"/>
        <v>1.3727565432591582</v>
      </c>
      <c r="F18" s="205" t="str">
        <f t="shared" si="1"/>
        <v/>
      </c>
    </row>
    <row r="19" spans="1:7">
      <c r="A19">
        <v>16</v>
      </c>
      <c r="B19" s="46">
        <v>44060</v>
      </c>
      <c r="C19" s="277">
        <v>19.10940262126288</v>
      </c>
      <c r="D19" s="277">
        <v>17.313341416272394</v>
      </c>
      <c r="E19" s="178">
        <f t="shared" si="0"/>
        <v>17.313341416272394</v>
      </c>
      <c r="F19" s="205" t="str">
        <f t="shared" si="1"/>
        <v/>
      </c>
    </row>
    <row r="20" spans="1:7">
      <c r="A20">
        <v>17</v>
      </c>
      <c r="B20" s="46">
        <v>44061</v>
      </c>
      <c r="C20" s="277">
        <v>31.168780121262884</v>
      </c>
      <c r="D20" s="277">
        <v>17.313341416272394</v>
      </c>
      <c r="E20" s="178">
        <f t="shared" si="0"/>
        <v>17.313341416272394</v>
      </c>
      <c r="F20" s="205" t="str">
        <f t="shared" si="1"/>
        <v/>
      </c>
    </row>
    <row r="21" spans="1:7">
      <c r="A21">
        <v>18</v>
      </c>
      <c r="B21" s="46">
        <v>44062</v>
      </c>
      <c r="C21" s="277">
        <v>6.7114400905173097</v>
      </c>
      <c r="D21" s="277">
        <v>17.313341416272394</v>
      </c>
      <c r="E21" s="178">
        <f t="shared" si="0"/>
        <v>6.7114400905173097</v>
      </c>
      <c r="F21" s="205" t="str">
        <f t="shared" si="1"/>
        <v/>
      </c>
    </row>
    <row r="22" spans="1:7">
      <c r="A22">
        <v>19</v>
      </c>
      <c r="B22" s="46">
        <v>44063</v>
      </c>
      <c r="C22" s="277">
        <v>5.7637137785191737</v>
      </c>
      <c r="D22" s="277">
        <v>17.313341416272394</v>
      </c>
      <c r="E22" s="178">
        <f t="shared" si="0"/>
        <v>5.7637137785191737</v>
      </c>
      <c r="F22" s="205" t="str">
        <f t="shared" si="1"/>
        <v/>
      </c>
    </row>
    <row r="23" spans="1:7">
      <c r="A23">
        <v>20</v>
      </c>
      <c r="B23" s="46">
        <v>44064</v>
      </c>
      <c r="C23" s="277">
        <v>15.53273857051917</v>
      </c>
      <c r="D23" s="277">
        <v>17.313341416272394</v>
      </c>
      <c r="E23" s="178">
        <f t="shared" si="0"/>
        <v>15.53273857051917</v>
      </c>
      <c r="F23" s="205" t="str">
        <f t="shared" si="1"/>
        <v/>
      </c>
    </row>
    <row r="24" spans="1:7">
      <c r="A24">
        <v>21</v>
      </c>
      <c r="B24" s="46">
        <v>44065</v>
      </c>
      <c r="C24" s="277">
        <v>4.7785867785173108</v>
      </c>
      <c r="D24" s="277">
        <v>17.313341416272394</v>
      </c>
      <c r="E24" s="178">
        <f t="shared" si="0"/>
        <v>4.7785867785173108</v>
      </c>
      <c r="F24" s="205" t="str">
        <f t="shared" si="1"/>
        <v/>
      </c>
    </row>
    <row r="25" spans="1:7">
      <c r="A25">
        <v>22</v>
      </c>
      <c r="B25" s="46">
        <v>44066</v>
      </c>
      <c r="C25" s="277">
        <v>1.5828672785173112</v>
      </c>
      <c r="D25" s="277">
        <v>17.313341416272394</v>
      </c>
      <c r="E25" s="178">
        <f t="shared" si="0"/>
        <v>1.5828672785173112</v>
      </c>
      <c r="F25" s="205" t="str">
        <f t="shared" si="1"/>
        <v/>
      </c>
    </row>
    <row r="26" spans="1:7">
      <c r="A26">
        <v>23</v>
      </c>
      <c r="B26" s="46">
        <v>44067</v>
      </c>
      <c r="C26" s="277">
        <v>6.5815349585191729</v>
      </c>
      <c r="D26" s="277">
        <v>17.313341416272394</v>
      </c>
      <c r="E26" s="178">
        <f t="shared" si="0"/>
        <v>6.5815349585191729</v>
      </c>
      <c r="F26" s="205" t="str">
        <f t="shared" si="1"/>
        <v/>
      </c>
    </row>
    <row r="27" spans="1:7">
      <c r="A27">
        <v>24</v>
      </c>
      <c r="B27" s="46">
        <v>44068</v>
      </c>
      <c r="C27" s="277">
        <v>25.15890221851917</v>
      </c>
      <c r="D27" s="277">
        <v>17.313341416272394</v>
      </c>
      <c r="E27" s="178">
        <f t="shared" si="0"/>
        <v>17.313341416272394</v>
      </c>
      <c r="F27" s="205" t="str">
        <f t="shared" si="1"/>
        <v/>
      </c>
    </row>
    <row r="28" spans="1:7">
      <c r="A28">
        <v>25</v>
      </c>
      <c r="B28" s="46">
        <v>44069</v>
      </c>
      <c r="C28" s="277">
        <v>31.967876995378262</v>
      </c>
      <c r="D28" s="277">
        <v>17.313341416272394</v>
      </c>
      <c r="E28" s="178">
        <f t="shared" si="0"/>
        <v>17.313341416272394</v>
      </c>
      <c r="F28" s="205" t="str">
        <f t="shared" si="1"/>
        <v/>
      </c>
    </row>
    <row r="29" spans="1:7">
      <c r="A29">
        <v>26</v>
      </c>
      <c r="B29" s="46">
        <v>44070</v>
      </c>
      <c r="C29" s="277">
        <v>13.11201039538013</v>
      </c>
      <c r="D29" s="277">
        <v>17.313341416272394</v>
      </c>
      <c r="E29" s="178">
        <f t="shared" si="0"/>
        <v>13.11201039538013</v>
      </c>
      <c r="F29" s="205" t="str">
        <f t="shared" si="1"/>
        <v/>
      </c>
    </row>
    <row r="30" spans="1:7">
      <c r="A30">
        <v>27</v>
      </c>
      <c r="B30" s="46">
        <v>44071</v>
      </c>
      <c r="C30" s="277">
        <v>6.3395145233819932</v>
      </c>
      <c r="D30" s="277">
        <v>17.313341416272394</v>
      </c>
      <c r="E30" s="178">
        <f t="shared" si="0"/>
        <v>6.3395145233819932</v>
      </c>
      <c r="F30" s="205" t="str">
        <f t="shared" si="1"/>
        <v/>
      </c>
    </row>
    <row r="31" spans="1:7">
      <c r="A31">
        <v>28</v>
      </c>
      <c r="B31" s="46">
        <v>44072</v>
      </c>
      <c r="C31" s="277">
        <v>3.5834837913764059</v>
      </c>
      <c r="D31" s="277">
        <v>17.313341416272394</v>
      </c>
      <c r="E31" s="178">
        <f t="shared" si="0"/>
        <v>3.5834837913764059</v>
      </c>
      <c r="F31" s="205" t="str">
        <f t="shared" si="1"/>
        <v/>
      </c>
    </row>
    <row r="32" spans="1:7">
      <c r="A32">
        <v>29</v>
      </c>
      <c r="B32" s="46">
        <v>44073</v>
      </c>
      <c r="C32" s="277">
        <v>0.59885496938385041</v>
      </c>
      <c r="D32" s="277">
        <v>17.313341416272394</v>
      </c>
      <c r="E32" s="178">
        <f t="shared" si="0"/>
        <v>0.59885496938385041</v>
      </c>
      <c r="F32" s="205" t="str">
        <f t="shared" si="1"/>
        <v/>
      </c>
    </row>
    <row r="33" spans="1:7">
      <c r="A33">
        <v>30</v>
      </c>
      <c r="B33" s="46">
        <v>44074</v>
      </c>
      <c r="C33" s="277">
        <v>0.54639137737826238</v>
      </c>
      <c r="D33" s="277">
        <v>17.313341416272394</v>
      </c>
      <c r="E33" s="178">
        <f t="shared" si="0"/>
        <v>0.54639137737826238</v>
      </c>
      <c r="F33" s="205" t="str">
        <f t="shared" si="1"/>
        <v/>
      </c>
    </row>
    <row r="34" spans="1:7">
      <c r="A34">
        <v>31</v>
      </c>
      <c r="B34" s="46">
        <v>44075</v>
      </c>
      <c r="C34" s="277">
        <v>9.9157058673782661</v>
      </c>
      <c r="D34" s="277">
        <v>20.95959048014743</v>
      </c>
      <c r="E34" s="178">
        <f t="shared" si="0"/>
        <v>9.9157058673782661</v>
      </c>
      <c r="F34" s="205" t="str">
        <f t="shared" si="1"/>
        <v/>
      </c>
    </row>
    <row r="35" spans="1:7">
      <c r="A35">
        <v>32</v>
      </c>
      <c r="B35" s="46">
        <v>44076</v>
      </c>
      <c r="C35" s="277">
        <v>20.153271213409287</v>
      </c>
      <c r="D35" s="277">
        <v>20.95959048014743</v>
      </c>
      <c r="E35" s="178">
        <f t="shared" si="0"/>
        <v>20.153271213409287</v>
      </c>
      <c r="F35" s="205" t="str">
        <f t="shared" si="1"/>
        <v/>
      </c>
    </row>
    <row r="36" spans="1:7">
      <c r="A36">
        <v>33</v>
      </c>
      <c r="B36" s="46">
        <v>44077</v>
      </c>
      <c r="C36" s="277">
        <v>24.629811097405561</v>
      </c>
      <c r="D36" s="277">
        <v>20.95959048014743</v>
      </c>
      <c r="E36" s="178">
        <f t="shared" si="0"/>
        <v>20.95959048014743</v>
      </c>
      <c r="F36" s="205" t="str">
        <f t="shared" si="1"/>
        <v/>
      </c>
    </row>
    <row r="37" spans="1:7">
      <c r="A37">
        <v>34</v>
      </c>
      <c r="B37" s="46">
        <v>44078</v>
      </c>
      <c r="C37" s="277">
        <v>19.219243357407425</v>
      </c>
      <c r="D37" s="277">
        <v>20.95959048014743</v>
      </c>
      <c r="E37" s="178">
        <f t="shared" si="0"/>
        <v>19.219243357407425</v>
      </c>
      <c r="F37" s="205" t="str">
        <f t="shared" si="1"/>
        <v/>
      </c>
    </row>
    <row r="38" spans="1:7">
      <c r="A38">
        <v>35</v>
      </c>
      <c r="B38" s="46">
        <v>44079</v>
      </c>
      <c r="C38" s="277">
        <v>2.4857805174055612</v>
      </c>
      <c r="D38" s="277">
        <v>20.95959048014743</v>
      </c>
      <c r="E38" s="178">
        <f t="shared" si="0"/>
        <v>2.4857805174055612</v>
      </c>
      <c r="F38" s="205" t="str">
        <f t="shared" si="1"/>
        <v/>
      </c>
    </row>
    <row r="39" spans="1:7">
      <c r="A39">
        <v>36</v>
      </c>
      <c r="B39" s="46">
        <v>44080</v>
      </c>
      <c r="C39" s="277">
        <v>1.1927802294074208</v>
      </c>
      <c r="D39" s="277">
        <v>20.95959048014743</v>
      </c>
      <c r="E39" s="178">
        <f t="shared" si="0"/>
        <v>1.1927802294074208</v>
      </c>
      <c r="F39" s="205" t="str">
        <f t="shared" si="1"/>
        <v/>
      </c>
    </row>
    <row r="40" spans="1:7">
      <c r="A40">
        <v>37</v>
      </c>
      <c r="B40" s="46">
        <v>44081</v>
      </c>
      <c r="C40" s="277">
        <v>1.9528572214055602</v>
      </c>
      <c r="D40" s="277">
        <v>20.95959048014743</v>
      </c>
      <c r="E40" s="178">
        <f t="shared" si="0"/>
        <v>1.9528572214055602</v>
      </c>
      <c r="F40" s="205" t="str">
        <f t="shared" si="1"/>
        <v/>
      </c>
    </row>
    <row r="41" spans="1:7">
      <c r="A41">
        <v>38</v>
      </c>
      <c r="B41" s="46">
        <v>44082</v>
      </c>
      <c r="C41" s="277">
        <v>10.516595965407426</v>
      </c>
      <c r="D41" s="277">
        <v>20.95959048014743</v>
      </c>
      <c r="E41" s="178">
        <f t="shared" si="0"/>
        <v>10.516595965407426</v>
      </c>
      <c r="F41" s="205" t="str">
        <f t="shared" si="1"/>
        <v/>
      </c>
    </row>
    <row r="42" spans="1:7">
      <c r="A42">
        <v>39</v>
      </c>
      <c r="B42" s="46">
        <v>44083</v>
      </c>
      <c r="C42" s="277">
        <v>23.06971625332412</v>
      </c>
      <c r="D42" s="277">
        <v>20.95959048014743</v>
      </c>
      <c r="E42" s="178">
        <f t="shared" si="0"/>
        <v>20.95959048014743</v>
      </c>
      <c r="F42" s="205" t="str">
        <f t="shared" si="1"/>
        <v/>
      </c>
    </row>
    <row r="43" spans="1:7">
      <c r="A43">
        <v>40</v>
      </c>
      <c r="B43" s="46">
        <v>44084</v>
      </c>
      <c r="C43" s="277">
        <v>17.835714077325989</v>
      </c>
      <c r="D43" s="277">
        <v>20.95959048014743</v>
      </c>
      <c r="E43" s="178">
        <f t="shared" si="0"/>
        <v>17.835714077325989</v>
      </c>
      <c r="F43" s="205" t="str">
        <f t="shared" si="1"/>
        <v/>
      </c>
    </row>
    <row r="44" spans="1:7">
      <c r="A44">
        <v>41</v>
      </c>
      <c r="B44" s="46">
        <v>44085</v>
      </c>
      <c r="C44" s="277">
        <v>15.430868341322261</v>
      </c>
      <c r="D44" s="277">
        <v>20.95959048014743</v>
      </c>
      <c r="E44" s="178">
        <f t="shared" si="0"/>
        <v>15.430868341322261</v>
      </c>
      <c r="F44" s="205" t="str">
        <f t="shared" si="1"/>
        <v/>
      </c>
    </row>
    <row r="45" spans="1:7">
      <c r="A45">
        <v>42</v>
      </c>
      <c r="B45" s="46">
        <v>44086</v>
      </c>
      <c r="C45" s="277">
        <v>1.5664787813259899</v>
      </c>
      <c r="D45" s="277">
        <v>20.95959048014743</v>
      </c>
      <c r="E45" s="178">
        <f t="shared" si="0"/>
        <v>1.5664787813259899</v>
      </c>
      <c r="F45" s="205" t="str">
        <f t="shared" si="1"/>
        <v/>
      </c>
    </row>
    <row r="46" spans="1:7">
      <c r="A46">
        <v>43</v>
      </c>
      <c r="B46" s="46">
        <v>44087</v>
      </c>
      <c r="C46" s="277">
        <v>1.4851167173222639</v>
      </c>
      <c r="D46" s="277">
        <v>20.95959048014743</v>
      </c>
      <c r="E46" s="178">
        <f t="shared" si="0"/>
        <v>1.4851167173222639</v>
      </c>
      <c r="F46" s="205" t="str">
        <f t="shared" si="1"/>
        <v/>
      </c>
      <c r="G46" s="206" t="str">
        <f>IF(DAY(B46)=15,D46,"")</f>
        <v/>
      </c>
    </row>
    <row r="47" spans="1:7">
      <c r="A47">
        <v>44</v>
      </c>
      <c r="B47" s="46">
        <v>44088</v>
      </c>
      <c r="C47" s="277">
        <v>22.501489901325986</v>
      </c>
      <c r="D47" s="277">
        <v>20.95959048014743</v>
      </c>
      <c r="E47" s="178">
        <f t="shared" si="0"/>
        <v>20.95959048014743</v>
      </c>
      <c r="F47" s="205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/>
      </c>
      <c r="G47" s="206" t="str">
        <f>IF(DAY(B47)=15,D47,"")</f>
        <v/>
      </c>
    </row>
    <row r="48" spans="1:7">
      <c r="A48">
        <v>45</v>
      </c>
      <c r="B48" s="46">
        <v>44089</v>
      </c>
      <c r="C48" s="277">
        <v>36.529274045324129</v>
      </c>
      <c r="D48" s="277">
        <v>20.95959048014743</v>
      </c>
      <c r="E48" s="178">
        <f t="shared" si="0"/>
        <v>20.95959048014743</v>
      </c>
      <c r="F48" s="205" t="str">
        <f t="shared" si="1"/>
        <v>S</v>
      </c>
      <c r="G48" s="206">
        <f>IF(DAY(B48)=15,D48,"")</f>
        <v>20.95959048014743</v>
      </c>
    </row>
    <row r="49" spans="1:6">
      <c r="A49">
        <v>46</v>
      </c>
      <c r="B49" s="46">
        <v>44090</v>
      </c>
      <c r="C49" s="277">
        <v>49.211002997035102</v>
      </c>
      <c r="D49" s="277">
        <v>20.95959048014743</v>
      </c>
      <c r="E49" s="178">
        <f t="shared" si="0"/>
        <v>20.95959048014743</v>
      </c>
      <c r="F49" s="205" t="str">
        <f t="shared" si="1"/>
        <v/>
      </c>
    </row>
    <row r="50" spans="1:6">
      <c r="A50">
        <v>47</v>
      </c>
      <c r="B50" s="46">
        <v>44091</v>
      </c>
      <c r="C50" s="277">
        <v>23.439750845033238</v>
      </c>
      <c r="D50" s="277">
        <v>20.95959048014743</v>
      </c>
      <c r="E50" s="178">
        <f t="shared" si="0"/>
        <v>20.95959048014743</v>
      </c>
      <c r="F50" s="205" t="str">
        <f t="shared" si="1"/>
        <v/>
      </c>
    </row>
    <row r="51" spans="1:6">
      <c r="A51">
        <v>48</v>
      </c>
      <c r="B51" s="46">
        <v>44092</v>
      </c>
      <c r="C51" s="277">
        <v>17.305753081036965</v>
      </c>
      <c r="D51" s="277">
        <v>20.95959048014743</v>
      </c>
      <c r="E51" s="178">
        <f t="shared" si="0"/>
        <v>17.305753081036965</v>
      </c>
      <c r="F51" s="205" t="str">
        <f t="shared" si="1"/>
        <v/>
      </c>
    </row>
    <row r="52" spans="1:6">
      <c r="A52">
        <v>49</v>
      </c>
      <c r="B52" s="46">
        <v>44093</v>
      </c>
      <c r="C52" s="277">
        <v>7.5177133050350964</v>
      </c>
      <c r="D52" s="277">
        <v>20.95959048014743</v>
      </c>
      <c r="E52" s="178">
        <f t="shared" si="0"/>
        <v>7.5177133050350964</v>
      </c>
      <c r="F52" s="205" t="str">
        <f t="shared" si="1"/>
        <v/>
      </c>
    </row>
    <row r="53" spans="1:6">
      <c r="A53">
        <v>50</v>
      </c>
      <c r="B53" s="46">
        <v>44094</v>
      </c>
      <c r="C53" s="277">
        <v>6.3890751850351011</v>
      </c>
      <c r="D53" s="277">
        <v>20.95959048014743</v>
      </c>
      <c r="E53" s="178">
        <f t="shared" si="0"/>
        <v>6.3890751850351011</v>
      </c>
      <c r="F53" s="205" t="str">
        <f t="shared" si="1"/>
        <v/>
      </c>
    </row>
    <row r="54" spans="1:6">
      <c r="A54">
        <v>51</v>
      </c>
      <c r="B54" s="46">
        <v>44095</v>
      </c>
      <c r="C54" s="277">
        <v>29.609922117035094</v>
      </c>
      <c r="D54" s="277">
        <v>20.95959048014743</v>
      </c>
      <c r="E54" s="178">
        <f t="shared" si="0"/>
        <v>20.95959048014743</v>
      </c>
      <c r="F54" s="205" t="str">
        <f t="shared" si="1"/>
        <v/>
      </c>
    </row>
    <row r="55" spans="1:6">
      <c r="A55">
        <v>52</v>
      </c>
      <c r="B55" s="46">
        <v>44096</v>
      </c>
      <c r="C55" s="277">
        <v>41.249954653035104</v>
      </c>
      <c r="D55" s="277">
        <v>20.95959048014743</v>
      </c>
      <c r="E55" s="178">
        <f t="shared" si="0"/>
        <v>20.95959048014743</v>
      </c>
      <c r="F55" s="205" t="str">
        <f t="shared" si="1"/>
        <v/>
      </c>
    </row>
    <row r="56" spans="1:6">
      <c r="A56">
        <v>53</v>
      </c>
      <c r="B56" s="46">
        <v>44097</v>
      </c>
      <c r="C56" s="277">
        <v>47.738555841733351</v>
      </c>
      <c r="D56" s="277">
        <v>20.95959048014743</v>
      </c>
      <c r="E56" s="178">
        <f t="shared" si="0"/>
        <v>20.95959048014743</v>
      </c>
      <c r="F56" s="205" t="str">
        <f t="shared" si="1"/>
        <v/>
      </c>
    </row>
    <row r="57" spans="1:6">
      <c r="A57">
        <v>54</v>
      </c>
      <c r="B57" s="46">
        <v>44098</v>
      </c>
      <c r="C57" s="277">
        <v>28.364571265733343</v>
      </c>
      <c r="D57" s="277">
        <v>20.95959048014743</v>
      </c>
      <c r="E57" s="178">
        <f t="shared" si="0"/>
        <v>20.95959048014743</v>
      </c>
      <c r="F57" s="205" t="str">
        <f t="shared" si="1"/>
        <v/>
      </c>
    </row>
    <row r="58" spans="1:6">
      <c r="A58">
        <v>55</v>
      </c>
      <c r="B58" s="46">
        <v>44099</v>
      </c>
      <c r="C58" s="277">
        <v>14.38581081373521</v>
      </c>
      <c r="D58" s="277">
        <v>20.95959048014743</v>
      </c>
      <c r="E58" s="178">
        <f t="shared" si="0"/>
        <v>14.38581081373521</v>
      </c>
      <c r="F58" s="205" t="str">
        <f t="shared" si="1"/>
        <v/>
      </c>
    </row>
    <row r="59" spans="1:6">
      <c r="A59">
        <v>56</v>
      </c>
      <c r="B59" s="46">
        <v>44100</v>
      </c>
      <c r="C59" s="277">
        <v>9.8621068577314794</v>
      </c>
      <c r="D59" s="277">
        <v>20.95959048014743</v>
      </c>
      <c r="E59" s="178">
        <f t="shared" si="0"/>
        <v>9.8621068577314794</v>
      </c>
      <c r="F59" s="205" t="str">
        <f t="shared" si="1"/>
        <v/>
      </c>
    </row>
    <row r="60" spans="1:6">
      <c r="A60">
        <v>57</v>
      </c>
      <c r="B60" s="46">
        <v>44101</v>
      </c>
      <c r="C60" s="277">
        <v>13.26400406973521</v>
      </c>
      <c r="D60" s="277">
        <v>20.95959048014743</v>
      </c>
      <c r="E60" s="178">
        <f t="shared" si="0"/>
        <v>13.26400406973521</v>
      </c>
      <c r="F60" s="205" t="str">
        <f t="shared" si="1"/>
        <v/>
      </c>
    </row>
    <row r="61" spans="1:6">
      <c r="A61">
        <v>58</v>
      </c>
      <c r="B61" s="46">
        <v>44102</v>
      </c>
      <c r="C61" s="277">
        <v>20.942873981735211</v>
      </c>
      <c r="D61" s="277">
        <v>20.95959048014743</v>
      </c>
      <c r="E61" s="178">
        <f t="shared" si="0"/>
        <v>20.942873981735211</v>
      </c>
      <c r="F61" s="205" t="str">
        <f t="shared" si="1"/>
        <v/>
      </c>
    </row>
    <row r="62" spans="1:6">
      <c r="A62">
        <v>59</v>
      </c>
      <c r="B62" s="46">
        <v>44103</v>
      </c>
      <c r="C62" s="277">
        <v>31.611556617735207</v>
      </c>
      <c r="D62" s="277">
        <v>20.95959048014743</v>
      </c>
      <c r="E62" s="178">
        <f t="shared" si="0"/>
        <v>20.95959048014743</v>
      </c>
      <c r="F62" s="205" t="str">
        <f t="shared" si="1"/>
        <v/>
      </c>
    </row>
    <row r="63" spans="1:6">
      <c r="A63">
        <v>60</v>
      </c>
      <c r="B63" s="46">
        <v>44104</v>
      </c>
      <c r="C63" s="277">
        <v>49.582627884398121</v>
      </c>
      <c r="D63" s="277">
        <v>20.95959048014743</v>
      </c>
      <c r="E63" s="178">
        <f t="shared" si="0"/>
        <v>20.95959048014743</v>
      </c>
      <c r="F63" s="205" t="str">
        <f t="shared" si="1"/>
        <v/>
      </c>
    </row>
    <row r="64" spans="1:6">
      <c r="A64">
        <v>61</v>
      </c>
      <c r="B64" s="46">
        <v>44105</v>
      </c>
      <c r="C64" s="277">
        <v>34.494749008399985</v>
      </c>
      <c r="D64" s="277">
        <v>41.360965957335978</v>
      </c>
      <c r="E64" s="178">
        <f t="shared" si="0"/>
        <v>34.494749008399985</v>
      </c>
      <c r="F64" s="205" t="str">
        <f t="shared" si="1"/>
        <v/>
      </c>
    </row>
    <row r="65" spans="1:7">
      <c r="A65">
        <v>62</v>
      </c>
      <c r="B65" s="46">
        <v>44106</v>
      </c>
      <c r="C65" s="277">
        <v>33.263345404401854</v>
      </c>
      <c r="D65" s="277">
        <v>41.360965957335978</v>
      </c>
      <c r="E65" s="178">
        <f t="shared" si="0"/>
        <v>33.263345404401854</v>
      </c>
      <c r="F65" s="205" t="str">
        <f t="shared" si="1"/>
        <v/>
      </c>
    </row>
    <row r="66" spans="1:7">
      <c r="A66">
        <v>63</v>
      </c>
      <c r="B66" s="46">
        <v>44107</v>
      </c>
      <c r="C66" s="277">
        <v>31.916821480398124</v>
      </c>
      <c r="D66" s="277">
        <v>41.360965957335978</v>
      </c>
      <c r="E66" s="178">
        <f t="shared" si="0"/>
        <v>31.916821480398124</v>
      </c>
      <c r="F66" s="205" t="str">
        <f t="shared" si="1"/>
        <v/>
      </c>
    </row>
    <row r="67" spans="1:7">
      <c r="A67">
        <v>64</v>
      </c>
      <c r="B67" s="46">
        <v>44108</v>
      </c>
      <c r="C67" s="277">
        <v>32.320732376400919</v>
      </c>
      <c r="D67" s="277">
        <v>41.360965957335978</v>
      </c>
      <c r="E67" s="178">
        <f t="shared" si="0"/>
        <v>32.320732376400919</v>
      </c>
      <c r="F67" s="205" t="str">
        <f t="shared" si="1"/>
        <v/>
      </c>
    </row>
    <row r="68" spans="1:7">
      <c r="A68">
        <v>65</v>
      </c>
      <c r="B68" s="46">
        <v>44109</v>
      </c>
      <c r="C68" s="277">
        <v>36.530324628400912</v>
      </c>
      <c r="D68" s="277">
        <v>41.360965957335978</v>
      </c>
      <c r="E68" s="178">
        <f t="shared" ref="E68:E131" si="2">IF(C68&lt;D68,C68,D68)</f>
        <v>36.530324628400912</v>
      </c>
      <c r="F68" s="205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44110</v>
      </c>
      <c r="C69" s="277">
        <v>44.161732320401846</v>
      </c>
      <c r="D69" s="277">
        <v>41.360965957335978</v>
      </c>
      <c r="E69" s="178">
        <f t="shared" si="2"/>
        <v>41.360965957335978</v>
      </c>
      <c r="F69" s="205" t="str">
        <f t="shared" si="3"/>
        <v/>
      </c>
    </row>
    <row r="70" spans="1:7">
      <c r="A70">
        <v>67</v>
      </c>
      <c r="B70" s="46">
        <v>44111</v>
      </c>
      <c r="C70" s="277">
        <v>51.275678575480406</v>
      </c>
      <c r="D70" s="277">
        <v>41.360965957335978</v>
      </c>
      <c r="E70" s="178">
        <f t="shared" si="2"/>
        <v>41.360965957335978</v>
      </c>
      <c r="F70" s="205" t="str">
        <f t="shared" si="3"/>
        <v/>
      </c>
    </row>
    <row r="71" spans="1:7">
      <c r="A71">
        <v>68</v>
      </c>
      <c r="B71" s="46">
        <v>44112</v>
      </c>
      <c r="C71" s="277">
        <v>57.804757795484143</v>
      </c>
      <c r="D71" s="277">
        <v>41.360965957335978</v>
      </c>
      <c r="E71" s="178">
        <f t="shared" si="2"/>
        <v>41.360965957335978</v>
      </c>
      <c r="F71" s="205" t="str">
        <f t="shared" si="3"/>
        <v/>
      </c>
    </row>
    <row r="72" spans="1:7">
      <c r="A72">
        <v>69</v>
      </c>
      <c r="B72" s="46">
        <v>44113</v>
      </c>
      <c r="C72" s="277">
        <v>58.90136793548227</v>
      </c>
      <c r="D72" s="277">
        <v>41.360965957335978</v>
      </c>
      <c r="E72" s="178">
        <f t="shared" si="2"/>
        <v>41.360965957335978</v>
      </c>
      <c r="F72" s="205" t="str">
        <f t="shared" si="3"/>
        <v/>
      </c>
    </row>
    <row r="73" spans="1:7">
      <c r="A73">
        <v>70</v>
      </c>
      <c r="B73" s="46">
        <v>44114</v>
      </c>
      <c r="C73" s="277">
        <v>31.952608363482273</v>
      </c>
      <c r="D73" s="277">
        <v>41.360965957335978</v>
      </c>
      <c r="E73" s="178">
        <f t="shared" si="2"/>
        <v>31.952608363482273</v>
      </c>
      <c r="F73" s="205" t="str">
        <f t="shared" si="3"/>
        <v/>
      </c>
    </row>
    <row r="74" spans="1:7">
      <c r="A74">
        <v>71</v>
      </c>
      <c r="B74" s="46">
        <v>44115</v>
      </c>
      <c r="C74" s="277">
        <v>27.311554463484136</v>
      </c>
      <c r="D74" s="277">
        <v>41.360965957335978</v>
      </c>
      <c r="E74" s="178">
        <f t="shared" si="2"/>
        <v>27.311554463484136</v>
      </c>
      <c r="F74" s="205" t="str">
        <f t="shared" si="3"/>
        <v/>
      </c>
    </row>
    <row r="75" spans="1:7">
      <c r="A75">
        <v>72</v>
      </c>
      <c r="B75" s="46">
        <v>44116</v>
      </c>
      <c r="C75" s="277">
        <v>33.411277655482273</v>
      </c>
      <c r="D75" s="277">
        <v>41.360965957335978</v>
      </c>
      <c r="E75" s="178">
        <f t="shared" si="2"/>
        <v>33.411277655482273</v>
      </c>
      <c r="F75" s="205" t="str">
        <f t="shared" si="3"/>
        <v/>
      </c>
    </row>
    <row r="76" spans="1:7">
      <c r="A76">
        <v>73</v>
      </c>
      <c r="B76" s="46">
        <v>44117</v>
      </c>
      <c r="C76" s="277">
        <v>57.046941845482273</v>
      </c>
      <c r="D76" s="277">
        <v>41.360965957335978</v>
      </c>
      <c r="E76" s="178">
        <f t="shared" si="2"/>
        <v>41.360965957335978</v>
      </c>
      <c r="F76" s="205" t="str">
        <f t="shared" si="3"/>
        <v/>
      </c>
    </row>
    <row r="77" spans="1:7">
      <c r="A77">
        <v>74</v>
      </c>
      <c r="B77" s="46">
        <v>44118</v>
      </c>
      <c r="C77" s="277">
        <v>40.685804836433135</v>
      </c>
      <c r="D77" s="277">
        <v>41.360965957335978</v>
      </c>
      <c r="E77" s="178">
        <f t="shared" si="2"/>
        <v>40.685804836433135</v>
      </c>
      <c r="F77" s="205" t="str">
        <f t="shared" si="3"/>
        <v/>
      </c>
      <c r="G77" s="206" t="str">
        <f>IF(DAY(B77)=15,D77,"")</f>
        <v/>
      </c>
    </row>
    <row r="78" spans="1:7">
      <c r="A78">
        <v>75</v>
      </c>
      <c r="B78" s="46">
        <v>44119</v>
      </c>
      <c r="C78" s="277">
        <v>49.477684980431263</v>
      </c>
      <c r="D78" s="277">
        <v>41.360965957335978</v>
      </c>
      <c r="E78" s="178">
        <f t="shared" si="2"/>
        <v>41.360965957335978</v>
      </c>
      <c r="F78" s="205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O</v>
      </c>
      <c r="G78" s="206">
        <f>IF(DAY(B78)=15,D78,"")</f>
        <v>41.360965957335978</v>
      </c>
    </row>
    <row r="79" spans="1:7">
      <c r="A79">
        <v>76</v>
      </c>
      <c r="B79" s="46">
        <v>44120</v>
      </c>
      <c r="C79" s="277">
        <v>55.657722726433128</v>
      </c>
      <c r="D79" s="277">
        <v>41.360965957335978</v>
      </c>
      <c r="E79" s="178">
        <f t="shared" si="2"/>
        <v>41.360965957335978</v>
      </c>
      <c r="F79" s="205" t="str">
        <f>IF(DAY(B79)=15,IF(MONTH(B79)=1,"E",IF(MONTH(B79)=2,"F",IF(MONTH(B79)=3,"M",IF(MONTH(B79)=4,"A",IF(MONTH(B79)=5,"M",IF(MONTH(B79)=6,"J",IF(MONTH(B79)=7,"J",IF(MONTH(B79)=8,"A",IF(MONTH(B79)=9,"S",IF(MONTH(B79)=10,"O",IF(MONTH(B79)=11,"N",IF(MONTH(B79)=12,"D","")))))))))))),"")</f>
        <v/>
      </c>
      <c r="G79" s="206" t="str">
        <f>IF(DAY(B79)=15,D79,"")</f>
        <v/>
      </c>
    </row>
    <row r="80" spans="1:7">
      <c r="A80">
        <v>77</v>
      </c>
      <c r="B80" s="46">
        <v>44121</v>
      </c>
      <c r="C80" s="277">
        <v>60.389695256433129</v>
      </c>
      <c r="D80" s="277">
        <v>41.360965957335978</v>
      </c>
      <c r="E80" s="178">
        <f t="shared" si="2"/>
        <v>41.360965957335978</v>
      </c>
      <c r="F80" s="205" t="str">
        <f t="shared" si="3"/>
        <v/>
      </c>
    </row>
    <row r="81" spans="1:6">
      <c r="A81">
        <v>78</v>
      </c>
      <c r="B81" s="46">
        <v>44122</v>
      </c>
      <c r="C81" s="277">
        <v>50.658292656433126</v>
      </c>
      <c r="D81" s="277">
        <v>41.360965957335978</v>
      </c>
      <c r="E81" s="178">
        <f t="shared" si="2"/>
        <v>41.360965957335978</v>
      </c>
      <c r="F81" s="205" t="str">
        <f t="shared" si="3"/>
        <v/>
      </c>
    </row>
    <row r="82" spans="1:6">
      <c r="A82">
        <v>79</v>
      </c>
      <c r="B82" s="46">
        <v>44123</v>
      </c>
      <c r="C82" s="277">
        <v>17.849682186431274</v>
      </c>
      <c r="D82" s="277">
        <v>41.360965957335978</v>
      </c>
      <c r="E82" s="178">
        <f t="shared" si="2"/>
        <v>17.849682186431274</v>
      </c>
      <c r="F82" s="205" t="str">
        <f t="shared" si="3"/>
        <v/>
      </c>
    </row>
    <row r="83" spans="1:6">
      <c r="A83">
        <v>80</v>
      </c>
      <c r="B83" s="46">
        <v>44124</v>
      </c>
      <c r="C83" s="277">
        <v>33.288567356433134</v>
      </c>
      <c r="D83" s="277">
        <v>41.360965957335978</v>
      </c>
      <c r="E83" s="178">
        <f t="shared" si="2"/>
        <v>33.288567356433134</v>
      </c>
      <c r="F83" s="205" t="str">
        <f t="shared" si="3"/>
        <v/>
      </c>
    </row>
    <row r="84" spans="1:6">
      <c r="A84">
        <v>81</v>
      </c>
      <c r="B84" s="46">
        <v>44125</v>
      </c>
      <c r="C84" s="277">
        <v>97.476409926170803</v>
      </c>
      <c r="D84" s="277">
        <v>41.360965957335978</v>
      </c>
      <c r="E84" s="178">
        <f t="shared" si="2"/>
        <v>41.360965957335978</v>
      </c>
      <c r="F84" s="205" t="str">
        <f t="shared" si="3"/>
        <v/>
      </c>
    </row>
    <row r="85" spans="1:6">
      <c r="A85">
        <v>82</v>
      </c>
      <c r="B85" s="46">
        <v>44126</v>
      </c>
      <c r="C85" s="277">
        <v>126.2414094481708</v>
      </c>
      <c r="D85" s="277">
        <v>41.360965957335978</v>
      </c>
      <c r="E85" s="178">
        <f t="shared" si="2"/>
        <v>41.360965957335978</v>
      </c>
      <c r="F85" s="205" t="str">
        <f t="shared" si="3"/>
        <v/>
      </c>
    </row>
    <row r="86" spans="1:6">
      <c r="A86">
        <v>83</v>
      </c>
      <c r="B86" s="46">
        <v>44127</v>
      </c>
      <c r="C86" s="277">
        <v>116.10034370617173</v>
      </c>
      <c r="D86" s="277">
        <v>41.360965957335978</v>
      </c>
      <c r="E86" s="178">
        <f t="shared" si="2"/>
        <v>41.360965957335978</v>
      </c>
      <c r="F86" s="205" t="str">
        <f t="shared" si="3"/>
        <v/>
      </c>
    </row>
    <row r="87" spans="1:6">
      <c r="A87">
        <v>84</v>
      </c>
      <c r="B87" s="46">
        <v>44128</v>
      </c>
      <c r="C87" s="277">
        <v>92.92507380816987</v>
      </c>
      <c r="D87" s="277">
        <v>41.360965957335978</v>
      </c>
      <c r="E87" s="178">
        <f t="shared" si="2"/>
        <v>41.360965957335978</v>
      </c>
      <c r="F87" s="205" t="str">
        <f t="shared" si="3"/>
        <v/>
      </c>
    </row>
    <row r="88" spans="1:6">
      <c r="A88">
        <v>85</v>
      </c>
      <c r="B88" s="46">
        <v>44129</v>
      </c>
      <c r="C88" s="277">
        <v>89.938227088171729</v>
      </c>
      <c r="D88" s="277">
        <v>41.360965957335978</v>
      </c>
      <c r="E88" s="178">
        <f t="shared" si="2"/>
        <v>41.360965957335978</v>
      </c>
      <c r="F88" s="205" t="str">
        <f t="shared" si="3"/>
        <v/>
      </c>
    </row>
    <row r="89" spans="1:6">
      <c r="A89">
        <v>86</v>
      </c>
      <c r="B89" s="46">
        <v>44130</v>
      </c>
      <c r="C89" s="277">
        <v>109.4669571661708</v>
      </c>
      <c r="D89" s="277">
        <v>41.360965957335978</v>
      </c>
      <c r="E89" s="178">
        <f t="shared" si="2"/>
        <v>41.360965957335978</v>
      </c>
      <c r="F89" s="205" t="str">
        <f t="shared" si="3"/>
        <v/>
      </c>
    </row>
    <row r="90" spans="1:6">
      <c r="A90">
        <v>87</v>
      </c>
      <c r="B90" s="46">
        <v>44131</v>
      </c>
      <c r="C90" s="277">
        <v>110.00145380616986</v>
      </c>
      <c r="D90" s="277">
        <v>41.360965957335978</v>
      </c>
      <c r="E90" s="178">
        <f t="shared" si="2"/>
        <v>41.360965957335978</v>
      </c>
      <c r="F90" s="205" t="str">
        <f t="shared" si="3"/>
        <v/>
      </c>
    </row>
    <row r="91" spans="1:6">
      <c r="A91">
        <v>88</v>
      </c>
      <c r="B91" s="46">
        <v>44132</v>
      </c>
      <c r="C91" s="277">
        <v>97.71259092256328</v>
      </c>
      <c r="D91" s="277">
        <v>41.360965957335978</v>
      </c>
      <c r="E91" s="178">
        <f t="shared" si="2"/>
        <v>41.360965957335978</v>
      </c>
      <c r="F91" s="205" t="str">
        <f t="shared" si="3"/>
        <v/>
      </c>
    </row>
    <row r="92" spans="1:6">
      <c r="A92">
        <v>89</v>
      </c>
      <c r="B92" s="46">
        <v>44133</v>
      </c>
      <c r="C92" s="277">
        <v>100.97976351856143</v>
      </c>
      <c r="D92" s="277">
        <v>41.360965957335978</v>
      </c>
      <c r="E92" s="178">
        <f t="shared" si="2"/>
        <v>41.360965957335978</v>
      </c>
      <c r="F92" s="205" t="str">
        <f t="shared" si="3"/>
        <v/>
      </c>
    </row>
    <row r="93" spans="1:6">
      <c r="A93">
        <v>90</v>
      </c>
      <c r="B93" s="46">
        <v>44134</v>
      </c>
      <c r="C93" s="277">
        <v>95.019777810563269</v>
      </c>
      <c r="D93" s="277">
        <v>41.360965957335978</v>
      </c>
      <c r="E93" s="178">
        <f t="shared" si="2"/>
        <v>41.360965957335978</v>
      </c>
      <c r="F93" s="205" t="str">
        <f t="shared" si="3"/>
        <v/>
      </c>
    </row>
    <row r="94" spans="1:6">
      <c r="A94">
        <v>91</v>
      </c>
      <c r="B94" s="46">
        <v>44135</v>
      </c>
      <c r="C94" s="277">
        <v>73.238647778563291</v>
      </c>
      <c r="D94" s="277">
        <v>41.360965957335978</v>
      </c>
      <c r="E94" s="178">
        <f t="shared" si="2"/>
        <v>41.360965957335978</v>
      </c>
      <c r="F94" s="205" t="str">
        <f t="shared" si="3"/>
        <v/>
      </c>
    </row>
    <row r="95" spans="1:6">
      <c r="A95">
        <v>92</v>
      </c>
      <c r="B95" s="46">
        <v>44136</v>
      </c>
      <c r="C95" s="277">
        <v>67.491461476561412</v>
      </c>
      <c r="D95" s="277">
        <v>85.678144231829236</v>
      </c>
      <c r="E95" s="178">
        <f t="shared" si="2"/>
        <v>67.491461476561412</v>
      </c>
      <c r="F95" s="205" t="str">
        <f t="shared" si="3"/>
        <v/>
      </c>
    </row>
    <row r="96" spans="1:6">
      <c r="A96">
        <v>93</v>
      </c>
      <c r="B96" s="46">
        <v>44137</v>
      </c>
      <c r="C96" s="277">
        <v>90.539297578563279</v>
      </c>
      <c r="D96" s="277">
        <v>85.678144231829236</v>
      </c>
      <c r="E96" s="178">
        <f t="shared" si="2"/>
        <v>85.678144231829236</v>
      </c>
      <c r="F96" s="205" t="str">
        <f t="shared" si="3"/>
        <v/>
      </c>
    </row>
    <row r="97" spans="1:7">
      <c r="A97">
        <v>94</v>
      </c>
      <c r="B97" s="46">
        <v>44138</v>
      </c>
      <c r="C97" s="277">
        <v>84.920933158563273</v>
      </c>
      <c r="D97" s="277">
        <v>85.678144231829236</v>
      </c>
      <c r="E97" s="178">
        <f t="shared" si="2"/>
        <v>84.920933158563273</v>
      </c>
      <c r="F97" s="205" t="str">
        <f t="shared" si="3"/>
        <v/>
      </c>
    </row>
    <row r="98" spans="1:7">
      <c r="A98">
        <v>95</v>
      </c>
      <c r="B98" s="46">
        <v>44139</v>
      </c>
      <c r="C98" s="277">
        <v>92.090104163520209</v>
      </c>
      <c r="D98" s="277">
        <v>85.678144231829236</v>
      </c>
      <c r="E98" s="178">
        <f t="shared" si="2"/>
        <v>85.678144231829236</v>
      </c>
      <c r="F98" s="205" t="str">
        <f t="shared" si="3"/>
        <v/>
      </c>
    </row>
    <row r="99" spans="1:7">
      <c r="A99">
        <v>96</v>
      </c>
      <c r="B99" s="46">
        <v>44140</v>
      </c>
      <c r="C99" s="277">
        <v>85.06945982151835</v>
      </c>
      <c r="D99" s="277">
        <v>85.678144231829236</v>
      </c>
      <c r="E99" s="178">
        <f t="shared" si="2"/>
        <v>85.06945982151835</v>
      </c>
      <c r="F99" s="205" t="str">
        <f t="shared" si="3"/>
        <v/>
      </c>
    </row>
    <row r="100" spans="1:7">
      <c r="A100">
        <v>97</v>
      </c>
      <c r="B100" s="46">
        <v>44141</v>
      </c>
      <c r="C100" s="277">
        <v>82.499194099520196</v>
      </c>
      <c r="D100" s="277">
        <v>85.678144231829236</v>
      </c>
      <c r="E100" s="178">
        <f t="shared" si="2"/>
        <v>82.499194099520196</v>
      </c>
      <c r="F100" s="205" t="str">
        <f t="shared" si="3"/>
        <v/>
      </c>
    </row>
    <row r="101" spans="1:7">
      <c r="A101">
        <v>98</v>
      </c>
      <c r="B101" s="46">
        <v>44142</v>
      </c>
      <c r="C101" s="277">
        <v>85.196646417518352</v>
      </c>
      <c r="D101" s="277">
        <v>85.678144231829236</v>
      </c>
      <c r="E101" s="178">
        <f t="shared" si="2"/>
        <v>85.196646417518352</v>
      </c>
      <c r="F101" s="205" t="str">
        <f t="shared" si="3"/>
        <v/>
      </c>
    </row>
    <row r="102" spans="1:7">
      <c r="A102">
        <v>99</v>
      </c>
      <c r="B102" s="46">
        <v>44143</v>
      </c>
      <c r="C102" s="277">
        <v>88.352665449518341</v>
      </c>
      <c r="D102" s="277">
        <v>85.678144231829236</v>
      </c>
      <c r="E102" s="178">
        <f t="shared" si="2"/>
        <v>85.678144231829236</v>
      </c>
      <c r="F102" s="205" t="str">
        <f t="shared" si="3"/>
        <v/>
      </c>
    </row>
    <row r="103" spans="1:7">
      <c r="A103">
        <v>100</v>
      </c>
      <c r="B103" s="46">
        <v>44144</v>
      </c>
      <c r="C103" s="277">
        <v>122.2032016355202</v>
      </c>
      <c r="D103" s="277">
        <v>85.678144231829236</v>
      </c>
      <c r="E103" s="178">
        <f t="shared" si="2"/>
        <v>85.678144231829236</v>
      </c>
      <c r="F103" s="205" t="str">
        <f t="shared" si="3"/>
        <v/>
      </c>
    </row>
    <row r="104" spans="1:7">
      <c r="A104">
        <v>101</v>
      </c>
      <c r="B104" s="46">
        <v>44145</v>
      </c>
      <c r="C104" s="277">
        <v>133.2698394595202</v>
      </c>
      <c r="D104" s="277">
        <v>85.678144231829236</v>
      </c>
      <c r="E104" s="178">
        <f t="shared" si="2"/>
        <v>85.678144231829236</v>
      </c>
      <c r="F104" s="205" t="str">
        <f t="shared" si="3"/>
        <v/>
      </c>
    </row>
    <row r="105" spans="1:7">
      <c r="A105">
        <v>102</v>
      </c>
      <c r="B105" s="46">
        <v>44146</v>
      </c>
      <c r="C105" s="277">
        <v>92.376966588720165</v>
      </c>
      <c r="D105" s="277">
        <v>85.678144231829236</v>
      </c>
      <c r="E105" s="178">
        <f t="shared" si="2"/>
        <v>85.678144231829236</v>
      </c>
      <c r="F105" s="205" t="str">
        <f t="shared" si="3"/>
        <v/>
      </c>
    </row>
    <row r="106" spans="1:7">
      <c r="A106">
        <v>103</v>
      </c>
      <c r="B106" s="46">
        <v>44147</v>
      </c>
      <c r="C106" s="277">
        <v>96.612491752722022</v>
      </c>
      <c r="D106" s="277">
        <v>85.678144231829236</v>
      </c>
      <c r="E106" s="178">
        <f t="shared" si="2"/>
        <v>85.678144231829236</v>
      </c>
      <c r="F106" s="205" t="str">
        <f t="shared" si="3"/>
        <v/>
      </c>
    </row>
    <row r="107" spans="1:7">
      <c r="A107">
        <v>104</v>
      </c>
      <c r="B107" s="46">
        <v>44148</v>
      </c>
      <c r="C107" s="277">
        <v>95.489208220722034</v>
      </c>
      <c r="D107" s="277">
        <v>85.678144231829236</v>
      </c>
      <c r="E107" s="178">
        <f t="shared" si="2"/>
        <v>85.678144231829236</v>
      </c>
      <c r="F107" s="205" t="str">
        <f t="shared" si="3"/>
        <v/>
      </c>
      <c r="G107" s="206" t="str">
        <f>IF(DAY(B107)=15,D107,"")</f>
        <v/>
      </c>
    </row>
    <row r="108" spans="1:7">
      <c r="A108">
        <v>105</v>
      </c>
      <c r="B108" s="46">
        <v>44149</v>
      </c>
      <c r="C108" s="277">
        <v>70.060299420722032</v>
      </c>
      <c r="D108" s="277">
        <v>85.678144231829236</v>
      </c>
      <c r="E108" s="178">
        <f t="shared" si="2"/>
        <v>70.060299420722032</v>
      </c>
      <c r="F108" s="205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/>
      </c>
      <c r="G108" s="206" t="str">
        <f>IF(DAY(B108)=15,D108,"")</f>
        <v/>
      </c>
    </row>
    <row r="109" spans="1:7">
      <c r="A109">
        <v>106</v>
      </c>
      <c r="B109" s="46">
        <v>44150</v>
      </c>
      <c r="C109" s="277">
        <v>48.015287764720171</v>
      </c>
      <c r="D109" s="277">
        <v>85.678144231829236</v>
      </c>
      <c r="E109" s="178">
        <f t="shared" si="2"/>
        <v>48.015287764720171</v>
      </c>
      <c r="F109" s="205" t="str">
        <f t="shared" si="3"/>
        <v>N</v>
      </c>
      <c r="G109" s="206">
        <f>IF(DAY(B109)=15,D109,"")</f>
        <v>85.678144231829236</v>
      </c>
    </row>
    <row r="110" spans="1:7">
      <c r="A110">
        <v>107</v>
      </c>
      <c r="B110" s="46">
        <v>44151</v>
      </c>
      <c r="C110" s="277">
        <v>87.2994411447239</v>
      </c>
      <c r="D110" s="277">
        <v>85.678144231829236</v>
      </c>
      <c r="E110" s="178">
        <f t="shared" si="2"/>
        <v>85.678144231829236</v>
      </c>
      <c r="F110" s="205" t="str">
        <f t="shared" si="3"/>
        <v/>
      </c>
    </row>
    <row r="111" spans="1:7">
      <c r="A111">
        <v>108</v>
      </c>
      <c r="B111" s="46">
        <v>44152</v>
      </c>
      <c r="C111" s="277">
        <v>92.342187160720158</v>
      </c>
      <c r="D111" s="277">
        <v>85.678144231829236</v>
      </c>
      <c r="E111" s="178">
        <f t="shared" si="2"/>
        <v>85.678144231829236</v>
      </c>
      <c r="F111" s="205" t="str">
        <f t="shared" si="3"/>
        <v/>
      </c>
    </row>
    <row r="112" spans="1:7">
      <c r="A112">
        <v>109</v>
      </c>
      <c r="B112" s="46">
        <v>44153</v>
      </c>
      <c r="C112" s="277">
        <v>70.111621425442806</v>
      </c>
      <c r="D112" s="277">
        <v>85.678144231829236</v>
      </c>
      <c r="E112" s="178">
        <f t="shared" si="2"/>
        <v>70.111621425442806</v>
      </c>
      <c r="F112" s="205" t="str">
        <f t="shared" si="3"/>
        <v/>
      </c>
    </row>
    <row r="113" spans="1:6">
      <c r="A113">
        <v>110</v>
      </c>
      <c r="B113" s="46">
        <v>44154</v>
      </c>
      <c r="C113" s="277">
        <v>63.088121337444669</v>
      </c>
      <c r="D113" s="277">
        <v>85.678144231829236</v>
      </c>
      <c r="E113" s="178">
        <f t="shared" si="2"/>
        <v>63.088121337444669</v>
      </c>
      <c r="F113" s="205" t="str">
        <f t="shared" si="3"/>
        <v/>
      </c>
    </row>
    <row r="114" spans="1:6">
      <c r="A114">
        <v>111</v>
      </c>
      <c r="B114" s="46">
        <v>44155</v>
      </c>
      <c r="C114" s="277">
        <v>55.397761157440947</v>
      </c>
      <c r="D114" s="277">
        <v>85.678144231829236</v>
      </c>
      <c r="E114" s="178">
        <f t="shared" si="2"/>
        <v>55.397761157440947</v>
      </c>
      <c r="F114" s="205" t="str">
        <f t="shared" si="3"/>
        <v/>
      </c>
    </row>
    <row r="115" spans="1:6">
      <c r="A115">
        <v>112</v>
      </c>
      <c r="B115" s="46">
        <v>44156</v>
      </c>
      <c r="C115" s="277">
        <v>53.693995237442813</v>
      </c>
      <c r="D115" s="277">
        <v>85.678144231829236</v>
      </c>
      <c r="E115" s="178">
        <f t="shared" si="2"/>
        <v>53.693995237442813</v>
      </c>
      <c r="F115" s="205" t="str">
        <f t="shared" si="3"/>
        <v/>
      </c>
    </row>
    <row r="116" spans="1:6">
      <c r="A116">
        <v>113</v>
      </c>
      <c r="B116" s="46">
        <v>44157</v>
      </c>
      <c r="C116" s="277">
        <v>46.526884517442817</v>
      </c>
      <c r="D116" s="277">
        <v>85.678144231829236</v>
      </c>
      <c r="E116" s="178">
        <f t="shared" si="2"/>
        <v>46.526884517442817</v>
      </c>
      <c r="F116" s="205" t="str">
        <f t="shared" si="3"/>
        <v/>
      </c>
    </row>
    <row r="117" spans="1:6">
      <c r="A117">
        <v>114</v>
      </c>
      <c r="B117" s="46">
        <v>44158</v>
      </c>
      <c r="C117" s="277">
        <v>85.732369433442813</v>
      </c>
      <c r="D117" s="277">
        <v>85.678144231829236</v>
      </c>
      <c r="E117" s="178">
        <f t="shared" si="2"/>
        <v>85.678144231829236</v>
      </c>
      <c r="F117" s="205" t="str">
        <f t="shared" si="3"/>
        <v/>
      </c>
    </row>
    <row r="118" spans="1:6">
      <c r="A118">
        <v>115</v>
      </c>
      <c r="B118" s="46">
        <v>44159</v>
      </c>
      <c r="C118" s="277">
        <v>88.500465897440961</v>
      </c>
      <c r="D118" s="277">
        <v>85.678144231829236</v>
      </c>
      <c r="E118" s="178">
        <f t="shared" si="2"/>
        <v>85.678144231829236</v>
      </c>
      <c r="F118" s="205" t="str">
        <f t="shared" si="3"/>
        <v/>
      </c>
    </row>
    <row r="119" spans="1:6">
      <c r="A119">
        <v>116</v>
      </c>
      <c r="B119" s="46">
        <v>44160</v>
      </c>
      <c r="C119" s="277">
        <v>69.851458300664419</v>
      </c>
      <c r="D119" s="277">
        <v>85.678144231829236</v>
      </c>
      <c r="E119" s="178">
        <f t="shared" si="2"/>
        <v>69.851458300664419</v>
      </c>
      <c r="F119" s="205" t="str">
        <f t="shared" si="3"/>
        <v/>
      </c>
    </row>
    <row r="120" spans="1:6">
      <c r="A120">
        <v>117</v>
      </c>
      <c r="B120" s="46">
        <v>44161</v>
      </c>
      <c r="C120" s="277">
        <v>67.886973940664419</v>
      </c>
      <c r="D120" s="277">
        <v>85.678144231829236</v>
      </c>
      <c r="E120" s="178">
        <f t="shared" si="2"/>
        <v>67.886973940664419</v>
      </c>
      <c r="F120" s="205" t="str">
        <f t="shared" si="3"/>
        <v/>
      </c>
    </row>
    <row r="121" spans="1:6">
      <c r="A121">
        <v>118</v>
      </c>
      <c r="B121" s="46">
        <v>44162</v>
      </c>
      <c r="C121" s="277">
        <v>81.418604596664423</v>
      </c>
      <c r="D121" s="277">
        <v>85.678144231829236</v>
      </c>
      <c r="E121" s="178">
        <f t="shared" si="2"/>
        <v>81.418604596664423</v>
      </c>
      <c r="F121" s="205" t="str">
        <f t="shared" si="3"/>
        <v/>
      </c>
    </row>
    <row r="122" spans="1:6">
      <c r="A122">
        <v>119</v>
      </c>
      <c r="B122" s="46">
        <v>44163</v>
      </c>
      <c r="C122" s="277">
        <v>64.213849756666278</v>
      </c>
      <c r="D122" s="277">
        <v>85.678144231829236</v>
      </c>
      <c r="E122" s="178">
        <f t="shared" si="2"/>
        <v>64.213849756666278</v>
      </c>
      <c r="F122" s="205" t="str">
        <f t="shared" si="3"/>
        <v/>
      </c>
    </row>
    <row r="123" spans="1:6">
      <c r="A123">
        <v>120</v>
      </c>
      <c r="B123" s="46">
        <v>44164</v>
      </c>
      <c r="C123" s="277">
        <v>59.651142740662557</v>
      </c>
      <c r="D123" s="277">
        <v>85.678144231829236</v>
      </c>
      <c r="E123" s="178">
        <f t="shared" si="2"/>
        <v>59.651142740662557</v>
      </c>
      <c r="F123" s="205" t="str">
        <f t="shared" si="3"/>
        <v/>
      </c>
    </row>
    <row r="124" spans="1:6">
      <c r="A124">
        <v>121</v>
      </c>
      <c r="B124" s="46">
        <v>44165</v>
      </c>
      <c r="C124" s="277">
        <v>79.045761708664415</v>
      </c>
      <c r="D124" s="277">
        <v>85.678144231829236</v>
      </c>
      <c r="E124" s="178">
        <f t="shared" si="2"/>
        <v>79.045761708664415</v>
      </c>
      <c r="F124" s="205" t="str">
        <f t="shared" si="3"/>
        <v/>
      </c>
    </row>
    <row r="125" spans="1:6">
      <c r="A125">
        <v>122</v>
      </c>
      <c r="B125" s="46">
        <v>44166</v>
      </c>
      <c r="C125" s="277">
        <v>62.100601868663496</v>
      </c>
      <c r="D125" s="277">
        <v>109.27964473765024</v>
      </c>
      <c r="E125" s="178">
        <f t="shared" si="2"/>
        <v>62.100601868663496</v>
      </c>
      <c r="F125" s="205" t="str">
        <f t="shared" si="3"/>
        <v/>
      </c>
    </row>
    <row r="126" spans="1:6">
      <c r="A126">
        <v>123</v>
      </c>
      <c r="B126" s="46">
        <v>44167</v>
      </c>
      <c r="C126" s="277">
        <v>70.402396138760267</v>
      </c>
      <c r="D126" s="277">
        <v>109.27964473765024</v>
      </c>
      <c r="E126" s="178">
        <f t="shared" si="2"/>
        <v>70.402396138760267</v>
      </c>
      <c r="F126" s="205" t="str">
        <f t="shared" si="3"/>
        <v/>
      </c>
    </row>
    <row r="127" spans="1:6">
      <c r="A127">
        <v>124</v>
      </c>
      <c r="B127" s="46">
        <v>44168</v>
      </c>
      <c r="C127" s="277">
        <v>82.667161910759333</v>
      </c>
      <c r="D127" s="277">
        <v>109.27964473765024</v>
      </c>
      <c r="E127" s="178">
        <f t="shared" si="2"/>
        <v>82.667161910759333</v>
      </c>
      <c r="F127" s="205" t="str">
        <f t="shared" si="3"/>
        <v/>
      </c>
    </row>
    <row r="128" spans="1:6">
      <c r="A128">
        <v>125</v>
      </c>
      <c r="B128" s="46">
        <v>44169</v>
      </c>
      <c r="C128" s="277">
        <v>78.066907996759326</v>
      </c>
      <c r="D128" s="277">
        <v>109.27964473765024</v>
      </c>
      <c r="E128" s="178">
        <f t="shared" si="2"/>
        <v>78.066907996759326</v>
      </c>
      <c r="F128" s="205" t="str">
        <f t="shared" si="3"/>
        <v/>
      </c>
    </row>
    <row r="129" spans="1:7">
      <c r="A129">
        <v>126</v>
      </c>
      <c r="B129" s="46">
        <v>44170</v>
      </c>
      <c r="C129" s="277">
        <v>61.534131550759327</v>
      </c>
      <c r="D129" s="277">
        <v>109.27964473765024</v>
      </c>
      <c r="E129" s="178">
        <f t="shared" si="2"/>
        <v>61.534131550759327</v>
      </c>
      <c r="F129" s="205" t="str">
        <f t="shared" si="3"/>
        <v/>
      </c>
    </row>
    <row r="130" spans="1:7">
      <c r="A130">
        <v>127</v>
      </c>
      <c r="B130" s="46">
        <v>44171</v>
      </c>
      <c r="C130" s="277">
        <v>45.123614910761191</v>
      </c>
      <c r="D130" s="277">
        <v>109.27964473765024</v>
      </c>
      <c r="E130" s="178">
        <f t="shared" si="2"/>
        <v>45.123614910761191</v>
      </c>
      <c r="F130" s="205" t="str">
        <f t="shared" si="3"/>
        <v/>
      </c>
    </row>
    <row r="131" spans="1:7">
      <c r="A131">
        <v>128</v>
      </c>
      <c r="B131" s="46">
        <v>44172</v>
      </c>
      <c r="C131" s="277">
        <v>40.704781300759329</v>
      </c>
      <c r="D131" s="277">
        <v>109.27964473765024</v>
      </c>
      <c r="E131" s="178">
        <f t="shared" si="2"/>
        <v>40.704781300759329</v>
      </c>
      <c r="F131" s="205" t="str">
        <f t="shared" si="3"/>
        <v/>
      </c>
    </row>
    <row r="132" spans="1:7">
      <c r="A132">
        <v>129</v>
      </c>
      <c r="B132" s="46">
        <v>44173</v>
      </c>
      <c r="C132" s="277">
        <v>62.039171170759332</v>
      </c>
      <c r="D132" s="277">
        <v>109.27964473765024</v>
      </c>
      <c r="E132" s="178">
        <f t="shared" ref="E132:E195" si="4">IF(C132&lt;D132,C132,D132)</f>
        <v>62.039171170759332</v>
      </c>
      <c r="F132" s="205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44174</v>
      </c>
      <c r="C133" s="277">
        <v>180.84187507717817</v>
      </c>
      <c r="D133" s="277">
        <v>109.27964473765024</v>
      </c>
      <c r="E133" s="178">
        <f t="shared" si="4"/>
        <v>109.27964473765024</v>
      </c>
      <c r="F133" s="205" t="str">
        <f t="shared" si="5"/>
        <v/>
      </c>
    </row>
    <row r="134" spans="1:7">
      <c r="A134">
        <v>131</v>
      </c>
      <c r="B134" s="46">
        <v>44175</v>
      </c>
      <c r="C134" s="277">
        <v>177.39079880117723</v>
      </c>
      <c r="D134" s="277">
        <v>109.27964473765024</v>
      </c>
      <c r="E134" s="178">
        <f t="shared" si="4"/>
        <v>109.27964473765024</v>
      </c>
      <c r="F134" s="205" t="str">
        <f t="shared" si="5"/>
        <v/>
      </c>
    </row>
    <row r="135" spans="1:7">
      <c r="A135">
        <v>132</v>
      </c>
      <c r="B135" s="46">
        <v>44176</v>
      </c>
      <c r="C135" s="277">
        <v>170.68153854117722</v>
      </c>
      <c r="D135" s="277">
        <v>109.27964473765024</v>
      </c>
      <c r="E135" s="178">
        <f t="shared" si="4"/>
        <v>109.27964473765024</v>
      </c>
      <c r="F135" s="205" t="str">
        <f t="shared" si="5"/>
        <v/>
      </c>
    </row>
    <row r="136" spans="1:7">
      <c r="A136">
        <v>133</v>
      </c>
      <c r="B136" s="46">
        <v>44177</v>
      </c>
      <c r="C136" s="277">
        <v>168.05536761117725</v>
      </c>
      <c r="D136" s="277">
        <v>109.27964473765024</v>
      </c>
      <c r="E136" s="178">
        <f t="shared" si="4"/>
        <v>109.27964473765024</v>
      </c>
      <c r="F136" s="205" t="str">
        <f t="shared" si="5"/>
        <v/>
      </c>
    </row>
    <row r="137" spans="1:7">
      <c r="A137">
        <v>134</v>
      </c>
      <c r="B137" s="46">
        <v>44178</v>
      </c>
      <c r="C137" s="277">
        <v>178.62972340117724</v>
      </c>
      <c r="D137" s="277">
        <v>109.27964473765024</v>
      </c>
      <c r="E137" s="178">
        <f t="shared" si="4"/>
        <v>109.27964473765024</v>
      </c>
      <c r="F137" s="205" t="str">
        <f t="shared" si="5"/>
        <v/>
      </c>
    </row>
    <row r="138" spans="1:7">
      <c r="A138">
        <v>135</v>
      </c>
      <c r="B138" s="46">
        <v>44179</v>
      </c>
      <c r="C138" s="277">
        <v>193.30177418717724</v>
      </c>
      <c r="D138" s="277">
        <v>109.27964473765024</v>
      </c>
      <c r="E138" s="178">
        <f t="shared" si="4"/>
        <v>109.27964473765024</v>
      </c>
      <c r="F138" s="205" t="str">
        <f t="shared" si="5"/>
        <v/>
      </c>
      <c r="G138" s="206" t="str">
        <f>IF(DAY(B138)=15,D138,"")</f>
        <v/>
      </c>
    </row>
    <row r="139" spans="1:7">
      <c r="A139">
        <v>136</v>
      </c>
      <c r="B139" s="46">
        <v>44180</v>
      </c>
      <c r="C139" s="277">
        <v>197.34683710117724</v>
      </c>
      <c r="D139" s="277">
        <v>109.27964473765024</v>
      </c>
      <c r="E139" s="178">
        <f t="shared" si="4"/>
        <v>109.27964473765024</v>
      </c>
      <c r="F139" s="205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D</v>
      </c>
      <c r="G139" s="206">
        <f>IF(DAY(B139)=15,D139,"")</f>
        <v>109.27964473765024</v>
      </c>
    </row>
    <row r="140" spans="1:7">
      <c r="A140">
        <v>137</v>
      </c>
      <c r="B140" s="46">
        <v>44181</v>
      </c>
      <c r="C140" s="277">
        <v>189.05654969500449</v>
      </c>
      <c r="D140" s="277">
        <v>109.27964473765024</v>
      </c>
      <c r="E140" s="178">
        <f t="shared" si="4"/>
        <v>109.27964473765024</v>
      </c>
      <c r="F140" s="205" t="str">
        <f t="shared" si="5"/>
        <v/>
      </c>
      <c r="G140" s="206" t="str">
        <f>IF(DAY(B140)=15,D140,"")</f>
        <v/>
      </c>
    </row>
    <row r="141" spans="1:7">
      <c r="A141">
        <v>138</v>
      </c>
      <c r="B141" s="46">
        <v>44182</v>
      </c>
      <c r="C141" s="277">
        <v>209.45691207300081</v>
      </c>
      <c r="D141" s="277">
        <v>109.27964473765024</v>
      </c>
      <c r="E141" s="178">
        <f t="shared" si="4"/>
        <v>109.27964473765024</v>
      </c>
      <c r="F141" s="205" t="str">
        <f t="shared" si="5"/>
        <v/>
      </c>
    </row>
    <row r="142" spans="1:7">
      <c r="A142">
        <v>139</v>
      </c>
      <c r="B142" s="46">
        <v>44183</v>
      </c>
      <c r="C142" s="277">
        <v>188.86810224900265</v>
      </c>
      <c r="D142" s="277">
        <v>109.27964473765024</v>
      </c>
      <c r="E142" s="178">
        <f t="shared" si="4"/>
        <v>109.27964473765024</v>
      </c>
      <c r="F142" s="205" t="str">
        <f t="shared" si="5"/>
        <v/>
      </c>
    </row>
    <row r="143" spans="1:7">
      <c r="A143">
        <v>140</v>
      </c>
      <c r="B143" s="46">
        <v>44184</v>
      </c>
      <c r="C143" s="277">
        <v>170.36948992900079</v>
      </c>
      <c r="D143" s="277">
        <v>109.27964473765024</v>
      </c>
      <c r="E143" s="178">
        <f t="shared" si="4"/>
        <v>109.27964473765024</v>
      </c>
      <c r="F143" s="205" t="str">
        <f t="shared" si="5"/>
        <v/>
      </c>
    </row>
    <row r="144" spans="1:7">
      <c r="A144">
        <v>141</v>
      </c>
      <c r="B144" s="46">
        <v>44185</v>
      </c>
      <c r="C144" s="277">
        <v>171.48715503300267</v>
      </c>
      <c r="D144" s="277">
        <v>109.27964473765024</v>
      </c>
      <c r="E144" s="178">
        <f t="shared" si="4"/>
        <v>109.27964473765024</v>
      </c>
      <c r="F144" s="205" t="str">
        <f t="shared" si="5"/>
        <v/>
      </c>
    </row>
    <row r="145" spans="1:6">
      <c r="A145">
        <v>142</v>
      </c>
      <c r="B145" s="46">
        <v>44186</v>
      </c>
      <c r="C145" s="277">
        <v>179.30444694500451</v>
      </c>
      <c r="D145" s="277">
        <v>109.27964473765024</v>
      </c>
      <c r="E145" s="178">
        <f t="shared" si="4"/>
        <v>109.27964473765024</v>
      </c>
      <c r="F145" s="205" t="str">
        <f t="shared" si="5"/>
        <v/>
      </c>
    </row>
    <row r="146" spans="1:6">
      <c r="A146">
        <v>143</v>
      </c>
      <c r="B146" s="46">
        <v>44187</v>
      </c>
      <c r="C146" s="277">
        <v>167.23171702900268</v>
      </c>
      <c r="D146" s="277">
        <v>109.27964473765024</v>
      </c>
      <c r="E146" s="178">
        <f t="shared" si="4"/>
        <v>109.27964473765024</v>
      </c>
      <c r="F146" s="205" t="str">
        <f t="shared" si="5"/>
        <v/>
      </c>
    </row>
    <row r="147" spans="1:6">
      <c r="A147">
        <v>144</v>
      </c>
      <c r="B147" s="46">
        <v>44188</v>
      </c>
      <c r="C147" s="277">
        <v>154.88950531000887</v>
      </c>
      <c r="D147" s="277">
        <v>109.27964473765024</v>
      </c>
      <c r="E147" s="178">
        <f t="shared" si="4"/>
        <v>109.27964473765024</v>
      </c>
      <c r="F147" s="205" t="str">
        <f t="shared" si="5"/>
        <v/>
      </c>
    </row>
    <row r="148" spans="1:6">
      <c r="A148">
        <v>145</v>
      </c>
      <c r="B148" s="46">
        <v>44189</v>
      </c>
      <c r="C148" s="277">
        <v>129.28449326600702</v>
      </c>
      <c r="D148" s="277">
        <v>109.27964473765024</v>
      </c>
      <c r="E148" s="178">
        <f t="shared" si="4"/>
        <v>109.27964473765024</v>
      </c>
      <c r="F148" s="205" t="str">
        <f t="shared" si="5"/>
        <v/>
      </c>
    </row>
    <row r="149" spans="1:6">
      <c r="A149">
        <v>146</v>
      </c>
      <c r="B149" s="46">
        <v>44190</v>
      </c>
      <c r="C149" s="277">
        <v>104.61240697200887</v>
      </c>
      <c r="D149" s="277">
        <v>109.27964473765024</v>
      </c>
      <c r="E149" s="178">
        <f t="shared" si="4"/>
        <v>104.61240697200887</v>
      </c>
      <c r="F149" s="205" t="str">
        <f t="shared" si="5"/>
        <v/>
      </c>
    </row>
    <row r="150" spans="1:6">
      <c r="A150">
        <v>147</v>
      </c>
      <c r="B150" s="46">
        <v>44191</v>
      </c>
      <c r="C150" s="277">
        <v>116.87822096001074</v>
      </c>
      <c r="D150" s="277">
        <v>109.27964473765024</v>
      </c>
      <c r="E150" s="178">
        <f t="shared" si="4"/>
        <v>109.27964473765024</v>
      </c>
      <c r="F150" s="205" t="str">
        <f t="shared" si="5"/>
        <v/>
      </c>
    </row>
    <row r="151" spans="1:6">
      <c r="A151">
        <v>148</v>
      </c>
      <c r="B151" s="46">
        <v>44192</v>
      </c>
      <c r="C151" s="277">
        <v>109.73485186600701</v>
      </c>
      <c r="D151" s="277">
        <v>109.27964473765024</v>
      </c>
      <c r="E151" s="178">
        <f t="shared" si="4"/>
        <v>109.27964473765024</v>
      </c>
      <c r="F151" s="205" t="str">
        <f t="shared" si="5"/>
        <v/>
      </c>
    </row>
    <row r="152" spans="1:6">
      <c r="A152">
        <v>149</v>
      </c>
      <c r="B152" s="46">
        <v>44193</v>
      </c>
      <c r="C152" s="277">
        <v>115.48806524600887</v>
      </c>
      <c r="D152" s="277">
        <v>109.27964473765024</v>
      </c>
      <c r="E152" s="178">
        <f t="shared" si="4"/>
        <v>109.27964473765024</v>
      </c>
      <c r="F152" s="205" t="str">
        <f t="shared" si="5"/>
        <v/>
      </c>
    </row>
    <row r="153" spans="1:6">
      <c r="A153">
        <v>150</v>
      </c>
      <c r="B153" s="46">
        <v>44194</v>
      </c>
      <c r="C153" s="277">
        <v>142.79488232000887</v>
      </c>
      <c r="D153" s="277">
        <v>109.27964473765024</v>
      </c>
      <c r="E153" s="178">
        <f t="shared" si="4"/>
        <v>109.27964473765024</v>
      </c>
      <c r="F153" s="205" t="str">
        <f t="shared" si="5"/>
        <v/>
      </c>
    </row>
    <row r="154" spans="1:6">
      <c r="A154">
        <v>151</v>
      </c>
      <c r="B154" s="46">
        <v>44195</v>
      </c>
      <c r="C154" s="277">
        <v>145.75309296089668</v>
      </c>
      <c r="D154" s="277">
        <v>109.27964473765024</v>
      </c>
      <c r="E154" s="178">
        <f t="shared" si="4"/>
        <v>109.27964473765024</v>
      </c>
      <c r="F154" s="205" t="str">
        <f t="shared" si="5"/>
        <v/>
      </c>
    </row>
    <row r="155" spans="1:6">
      <c r="A155">
        <v>152</v>
      </c>
      <c r="B155" s="46">
        <v>44196</v>
      </c>
      <c r="C155" s="277">
        <v>138.2532446589004</v>
      </c>
      <c r="D155" s="277">
        <v>109.27964473765024</v>
      </c>
      <c r="E155" s="178">
        <f t="shared" si="4"/>
        <v>109.27964473765024</v>
      </c>
      <c r="F155" s="205" t="str">
        <f t="shared" si="5"/>
        <v/>
      </c>
    </row>
    <row r="156" spans="1:6">
      <c r="A156">
        <v>153</v>
      </c>
      <c r="B156" s="46">
        <v>44197</v>
      </c>
      <c r="C156" s="277">
        <v>121.61256647889853</v>
      </c>
      <c r="D156" s="277">
        <v>124.46511188199077</v>
      </c>
      <c r="E156" s="178">
        <f t="shared" si="4"/>
        <v>121.61256647889853</v>
      </c>
      <c r="F156" s="205" t="str">
        <f t="shared" si="5"/>
        <v/>
      </c>
    </row>
    <row r="157" spans="1:6">
      <c r="A157">
        <v>154</v>
      </c>
      <c r="B157" s="46">
        <v>44198</v>
      </c>
      <c r="C157" s="277">
        <v>122.66184857089854</v>
      </c>
      <c r="D157" s="277">
        <v>124.46511188199077</v>
      </c>
      <c r="E157" s="178">
        <f t="shared" si="4"/>
        <v>122.66184857089854</v>
      </c>
      <c r="F157" s="205" t="str">
        <f t="shared" si="5"/>
        <v/>
      </c>
    </row>
    <row r="158" spans="1:6">
      <c r="A158">
        <v>155</v>
      </c>
      <c r="B158" s="46">
        <v>44199</v>
      </c>
      <c r="C158" s="277">
        <v>127.50319563090041</v>
      </c>
      <c r="D158" s="277">
        <v>124.46511188199077</v>
      </c>
      <c r="E158" s="178">
        <f t="shared" si="4"/>
        <v>124.46511188199077</v>
      </c>
      <c r="F158" s="205" t="str">
        <f t="shared" si="5"/>
        <v/>
      </c>
    </row>
    <row r="159" spans="1:6">
      <c r="A159">
        <v>156</v>
      </c>
      <c r="B159" s="46">
        <v>44200</v>
      </c>
      <c r="C159" s="277">
        <v>176.49416036089852</v>
      </c>
      <c r="D159" s="277">
        <v>124.46511188199077</v>
      </c>
      <c r="E159" s="178">
        <f t="shared" si="4"/>
        <v>124.46511188199077</v>
      </c>
      <c r="F159" s="205" t="str">
        <f t="shared" si="5"/>
        <v/>
      </c>
    </row>
    <row r="160" spans="1:6">
      <c r="A160">
        <v>157</v>
      </c>
      <c r="B160" s="46">
        <v>44201</v>
      </c>
      <c r="C160" s="277">
        <v>186.71938942089855</v>
      </c>
      <c r="D160" s="277">
        <v>124.46511188199077</v>
      </c>
      <c r="E160" s="178">
        <f t="shared" si="4"/>
        <v>124.46511188199077</v>
      </c>
      <c r="F160" s="205" t="str">
        <f t="shared" si="5"/>
        <v/>
      </c>
    </row>
    <row r="161" spans="1:7">
      <c r="A161">
        <v>158</v>
      </c>
      <c r="B161" s="46">
        <v>44202</v>
      </c>
      <c r="C161" s="277">
        <v>122.40887442801942</v>
      </c>
      <c r="D161" s="277">
        <v>124.46511188199077</v>
      </c>
      <c r="E161" s="178">
        <f t="shared" si="4"/>
        <v>122.40887442801942</v>
      </c>
      <c r="F161" s="205" t="str">
        <f t="shared" si="5"/>
        <v/>
      </c>
    </row>
    <row r="162" spans="1:7">
      <c r="A162">
        <v>159</v>
      </c>
      <c r="B162" s="46">
        <v>44203</v>
      </c>
      <c r="C162" s="277">
        <v>113.46114075602128</v>
      </c>
      <c r="D162" s="277">
        <v>124.46511188199077</v>
      </c>
      <c r="E162" s="178">
        <f t="shared" si="4"/>
        <v>113.46114075602128</v>
      </c>
      <c r="F162" s="205" t="str">
        <f t="shared" si="5"/>
        <v/>
      </c>
    </row>
    <row r="163" spans="1:7">
      <c r="A163">
        <v>160</v>
      </c>
      <c r="B163" s="46">
        <v>44204</v>
      </c>
      <c r="C163" s="277">
        <v>108.12699205602127</v>
      </c>
      <c r="D163" s="277">
        <v>124.46511188199077</v>
      </c>
      <c r="E163" s="178">
        <f t="shared" si="4"/>
        <v>108.12699205602127</v>
      </c>
      <c r="F163" s="205" t="str">
        <f t="shared" si="5"/>
        <v/>
      </c>
    </row>
    <row r="164" spans="1:7">
      <c r="A164">
        <v>161</v>
      </c>
      <c r="B164" s="46">
        <v>44205</v>
      </c>
      <c r="C164" s="277">
        <v>79.585318456017546</v>
      </c>
      <c r="D164" s="277">
        <v>124.46511188199077</v>
      </c>
      <c r="E164" s="178">
        <f t="shared" si="4"/>
        <v>79.585318456017546</v>
      </c>
      <c r="F164" s="205" t="str">
        <f t="shared" si="5"/>
        <v/>
      </c>
    </row>
    <row r="165" spans="1:7">
      <c r="A165">
        <v>162</v>
      </c>
      <c r="B165" s="46">
        <v>44206</v>
      </c>
      <c r="C165" s="277">
        <v>78.225685954021273</v>
      </c>
      <c r="D165" s="277">
        <v>124.46511188199077</v>
      </c>
      <c r="E165" s="178">
        <f t="shared" si="4"/>
        <v>78.225685954021273</v>
      </c>
      <c r="F165" s="205" t="str">
        <f t="shared" si="5"/>
        <v/>
      </c>
    </row>
    <row r="166" spans="1:7">
      <c r="A166">
        <v>163</v>
      </c>
      <c r="B166" s="46">
        <v>44207</v>
      </c>
      <c r="C166" s="277">
        <v>89.220336424019408</v>
      </c>
      <c r="D166" s="277">
        <v>124.46511188199077</v>
      </c>
      <c r="E166" s="178">
        <f t="shared" si="4"/>
        <v>89.220336424019408</v>
      </c>
      <c r="F166" s="205" t="str">
        <f t="shared" si="5"/>
        <v/>
      </c>
    </row>
    <row r="167" spans="1:7">
      <c r="A167">
        <v>164</v>
      </c>
      <c r="B167" s="46">
        <v>44208</v>
      </c>
      <c r="C167" s="277">
        <v>103.77480175601941</v>
      </c>
      <c r="D167" s="277">
        <v>124.46511188199077</v>
      </c>
      <c r="E167" s="178">
        <f t="shared" si="4"/>
        <v>103.77480175601941</v>
      </c>
      <c r="F167" s="205" t="str">
        <f t="shared" si="5"/>
        <v/>
      </c>
    </row>
    <row r="168" spans="1:7">
      <c r="A168">
        <v>165</v>
      </c>
      <c r="B168" s="46">
        <v>44209</v>
      </c>
      <c r="C168" s="277">
        <v>65.034512115070655</v>
      </c>
      <c r="D168" s="277">
        <v>124.46511188199077</v>
      </c>
      <c r="E168" s="178">
        <f t="shared" si="4"/>
        <v>65.034512115070655</v>
      </c>
      <c r="F168" s="205" t="str">
        <f t="shared" si="5"/>
        <v/>
      </c>
      <c r="G168" s="206" t="str">
        <f>IF(DAY(B168)=15,D168,"")</f>
        <v/>
      </c>
    </row>
    <row r="169" spans="1:7">
      <c r="A169">
        <v>166</v>
      </c>
      <c r="B169" s="46">
        <v>44210</v>
      </c>
      <c r="C169" s="277">
        <v>63.201680711070658</v>
      </c>
      <c r="D169" s="277">
        <v>124.46511188199077</v>
      </c>
      <c r="E169" s="178">
        <f t="shared" si="4"/>
        <v>63.201680711070658</v>
      </c>
      <c r="F169" s="205" t="str">
        <f t="shared" si="5"/>
        <v/>
      </c>
    </row>
    <row r="170" spans="1:7">
      <c r="A170">
        <v>167</v>
      </c>
      <c r="B170" s="46">
        <v>44211</v>
      </c>
      <c r="C170" s="277">
        <v>62.774371647068797</v>
      </c>
      <c r="D170" s="277">
        <v>124.46511188199077</v>
      </c>
      <c r="E170" s="178">
        <f t="shared" si="4"/>
        <v>62.774371647068797</v>
      </c>
      <c r="F170" s="205" t="str">
        <f t="shared" si="5"/>
        <v>E</v>
      </c>
      <c r="G170" s="206">
        <f>IF(DAY(B170)=15,D170,"")</f>
        <v>124.46511188199077</v>
      </c>
    </row>
    <row r="171" spans="1:7">
      <c r="A171">
        <v>168</v>
      </c>
      <c r="B171" s="46">
        <v>44212</v>
      </c>
      <c r="C171" s="277">
        <v>56.383921859072522</v>
      </c>
      <c r="D171" s="277">
        <v>124.46511188199077</v>
      </c>
      <c r="E171" s="178">
        <f t="shared" si="4"/>
        <v>56.383921859072522</v>
      </c>
      <c r="F171" s="205" t="str">
        <f t="shared" si="5"/>
        <v/>
      </c>
    </row>
    <row r="172" spans="1:7">
      <c r="A172">
        <v>169</v>
      </c>
      <c r="B172" s="46">
        <v>44213</v>
      </c>
      <c r="C172" s="277">
        <v>38.968119675068799</v>
      </c>
      <c r="D172" s="277">
        <v>124.46511188199077</v>
      </c>
      <c r="E172" s="178">
        <f t="shared" si="4"/>
        <v>38.968119675068799</v>
      </c>
      <c r="F172" s="205" t="str">
        <f t="shared" si="5"/>
        <v/>
      </c>
    </row>
    <row r="173" spans="1:7">
      <c r="A173">
        <v>170</v>
      </c>
      <c r="B173" s="46">
        <v>44214</v>
      </c>
      <c r="C173" s="277">
        <v>71.525197235070664</v>
      </c>
      <c r="D173" s="277">
        <v>124.46511188199077</v>
      </c>
      <c r="E173" s="178">
        <f t="shared" si="4"/>
        <v>71.525197235070664</v>
      </c>
      <c r="F173" s="205" t="str">
        <f t="shared" si="5"/>
        <v/>
      </c>
    </row>
    <row r="174" spans="1:7">
      <c r="A174">
        <v>171</v>
      </c>
      <c r="B174" s="46">
        <v>44215</v>
      </c>
      <c r="C174" s="277">
        <v>56.168955615070651</v>
      </c>
      <c r="D174" s="277">
        <v>124.46511188199077</v>
      </c>
      <c r="E174" s="178">
        <f t="shared" si="4"/>
        <v>56.168955615070651</v>
      </c>
      <c r="F174" s="205" t="str">
        <f t="shared" si="5"/>
        <v/>
      </c>
    </row>
    <row r="175" spans="1:7">
      <c r="A175">
        <v>172</v>
      </c>
      <c r="B175" s="46">
        <v>44216</v>
      </c>
      <c r="C175" s="277">
        <v>180.60643095807191</v>
      </c>
      <c r="D175" s="277">
        <v>124.46511188199077</v>
      </c>
      <c r="E175" s="178">
        <f t="shared" si="4"/>
        <v>124.46511188199077</v>
      </c>
      <c r="F175" s="205" t="str">
        <f t="shared" si="5"/>
        <v/>
      </c>
    </row>
    <row r="176" spans="1:7">
      <c r="A176">
        <v>173</v>
      </c>
      <c r="B176" s="46">
        <v>44217</v>
      </c>
      <c r="C176" s="277">
        <v>169.89213577406818</v>
      </c>
      <c r="D176" s="277">
        <v>124.46511188199077</v>
      </c>
      <c r="E176" s="178">
        <f t="shared" si="4"/>
        <v>124.46511188199077</v>
      </c>
      <c r="F176" s="205" t="str">
        <f t="shared" si="5"/>
        <v/>
      </c>
    </row>
    <row r="177" spans="1:6">
      <c r="A177">
        <v>174</v>
      </c>
      <c r="B177" s="46">
        <v>44218</v>
      </c>
      <c r="C177" s="277">
        <v>170.88705726807007</v>
      </c>
      <c r="D177" s="277">
        <v>124.46511188199077</v>
      </c>
      <c r="E177" s="178">
        <f t="shared" si="4"/>
        <v>124.46511188199077</v>
      </c>
      <c r="F177" s="205" t="str">
        <f t="shared" si="5"/>
        <v/>
      </c>
    </row>
    <row r="178" spans="1:6">
      <c r="A178">
        <v>175</v>
      </c>
      <c r="B178" s="46">
        <v>44219</v>
      </c>
      <c r="C178" s="277">
        <v>143.72096823607004</v>
      </c>
      <c r="D178" s="277">
        <v>124.46511188199077</v>
      </c>
      <c r="E178" s="178">
        <f t="shared" si="4"/>
        <v>124.46511188199077</v>
      </c>
      <c r="F178" s="205" t="str">
        <f t="shared" si="5"/>
        <v/>
      </c>
    </row>
    <row r="179" spans="1:6">
      <c r="A179">
        <v>176</v>
      </c>
      <c r="B179" s="46">
        <v>44220</v>
      </c>
      <c r="C179" s="277">
        <v>146.16635474007003</v>
      </c>
      <c r="D179" s="277">
        <v>124.46511188199077</v>
      </c>
      <c r="E179" s="178">
        <f t="shared" si="4"/>
        <v>124.46511188199077</v>
      </c>
      <c r="F179" s="205" t="str">
        <f t="shared" si="5"/>
        <v/>
      </c>
    </row>
    <row r="180" spans="1:6">
      <c r="A180">
        <v>177</v>
      </c>
      <c r="B180" s="46">
        <v>44221</v>
      </c>
      <c r="C180" s="277">
        <v>197.65533248207188</v>
      </c>
      <c r="D180" s="277">
        <v>124.46511188199077</v>
      </c>
      <c r="E180" s="178">
        <f t="shared" si="4"/>
        <v>124.46511188199077</v>
      </c>
      <c r="F180" s="205" t="str">
        <f t="shared" si="5"/>
        <v/>
      </c>
    </row>
    <row r="181" spans="1:6">
      <c r="A181">
        <v>178</v>
      </c>
      <c r="B181" s="46">
        <v>44222</v>
      </c>
      <c r="C181" s="277">
        <v>215.52559173807003</v>
      </c>
      <c r="D181" s="277">
        <v>124.46511188199077</v>
      </c>
      <c r="E181" s="178">
        <f t="shared" si="4"/>
        <v>124.46511188199077</v>
      </c>
      <c r="F181" s="205" t="str">
        <f t="shared" si="5"/>
        <v/>
      </c>
    </row>
    <row r="182" spans="1:6">
      <c r="A182">
        <v>179</v>
      </c>
      <c r="B182" s="46">
        <v>44223</v>
      </c>
      <c r="C182" s="277">
        <v>272.77278553889727</v>
      </c>
      <c r="D182" s="277">
        <v>124.46511188199077</v>
      </c>
      <c r="E182" s="178">
        <f t="shared" si="4"/>
        <v>124.46511188199077</v>
      </c>
      <c r="F182" s="205" t="str">
        <f t="shared" si="5"/>
        <v/>
      </c>
    </row>
    <row r="183" spans="1:6">
      <c r="A183">
        <v>180</v>
      </c>
      <c r="B183" s="46">
        <v>44224</v>
      </c>
      <c r="C183" s="277">
        <v>274.90935913289542</v>
      </c>
      <c r="D183" s="277">
        <v>124.46511188199077</v>
      </c>
      <c r="E183" s="178">
        <f t="shared" si="4"/>
        <v>124.46511188199077</v>
      </c>
      <c r="F183" s="205" t="str">
        <f t="shared" si="5"/>
        <v/>
      </c>
    </row>
    <row r="184" spans="1:6">
      <c r="A184">
        <v>181</v>
      </c>
      <c r="B184" s="46">
        <v>44225</v>
      </c>
      <c r="C184" s="277">
        <v>270.00909163489729</v>
      </c>
      <c r="D184" s="277">
        <v>124.46511188199077</v>
      </c>
      <c r="E184" s="178">
        <f t="shared" si="4"/>
        <v>124.46511188199077</v>
      </c>
      <c r="F184" s="205" t="str">
        <f t="shared" si="5"/>
        <v/>
      </c>
    </row>
    <row r="185" spans="1:6">
      <c r="A185">
        <v>182</v>
      </c>
      <c r="B185" s="46">
        <v>44226</v>
      </c>
      <c r="C185" s="277">
        <v>254.71119680889728</v>
      </c>
      <c r="D185" s="277">
        <v>124.46511188199077</v>
      </c>
      <c r="E185" s="178">
        <f t="shared" si="4"/>
        <v>124.46511188199077</v>
      </c>
      <c r="F185" s="205" t="str">
        <f t="shared" si="5"/>
        <v/>
      </c>
    </row>
    <row r="186" spans="1:6">
      <c r="A186">
        <v>183</v>
      </c>
      <c r="B186" s="46">
        <v>44227</v>
      </c>
      <c r="C186" s="277">
        <v>254.40040566889539</v>
      </c>
      <c r="D186" s="277">
        <v>124.46511188199077</v>
      </c>
      <c r="E186" s="178">
        <f t="shared" si="4"/>
        <v>124.46511188199077</v>
      </c>
      <c r="F186" s="205" t="str">
        <f t="shared" si="5"/>
        <v/>
      </c>
    </row>
    <row r="187" spans="1:6">
      <c r="A187">
        <v>184</v>
      </c>
      <c r="B187" s="46">
        <v>44228</v>
      </c>
      <c r="C187" s="277">
        <v>264.16481982089732</v>
      </c>
      <c r="D187" s="277">
        <v>125.57183874706618</v>
      </c>
      <c r="E187" s="178">
        <f t="shared" si="4"/>
        <v>125.57183874706618</v>
      </c>
      <c r="F187" s="205" t="str">
        <f t="shared" si="5"/>
        <v/>
      </c>
    </row>
    <row r="188" spans="1:6">
      <c r="A188">
        <v>185</v>
      </c>
      <c r="B188" s="46">
        <v>44229</v>
      </c>
      <c r="C188" s="277">
        <v>271.8285615768973</v>
      </c>
      <c r="D188" s="277">
        <v>125.57183874706618</v>
      </c>
      <c r="E188" s="178">
        <f t="shared" si="4"/>
        <v>125.57183874706618</v>
      </c>
      <c r="F188" s="205" t="str">
        <f t="shared" si="5"/>
        <v/>
      </c>
    </row>
    <row r="189" spans="1:6">
      <c r="A189">
        <v>186</v>
      </c>
      <c r="B189" s="46">
        <v>44230</v>
      </c>
      <c r="C189" s="277">
        <v>264.69836088939917</v>
      </c>
      <c r="D189" s="277">
        <v>125.57183874706618</v>
      </c>
      <c r="E189" s="178">
        <f t="shared" si="4"/>
        <v>125.57183874706618</v>
      </c>
      <c r="F189" s="205" t="str">
        <f t="shared" si="5"/>
        <v/>
      </c>
    </row>
    <row r="190" spans="1:6">
      <c r="A190">
        <v>187</v>
      </c>
      <c r="B190" s="46">
        <v>44231</v>
      </c>
      <c r="C190" s="277">
        <v>286.1664210074029</v>
      </c>
      <c r="D190" s="277">
        <v>125.57183874706618</v>
      </c>
      <c r="E190" s="178">
        <f t="shared" si="4"/>
        <v>125.57183874706618</v>
      </c>
      <c r="F190" s="205" t="str">
        <f t="shared" si="5"/>
        <v/>
      </c>
    </row>
    <row r="191" spans="1:6">
      <c r="A191">
        <v>188</v>
      </c>
      <c r="B191" s="46">
        <v>44232</v>
      </c>
      <c r="C191" s="277">
        <v>289.61831058139728</v>
      </c>
      <c r="D191" s="277">
        <v>125.57183874706618</v>
      </c>
      <c r="E191" s="178">
        <f t="shared" si="4"/>
        <v>125.57183874706618</v>
      </c>
      <c r="F191" s="205" t="str">
        <f t="shared" si="5"/>
        <v/>
      </c>
    </row>
    <row r="192" spans="1:6">
      <c r="A192">
        <v>189</v>
      </c>
      <c r="B192" s="46">
        <v>44233</v>
      </c>
      <c r="C192" s="277">
        <v>278.79881750739912</v>
      </c>
      <c r="D192" s="277">
        <v>125.57183874706618</v>
      </c>
      <c r="E192" s="178">
        <f t="shared" si="4"/>
        <v>125.57183874706618</v>
      </c>
      <c r="F192" s="205" t="str">
        <f t="shared" si="5"/>
        <v/>
      </c>
    </row>
    <row r="193" spans="1:7">
      <c r="A193">
        <v>190</v>
      </c>
      <c r="B193" s="46">
        <v>44234</v>
      </c>
      <c r="C193" s="277">
        <v>257.81074344740102</v>
      </c>
      <c r="D193" s="277">
        <v>125.57183874706618</v>
      </c>
      <c r="E193" s="178">
        <f t="shared" si="4"/>
        <v>125.57183874706618</v>
      </c>
      <c r="F193" s="205" t="str">
        <f t="shared" si="5"/>
        <v/>
      </c>
    </row>
    <row r="194" spans="1:7">
      <c r="A194">
        <v>191</v>
      </c>
      <c r="B194" s="46">
        <v>44235</v>
      </c>
      <c r="C194" s="277">
        <v>267.98498618739916</v>
      </c>
      <c r="D194" s="277">
        <v>125.57183874706618</v>
      </c>
      <c r="E194" s="178">
        <f t="shared" si="4"/>
        <v>125.57183874706618</v>
      </c>
      <c r="F194" s="205" t="str">
        <f t="shared" si="5"/>
        <v/>
      </c>
    </row>
    <row r="195" spans="1:7">
      <c r="A195">
        <v>192</v>
      </c>
      <c r="B195" s="46">
        <v>44236</v>
      </c>
      <c r="C195" s="277">
        <v>273.0837129413992</v>
      </c>
      <c r="D195" s="277">
        <v>125.57183874706618</v>
      </c>
      <c r="E195" s="178">
        <f t="shared" si="4"/>
        <v>125.57183874706618</v>
      </c>
      <c r="F195" s="205" t="str">
        <f t="shared" si="5"/>
        <v/>
      </c>
    </row>
    <row r="196" spans="1:7">
      <c r="A196">
        <v>193</v>
      </c>
      <c r="B196" s="46">
        <v>44237</v>
      </c>
      <c r="C196" s="277">
        <v>328.34874569002187</v>
      </c>
      <c r="D196" s="277">
        <v>125.57183874706618</v>
      </c>
      <c r="E196" s="178">
        <f t="shared" ref="E196:E259" si="6">IF(C196&lt;D196,C196,D196)</f>
        <v>125.57183874706618</v>
      </c>
      <c r="F196" s="205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44238</v>
      </c>
      <c r="C197" s="277">
        <v>338.46501590801824</v>
      </c>
      <c r="D197" s="277">
        <v>125.57183874706618</v>
      </c>
      <c r="E197" s="178">
        <f t="shared" si="6"/>
        <v>125.57183874706618</v>
      </c>
      <c r="F197" s="205" t="str">
        <f t="shared" si="7"/>
        <v/>
      </c>
    </row>
    <row r="198" spans="1:7">
      <c r="A198">
        <v>195</v>
      </c>
      <c r="B198" s="46">
        <v>44239</v>
      </c>
      <c r="C198" s="277">
        <v>330.21476903802005</v>
      </c>
      <c r="D198" s="277">
        <v>125.57183874706618</v>
      </c>
      <c r="E198" s="178">
        <f t="shared" si="6"/>
        <v>125.57183874706618</v>
      </c>
      <c r="F198" s="205" t="str">
        <f t="shared" si="7"/>
        <v/>
      </c>
    </row>
    <row r="199" spans="1:7">
      <c r="A199">
        <v>196</v>
      </c>
      <c r="B199" s="46">
        <v>44240</v>
      </c>
      <c r="C199" s="277">
        <v>329.21339539802193</v>
      </c>
      <c r="D199" s="277">
        <v>125.57183874706618</v>
      </c>
      <c r="E199" s="178">
        <f t="shared" si="6"/>
        <v>125.57183874706618</v>
      </c>
      <c r="F199" s="205" t="str">
        <f t="shared" si="7"/>
        <v/>
      </c>
      <c r="G199" s="206" t="str">
        <f>IF(DAY(B199)=15,D199,"")</f>
        <v/>
      </c>
    </row>
    <row r="200" spans="1:7">
      <c r="A200">
        <v>197</v>
      </c>
      <c r="B200" s="46">
        <v>44241</v>
      </c>
      <c r="C200" s="277">
        <v>318.23482610201825</v>
      </c>
      <c r="D200" s="277">
        <v>125.57183874706618</v>
      </c>
      <c r="E200" s="178">
        <f t="shared" si="6"/>
        <v>125.57183874706618</v>
      </c>
      <c r="F200" s="205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  <c r="G200" s="206" t="str">
        <f>IF(DAY(B200)=15,D200,"")</f>
        <v/>
      </c>
    </row>
    <row r="201" spans="1:7">
      <c r="A201">
        <v>198</v>
      </c>
      <c r="B201" s="46">
        <v>44242</v>
      </c>
      <c r="C201" s="277">
        <v>312.73986280202377</v>
      </c>
      <c r="D201" s="277">
        <v>125.57183874706618</v>
      </c>
      <c r="E201" s="178">
        <f t="shared" si="6"/>
        <v>125.57183874706618</v>
      </c>
      <c r="F201" s="205" t="str">
        <f t="shared" si="7"/>
        <v>F</v>
      </c>
      <c r="G201" s="206">
        <f>IF(DAY(B201)=15,D201,"")</f>
        <v>125.57183874706618</v>
      </c>
    </row>
    <row r="202" spans="1:7">
      <c r="A202">
        <v>199</v>
      </c>
      <c r="B202" s="46">
        <v>44243</v>
      </c>
      <c r="C202" s="277">
        <v>324.37056173601815</v>
      </c>
      <c r="D202" s="277">
        <v>125.57183874706618</v>
      </c>
      <c r="E202" s="178">
        <f t="shared" si="6"/>
        <v>125.57183874706618</v>
      </c>
      <c r="F202" s="205" t="str">
        <f t="shared" si="7"/>
        <v/>
      </c>
    </row>
    <row r="203" spans="1:7">
      <c r="A203">
        <v>200</v>
      </c>
      <c r="B203" s="46">
        <v>44244</v>
      </c>
      <c r="C203" s="277">
        <v>252.24015034147993</v>
      </c>
      <c r="D203" s="277">
        <v>125.57183874706618</v>
      </c>
      <c r="E203" s="178">
        <f t="shared" si="6"/>
        <v>125.57183874706618</v>
      </c>
      <c r="F203" s="205" t="str">
        <f t="shared" si="7"/>
        <v/>
      </c>
    </row>
    <row r="204" spans="1:7">
      <c r="A204">
        <v>201</v>
      </c>
      <c r="B204" s="46">
        <v>44245</v>
      </c>
      <c r="C204" s="277">
        <v>250.5966354654818</v>
      </c>
      <c r="D204" s="277">
        <v>125.57183874706618</v>
      </c>
      <c r="E204" s="178">
        <f t="shared" si="6"/>
        <v>125.57183874706618</v>
      </c>
      <c r="F204" s="205" t="str">
        <f t="shared" si="7"/>
        <v/>
      </c>
    </row>
    <row r="205" spans="1:7">
      <c r="A205">
        <v>202</v>
      </c>
      <c r="B205" s="46">
        <v>44246</v>
      </c>
      <c r="C205" s="277">
        <v>245.0859520234799</v>
      </c>
      <c r="D205" s="277">
        <v>125.57183874706618</v>
      </c>
      <c r="E205" s="178">
        <f t="shared" si="6"/>
        <v>125.57183874706618</v>
      </c>
      <c r="F205" s="205" t="str">
        <f t="shared" si="7"/>
        <v/>
      </c>
    </row>
    <row r="206" spans="1:7">
      <c r="A206">
        <v>203</v>
      </c>
      <c r="B206" s="46">
        <v>44247</v>
      </c>
      <c r="C206" s="277">
        <v>229.47356413947804</v>
      </c>
      <c r="D206" s="277">
        <v>125.57183874706618</v>
      </c>
      <c r="E206" s="178">
        <f t="shared" si="6"/>
        <v>125.57183874706618</v>
      </c>
      <c r="F206" s="205" t="str">
        <f t="shared" si="7"/>
        <v/>
      </c>
    </row>
    <row r="207" spans="1:7">
      <c r="A207">
        <v>204</v>
      </c>
      <c r="B207" s="46">
        <v>44248</v>
      </c>
      <c r="C207" s="277">
        <v>231.6456424094799</v>
      </c>
      <c r="D207" s="277">
        <v>125.57183874706618</v>
      </c>
      <c r="E207" s="178">
        <f t="shared" si="6"/>
        <v>125.57183874706618</v>
      </c>
      <c r="F207" s="205" t="str">
        <f t="shared" si="7"/>
        <v/>
      </c>
    </row>
    <row r="208" spans="1:7">
      <c r="A208">
        <v>205</v>
      </c>
      <c r="B208" s="46">
        <v>44249</v>
      </c>
      <c r="C208" s="277">
        <v>255.84068907347992</v>
      </c>
      <c r="D208" s="277">
        <v>125.57183874706618</v>
      </c>
      <c r="E208" s="178">
        <f t="shared" si="6"/>
        <v>125.57183874706618</v>
      </c>
      <c r="F208" s="205" t="str">
        <f t="shared" si="7"/>
        <v/>
      </c>
    </row>
    <row r="209" spans="1:6">
      <c r="A209">
        <v>206</v>
      </c>
      <c r="B209" s="46">
        <v>44250</v>
      </c>
      <c r="C209" s="277">
        <v>251.36531480148363</v>
      </c>
      <c r="D209" s="277">
        <v>125.57183874706618</v>
      </c>
      <c r="E209" s="178">
        <f t="shared" si="6"/>
        <v>125.57183874706618</v>
      </c>
      <c r="F209" s="205" t="str">
        <f t="shared" si="7"/>
        <v/>
      </c>
    </row>
    <row r="210" spans="1:6">
      <c r="A210">
        <v>207</v>
      </c>
      <c r="B210" s="46">
        <v>44251</v>
      </c>
      <c r="C210" s="277">
        <v>198.79276894217784</v>
      </c>
      <c r="D210" s="277">
        <v>125.57183874706618</v>
      </c>
      <c r="E210" s="178">
        <f t="shared" si="6"/>
        <v>125.57183874706618</v>
      </c>
      <c r="F210" s="205" t="str">
        <f t="shared" si="7"/>
        <v/>
      </c>
    </row>
    <row r="211" spans="1:6">
      <c r="A211">
        <v>208</v>
      </c>
      <c r="B211" s="46">
        <v>44252</v>
      </c>
      <c r="C211" s="277">
        <v>215.04038210418344</v>
      </c>
      <c r="D211" s="277">
        <v>125.57183874706618</v>
      </c>
      <c r="E211" s="178">
        <f t="shared" si="6"/>
        <v>125.57183874706618</v>
      </c>
      <c r="F211" s="205" t="str">
        <f t="shared" si="7"/>
        <v/>
      </c>
    </row>
    <row r="212" spans="1:6">
      <c r="A212">
        <v>209</v>
      </c>
      <c r="B212" s="46">
        <v>44253</v>
      </c>
      <c r="C212" s="277">
        <v>213.22118856817971</v>
      </c>
      <c r="D212" s="277">
        <v>125.57183874706618</v>
      </c>
      <c r="E212" s="178">
        <f t="shared" si="6"/>
        <v>125.57183874706618</v>
      </c>
      <c r="F212" s="205" t="str">
        <f t="shared" si="7"/>
        <v/>
      </c>
    </row>
    <row r="213" spans="1:6">
      <c r="A213">
        <v>210</v>
      </c>
      <c r="B213" s="46">
        <v>44254</v>
      </c>
      <c r="C213" s="277">
        <v>180.77740014617967</v>
      </c>
      <c r="D213" s="277">
        <v>125.57183874706618</v>
      </c>
      <c r="E213" s="178">
        <f t="shared" si="6"/>
        <v>125.57183874706618</v>
      </c>
      <c r="F213" s="205" t="str">
        <f t="shared" si="7"/>
        <v/>
      </c>
    </row>
    <row r="214" spans="1:6">
      <c r="A214">
        <v>211</v>
      </c>
      <c r="B214" s="46">
        <v>44255</v>
      </c>
      <c r="C214" s="277">
        <v>158.85748814818342</v>
      </c>
      <c r="D214" s="277">
        <v>125.57183874706618</v>
      </c>
      <c r="E214" s="178">
        <f t="shared" si="6"/>
        <v>125.57183874706618</v>
      </c>
      <c r="F214" s="205" t="str">
        <f t="shared" si="7"/>
        <v/>
      </c>
    </row>
    <row r="215" spans="1:6">
      <c r="A215">
        <v>212</v>
      </c>
      <c r="B215" s="46">
        <v>44256</v>
      </c>
      <c r="C215" s="277">
        <v>180.43640221617972</v>
      </c>
      <c r="D215" s="277">
        <v>136.7399554485423</v>
      </c>
      <c r="E215" s="178">
        <f t="shared" si="6"/>
        <v>136.7399554485423</v>
      </c>
      <c r="F215" s="205" t="str">
        <f t="shared" si="7"/>
        <v/>
      </c>
    </row>
    <row r="216" spans="1:6">
      <c r="A216">
        <v>213</v>
      </c>
      <c r="B216" s="46">
        <v>44257</v>
      </c>
      <c r="C216" s="277">
        <v>201.88414813417785</v>
      </c>
      <c r="D216" s="277">
        <v>136.7399554485423</v>
      </c>
      <c r="E216" s="178">
        <f t="shared" si="6"/>
        <v>136.7399554485423</v>
      </c>
      <c r="F216" s="205" t="str">
        <f t="shared" si="7"/>
        <v/>
      </c>
    </row>
    <row r="217" spans="1:6">
      <c r="A217">
        <v>214</v>
      </c>
      <c r="B217" s="46">
        <v>44258</v>
      </c>
      <c r="C217" s="277">
        <v>170.96153258492194</v>
      </c>
      <c r="D217" s="277">
        <v>136.7399554485423</v>
      </c>
      <c r="E217" s="178">
        <f t="shared" si="6"/>
        <v>136.7399554485423</v>
      </c>
      <c r="F217" s="205" t="str">
        <f t="shared" si="7"/>
        <v/>
      </c>
    </row>
    <row r="218" spans="1:6">
      <c r="A218">
        <v>215</v>
      </c>
      <c r="B218" s="46">
        <v>44259</v>
      </c>
      <c r="C218" s="277">
        <v>157.94996440092009</v>
      </c>
      <c r="D218" s="277">
        <v>136.7399554485423</v>
      </c>
      <c r="E218" s="178">
        <f t="shared" si="6"/>
        <v>136.7399554485423</v>
      </c>
      <c r="F218" s="205" t="str">
        <f t="shared" si="7"/>
        <v/>
      </c>
    </row>
    <row r="219" spans="1:6">
      <c r="A219">
        <v>216</v>
      </c>
      <c r="B219" s="46">
        <v>44260</v>
      </c>
      <c r="C219" s="277">
        <v>146.89804492091821</v>
      </c>
      <c r="D219" s="277">
        <v>136.7399554485423</v>
      </c>
      <c r="E219" s="178">
        <f t="shared" si="6"/>
        <v>136.7399554485423</v>
      </c>
      <c r="F219" s="205" t="str">
        <f t="shared" si="7"/>
        <v/>
      </c>
    </row>
    <row r="220" spans="1:6">
      <c r="A220">
        <v>217</v>
      </c>
      <c r="B220" s="46">
        <v>44261</v>
      </c>
      <c r="C220" s="277">
        <v>129.02562271292007</v>
      </c>
      <c r="D220" s="277">
        <v>136.7399554485423</v>
      </c>
      <c r="E220" s="178">
        <f t="shared" si="6"/>
        <v>129.02562271292007</v>
      </c>
      <c r="F220" s="205" t="str">
        <f t="shared" si="7"/>
        <v/>
      </c>
    </row>
    <row r="221" spans="1:6">
      <c r="A221">
        <v>218</v>
      </c>
      <c r="B221" s="46">
        <v>44262</v>
      </c>
      <c r="C221" s="277">
        <v>122.20455098892009</v>
      </c>
      <c r="D221" s="277">
        <v>136.7399554485423</v>
      </c>
      <c r="E221" s="178">
        <f t="shared" si="6"/>
        <v>122.20455098892009</v>
      </c>
      <c r="F221" s="205" t="str">
        <f t="shared" si="7"/>
        <v/>
      </c>
    </row>
    <row r="222" spans="1:6">
      <c r="A222">
        <v>219</v>
      </c>
      <c r="B222" s="46">
        <v>44263</v>
      </c>
      <c r="C222" s="277">
        <v>153.32439297692008</v>
      </c>
      <c r="D222" s="277">
        <v>136.7399554485423</v>
      </c>
      <c r="E222" s="178">
        <f t="shared" si="6"/>
        <v>136.7399554485423</v>
      </c>
      <c r="F222" s="205" t="str">
        <f t="shared" si="7"/>
        <v/>
      </c>
    </row>
    <row r="223" spans="1:6">
      <c r="A223">
        <v>220</v>
      </c>
      <c r="B223" s="46">
        <v>44264</v>
      </c>
      <c r="C223" s="277">
        <v>149.22961850492007</v>
      </c>
      <c r="D223" s="277">
        <v>136.7399554485423</v>
      </c>
      <c r="E223" s="178">
        <f t="shared" si="6"/>
        <v>136.7399554485423</v>
      </c>
      <c r="F223" s="205" t="str">
        <f t="shared" si="7"/>
        <v/>
      </c>
    </row>
    <row r="224" spans="1:6">
      <c r="A224">
        <v>221</v>
      </c>
      <c r="B224" s="46">
        <v>44265</v>
      </c>
      <c r="C224" s="277">
        <v>129.11398864011255</v>
      </c>
      <c r="D224" s="277">
        <v>136.7399554485423</v>
      </c>
      <c r="E224" s="178">
        <f t="shared" si="6"/>
        <v>129.11398864011255</v>
      </c>
      <c r="F224" s="205" t="str">
        <f t="shared" si="7"/>
        <v/>
      </c>
    </row>
    <row r="225" spans="1:7">
      <c r="A225">
        <v>222</v>
      </c>
      <c r="B225" s="46">
        <v>44266</v>
      </c>
      <c r="C225" s="277">
        <v>101.23949998610881</v>
      </c>
      <c r="D225" s="277">
        <v>136.7399554485423</v>
      </c>
      <c r="E225" s="178">
        <f t="shared" si="6"/>
        <v>101.23949998610881</v>
      </c>
      <c r="F225" s="205" t="str">
        <f t="shared" si="7"/>
        <v/>
      </c>
    </row>
    <row r="226" spans="1:7">
      <c r="A226">
        <v>223</v>
      </c>
      <c r="B226" s="46">
        <v>44267</v>
      </c>
      <c r="C226" s="277">
        <v>100.59290683211253</v>
      </c>
      <c r="D226" s="277">
        <v>136.7399554485423</v>
      </c>
      <c r="E226" s="178">
        <f t="shared" si="6"/>
        <v>100.59290683211253</v>
      </c>
      <c r="F226" s="205" t="str">
        <f t="shared" si="7"/>
        <v/>
      </c>
    </row>
    <row r="227" spans="1:7">
      <c r="A227">
        <v>224</v>
      </c>
      <c r="B227" s="46">
        <v>44268</v>
      </c>
      <c r="C227" s="277">
        <v>72.324729336108817</v>
      </c>
      <c r="D227" s="277">
        <v>136.7399554485423</v>
      </c>
      <c r="E227" s="178">
        <f t="shared" si="6"/>
        <v>72.324729336108817</v>
      </c>
      <c r="F227" s="205" t="str">
        <f t="shared" si="7"/>
        <v/>
      </c>
    </row>
    <row r="228" spans="1:7">
      <c r="A228">
        <v>225</v>
      </c>
      <c r="B228" s="46">
        <v>44269</v>
      </c>
      <c r="C228" s="277">
        <v>68.548257946110681</v>
      </c>
      <c r="D228" s="277">
        <v>136.7399554485423</v>
      </c>
      <c r="E228" s="178">
        <f t="shared" si="6"/>
        <v>68.548257946110681</v>
      </c>
      <c r="F228" s="205" t="str">
        <f t="shared" si="7"/>
        <v/>
      </c>
    </row>
    <row r="229" spans="1:7">
      <c r="A229">
        <v>226</v>
      </c>
      <c r="B229" s="46">
        <v>44270</v>
      </c>
      <c r="C229" s="277">
        <v>105.35541978611255</v>
      </c>
      <c r="D229" s="277">
        <v>136.7399554485423</v>
      </c>
      <c r="E229" s="178">
        <f t="shared" si="6"/>
        <v>105.35541978611255</v>
      </c>
      <c r="F229" s="205" t="str">
        <f t="shared" si="7"/>
        <v>M</v>
      </c>
      <c r="G229" s="206">
        <f>IF(DAY(B229)=15,D229,"")</f>
        <v>136.7399554485423</v>
      </c>
    </row>
    <row r="230" spans="1:7">
      <c r="A230">
        <v>227</v>
      </c>
      <c r="B230" s="46">
        <v>44271</v>
      </c>
      <c r="C230" s="277">
        <v>84.458917064108817</v>
      </c>
      <c r="D230" s="277">
        <v>136.7399554485423</v>
      </c>
      <c r="E230" s="178">
        <f t="shared" si="6"/>
        <v>84.458917064108817</v>
      </c>
      <c r="F230" s="205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/>
      </c>
      <c r="G230" s="206" t="str">
        <f>IF(DAY(B230)=15,D230,"")</f>
        <v/>
      </c>
    </row>
    <row r="231" spans="1:7">
      <c r="A231">
        <v>228</v>
      </c>
      <c r="B231" s="46">
        <v>44272</v>
      </c>
      <c r="C231" s="277">
        <v>78.6456522491697</v>
      </c>
      <c r="D231" s="277">
        <v>136.7399554485423</v>
      </c>
      <c r="E231" s="178">
        <f t="shared" si="6"/>
        <v>78.6456522491697</v>
      </c>
      <c r="F231" s="205" t="str">
        <f t="shared" si="7"/>
        <v/>
      </c>
      <c r="G231" s="206" t="str">
        <f>IF(DAY(B231)=15,D231,"")</f>
        <v/>
      </c>
    </row>
    <row r="232" spans="1:7">
      <c r="A232">
        <v>229</v>
      </c>
      <c r="B232" s="46">
        <v>44273</v>
      </c>
      <c r="C232" s="277">
        <v>92.181539105165967</v>
      </c>
      <c r="D232" s="277">
        <v>136.7399554485423</v>
      </c>
      <c r="E232" s="178">
        <f t="shared" si="6"/>
        <v>92.181539105165967</v>
      </c>
      <c r="F232" s="205" t="str">
        <f>IF(DAY(B232)=15,IF(MONTH(B232)=1,"E",IF(MONTH(B232)=2,"F",IF(MONTH(B232)=3,"M",IF(MONTH(B232)=4,"A",IF(MONTH(B232)=5,"M",IF(MONTH(B232)=6,"J",IF(MONTH(B232)=7,"J",IF(MONTH(B232)=8,"A",IF(MONTH(B232)=9,"S",IF(MONTH(B232)=10,"O",IF(MONTH(B232)=11,"N",IF(MONTH(B232)=12,"D","")))))))))))),"")</f>
        <v/>
      </c>
      <c r="G232" s="206" t="str">
        <f>IF(DAY(B232)=15,D232,"")</f>
        <v/>
      </c>
    </row>
    <row r="233" spans="1:7">
      <c r="A233">
        <v>230</v>
      </c>
      <c r="B233" s="46">
        <v>44274</v>
      </c>
      <c r="C233" s="277">
        <v>86.720284863165972</v>
      </c>
      <c r="D233" s="277">
        <v>136.7399554485423</v>
      </c>
      <c r="E233" s="178">
        <f t="shared" si="6"/>
        <v>86.720284863165972</v>
      </c>
      <c r="F233" s="205" t="str">
        <f t="shared" si="7"/>
        <v/>
      </c>
    </row>
    <row r="234" spans="1:7">
      <c r="A234">
        <v>231</v>
      </c>
      <c r="B234" s="46">
        <v>44275</v>
      </c>
      <c r="C234" s="277">
        <v>43.176069023169696</v>
      </c>
      <c r="D234" s="277">
        <v>136.7399554485423</v>
      </c>
      <c r="E234" s="178">
        <f t="shared" si="6"/>
        <v>43.176069023169696</v>
      </c>
      <c r="F234" s="205" t="str">
        <f t="shared" si="7"/>
        <v/>
      </c>
    </row>
    <row r="235" spans="1:7">
      <c r="A235">
        <v>232</v>
      </c>
      <c r="B235" s="46">
        <v>44276</v>
      </c>
      <c r="C235" s="277">
        <v>48.579112891164108</v>
      </c>
      <c r="D235" s="277">
        <v>136.7399554485423</v>
      </c>
      <c r="E235" s="178">
        <f t="shared" si="6"/>
        <v>48.579112891164108</v>
      </c>
      <c r="F235" s="205" t="str">
        <f t="shared" si="7"/>
        <v/>
      </c>
    </row>
    <row r="236" spans="1:7">
      <c r="A236">
        <v>233</v>
      </c>
      <c r="B236" s="46">
        <v>44277</v>
      </c>
      <c r="C236" s="277">
        <v>100.11940646116783</v>
      </c>
      <c r="D236" s="277">
        <v>136.7399554485423</v>
      </c>
      <c r="E236" s="178">
        <f t="shared" si="6"/>
        <v>100.11940646116783</v>
      </c>
      <c r="F236" s="205" t="str">
        <f t="shared" si="7"/>
        <v/>
      </c>
    </row>
    <row r="237" spans="1:7">
      <c r="A237">
        <v>234</v>
      </c>
      <c r="B237" s="46">
        <v>44278</v>
      </c>
      <c r="C237" s="277">
        <v>123.59558988916784</v>
      </c>
      <c r="D237" s="277">
        <v>136.7399554485423</v>
      </c>
      <c r="E237" s="178">
        <f t="shared" si="6"/>
        <v>123.59558988916784</v>
      </c>
      <c r="F237" s="205" t="str">
        <f t="shared" si="7"/>
        <v/>
      </c>
    </row>
    <row r="238" spans="1:7">
      <c r="A238">
        <v>235</v>
      </c>
      <c r="B238" s="46">
        <v>44279</v>
      </c>
      <c r="C238" s="277">
        <v>101.68231273701706</v>
      </c>
      <c r="D238" s="277">
        <v>136.7399554485423</v>
      </c>
      <c r="E238" s="178">
        <f t="shared" si="6"/>
        <v>101.68231273701706</v>
      </c>
      <c r="F238" s="205" t="str">
        <f t="shared" si="7"/>
        <v/>
      </c>
    </row>
    <row r="239" spans="1:7">
      <c r="A239">
        <v>236</v>
      </c>
      <c r="B239" s="46">
        <v>44280</v>
      </c>
      <c r="C239" s="277">
        <v>100.98737631301704</v>
      </c>
      <c r="D239" s="277">
        <v>136.7399554485423</v>
      </c>
      <c r="E239" s="178">
        <f t="shared" si="6"/>
        <v>100.98737631301704</v>
      </c>
      <c r="F239" s="205" t="str">
        <f t="shared" si="7"/>
        <v/>
      </c>
    </row>
    <row r="240" spans="1:7">
      <c r="A240">
        <v>237</v>
      </c>
      <c r="B240" s="46">
        <v>44281</v>
      </c>
      <c r="C240" s="277">
        <v>86.623203501018921</v>
      </c>
      <c r="D240" s="277">
        <v>136.7399554485423</v>
      </c>
      <c r="E240" s="178">
        <f t="shared" si="6"/>
        <v>86.623203501018921</v>
      </c>
      <c r="F240" s="205" t="str">
        <f t="shared" si="7"/>
        <v/>
      </c>
    </row>
    <row r="241" spans="1:6">
      <c r="A241">
        <v>238</v>
      </c>
      <c r="B241" s="46">
        <v>44282</v>
      </c>
      <c r="C241" s="277">
        <v>52.267094185018912</v>
      </c>
      <c r="D241" s="277">
        <v>136.7399554485423</v>
      </c>
      <c r="E241" s="178">
        <f t="shared" si="6"/>
        <v>52.267094185018912</v>
      </c>
      <c r="F241" s="205" t="str">
        <f t="shared" si="7"/>
        <v/>
      </c>
    </row>
    <row r="242" spans="1:6">
      <c r="A242">
        <v>239</v>
      </c>
      <c r="B242" s="46">
        <v>44283</v>
      </c>
      <c r="C242" s="277">
        <v>22.305643741017047</v>
      </c>
      <c r="D242" s="277">
        <v>136.7399554485423</v>
      </c>
      <c r="E242" s="178">
        <f t="shared" si="6"/>
        <v>22.305643741017047</v>
      </c>
      <c r="F242" s="205" t="str">
        <f t="shared" si="7"/>
        <v/>
      </c>
    </row>
    <row r="243" spans="1:6">
      <c r="A243">
        <v>240</v>
      </c>
      <c r="B243" s="46">
        <v>44284</v>
      </c>
      <c r="C243" s="277">
        <v>50.199117601017058</v>
      </c>
      <c r="D243" s="277">
        <v>136.7399554485423</v>
      </c>
      <c r="E243" s="178">
        <f t="shared" si="6"/>
        <v>50.199117601017058</v>
      </c>
      <c r="F243" s="205" t="str">
        <f t="shared" si="7"/>
        <v/>
      </c>
    </row>
    <row r="244" spans="1:6">
      <c r="A244">
        <v>241</v>
      </c>
      <c r="B244" s="46">
        <v>44285</v>
      </c>
      <c r="C244" s="277">
        <v>60.649499513017055</v>
      </c>
      <c r="D244" s="277">
        <v>136.7399554485423</v>
      </c>
      <c r="E244" s="178">
        <f t="shared" si="6"/>
        <v>60.649499513017055</v>
      </c>
      <c r="F244" s="205" t="str">
        <f t="shared" si="7"/>
        <v/>
      </c>
    </row>
    <row r="245" spans="1:6">
      <c r="A245">
        <v>242</v>
      </c>
      <c r="B245" s="46">
        <v>44286</v>
      </c>
      <c r="C245" s="277">
        <v>75.16902626648239</v>
      </c>
      <c r="D245" s="277">
        <v>136.7399554485423</v>
      </c>
      <c r="E245" s="178">
        <f t="shared" si="6"/>
        <v>75.16902626648239</v>
      </c>
      <c r="F245" s="205" t="str">
        <f t="shared" si="7"/>
        <v/>
      </c>
    </row>
    <row r="246" spans="1:6">
      <c r="A246">
        <v>243</v>
      </c>
      <c r="B246" s="46">
        <v>44287</v>
      </c>
      <c r="C246" s="277">
        <v>63.751534450480527</v>
      </c>
      <c r="D246" s="277">
        <v>128.52573371940508</v>
      </c>
      <c r="E246" s="178">
        <f t="shared" si="6"/>
        <v>63.751534450480527</v>
      </c>
      <c r="F246" s="205" t="str">
        <f t="shared" si="7"/>
        <v/>
      </c>
    </row>
    <row r="247" spans="1:6">
      <c r="A247">
        <v>244</v>
      </c>
      <c r="B247" s="46">
        <v>44288</v>
      </c>
      <c r="C247" s="277">
        <v>65.469556810482388</v>
      </c>
      <c r="D247" s="277">
        <v>128.52573371940508</v>
      </c>
      <c r="E247" s="178">
        <f t="shared" si="6"/>
        <v>65.469556810482388</v>
      </c>
      <c r="F247" s="205" t="str">
        <f t="shared" si="7"/>
        <v/>
      </c>
    </row>
    <row r="248" spans="1:6">
      <c r="A248">
        <v>245</v>
      </c>
      <c r="B248" s="46">
        <v>44289</v>
      </c>
      <c r="C248" s="277">
        <v>42.394872066480531</v>
      </c>
      <c r="D248" s="277">
        <v>128.52573371940508</v>
      </c>
      <c r="E248" s="178">
        <f t="shared" si="6"/>
        <v>42.394872066480531</v>
      </c>
      <c r="F248" s="205" t="str">
        <f t="shared" si="7"/>
        <v/>
      </c>
    </row>
    <row r="249" spans="1:6">
      <c r="A249">
        <v>246</v>
      </c>
      <c r="B249" s="46">
        <v>44290</v>
      </c>
      <c r="C249" s="277">
        <v>41.921852302478669</v>
      </c>
      <c r="D249" s="277">
        <v>128.52573371940508</v>
      </c>
      <c r="E249" s="178">
        <f t="shared" si="6"/>
        <v>41.921852302478669</v>
      </c>
      <c r="F249" s="205" t="str">
        <f t="shared" si="7"/>
        <v/>
      </c>
    </row>
    <row r="250" spans="1:6">
      <c r="A250">
        <v>247</v>
      </c>
      <c r="B250" s="46">
        <v>44291</v>
      </c>
      <c r="C250" s="277">
        <v>57.200811402480525</v>
      </c>
      <c r="D250" s="277">
        <v>128.52573371940508</v>
      </c>
      <c r="E250" s="178">
        <f t="shared" si="6"/>
        <v>57.200811402480525</v>
      </c>
      <c r="F250" s="205" t="str">
        <f t="shared" si="7"/>
        <v/>
      </c>
    </row>
    <row r="251" spans="1:6">
      <c r="A251">
        <v>248</v>
      </c>
      <c r="B251" s="46">
        <v>44292</v>
      </c>
      <c r="C251" s="277">
        <v>72.491779494480539</v>
      </c>
      <c r="D251" s="277">
        <v>128.52573371940508</v>
      </c>
      <c r="E251" s="178">
        <f t="shared" si="6"/>
        <v>72.491779494480539</v>
      </c>
      <c r="F251" s="205" t="str">
        <f t="shared" si="7"/>
        <v/>
      </c>
    </row>
    <row r="252" spans="1:6">
      <c r="A252">
        <v>249</v>
      </c>
      <c r="B252" s="46">
        <v>44293</v>
      </c>
      <c r="C252" s="277">
        <v>73.096940716146577</v>
      </c>
      <c r="D252" s="277">
        <v>128.52573371940508</v>
      </c>
      <c r="E252" s="178">
        <f t="shared" si="6"/>
        <v>73.096940716146577</v>
      </c>
      <c r="F252" s="205" t="str">
        <f t="shared" si="7"/>
        <v/>
      </c>
    </row>
    <row r="253" spans="1:6">
      <c r="A253">
        <v>250</v>
      </c>
      <c r="B253" s="46">
        <v>44294</v>
      </c>
      <c r="C253" s="277">
        <v>97.066670200148423</v>
      </c>
      <c r="D253" s="277">
        <v>128.52573371940508</v>
      </c>
      <c r="E253" s="178">
        <f t="shared" si="6"/>
        <v>97.066670200148423</v>
      </c>
      <c r="F253" s="205" t="str">
        <f t="shared" si="7"/>
        <v/>
      </c>
    </row>
    <row r="254" spans="1:6">
      <c r="A254">
        <v>251</v>
      </c>
      <c r="B254" s="46">
        <v>44295</v>
      </c>
      <c r="C254" s="277">
        <v>89.112006520142856</v>
      </c>
      <c r="D254" s="277">
        <v>128.52573371940508</v>
      </c>
      <c r="E254" s="178">
        <f t="shared" si="6"/>
        <v>89.112006520142856</v>
      </c>
      <c r="F254" s="205" t="str">
        <f t="shared" si="7"/>
        <v/>
      </c>
    </row>
    <row r="255" spans="1:6">
      <c r="A255">
        <v>252</v>
      </c>
      <c r="B255" s="46">
        <v>44296</v>
      </c>
      <c r="C255" s="277">
        <v>59.675219168146576</v>
      </c>
      <c r="D255" s="277">
        <v>128.52573371940508</v>
      </c>
      <c r="E255" s="178">
        <f t="shared" si="6"/>
        <v>59.675219168146576</v>
      </c>
      <c r="F255" s="205" t="str">
        <f t="shared" si="7"/>
        <v/>
      </c>
    </row>
    <row r="256" spans="1:6">
      <c r="A256">
        <v>253</v>
      </c>
      <c r="B256" s="46">
        <v>44297</v>
      </c>
      <c r="C256" s="277">
        <v>36.012027652150294</v>
      </c>
      <c r="D256" s="277">
        <v>128.52573371940508</v>
      </c>
      <c r="E256" s="178">
        <f t="shared" si="6"/>
        <v>36.012027652150294</v>
      </c>
      <c r="F256" s="205" t="str">
        <f t="shared" si="7"/>
        <v/>
      </c>
    </row>
    <row r="257" spans="1:7">
      <c r="A257">
        <v>254</v>
      </c>
      <c r="B257" s="46">
        <v>44298</v>
      </c>
      <c r="C257" s="277">
        <v>71.971308904144706</v>
      </c>
      <c r="D257" s="277">
        <v>128.52573371940508</v>
      </c>
      <c r="E257" s="178">
        <f t="shared" si="6"/>
        <v>71.971308904144706</v>
      </c>
      <c r="F257" s="205" t="str">
        <f t="shared" si="7"/>
        <v/>
      </c>
    </row>
    <row r="258" spans="1:7">
      <c r="A258">
        <v>255</v>
      </c>
      <c r="B258" s="46">
        <v>44299</v>
      </c>
      <c r="C258" s="277">
        <v>87.948379396146578</v>
      </c>
      <c r="D258" s="277">
        <v>128.52573371940508</v>
      </c>
      <c r="E258" s="178">
        <f t="shared" si="6"/>
        <v>87.948379396146578</v>
      </c>
      <c r="F258" s="205" t="str">
        <f t="shared" si="7"/>
        <v/>
      </c>
    </row>
    <row r="259" spans="1:7">
      <c r="A259">
        <v>256</v>
      </c>
      <c r="B259" s="46">
        <v>44300</v>
      </c>
      <c r="C259" s="277">
        <v>74.086402859665498</v>
      </c>
      <c r="D259" s="277">
        <v>128.52573371940508</v>
      </c>
      <c r="E259" s="178">
        <f t="shared" si="6"/>
        <v>74.086402859665498</v>
      </c>
      <c r="F259" s="205" t="str">
        <f t="shared" si="7"/>
        <v/>
      </c>
    </row>
    <row r="260" spans="1:7">
      <c r="A260">
        <v>257</v>
      </c>
      <c r="B260" s="46">
        <v>44301</v>
      </c>
      <c r="C260" s="277">
        <v>65.578525103665498</v>
      </c>
      <c r="D260" s="277">
        <v>128.52573371940508</v>
      </c>
      <c r="E260" s="178">
        <f t="shared" ref="E260:E323" si="8">IF(C260&lt;D260,C260,D260)</f>
        <v>65.578525103665498</v>
      </c>
      <c r="F260" s="205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A</v>
      </c>
      <c r="G260" s="206">
        <f>IF(DAY(B260)=15,D260,"")</f>
        <v>128.52573371940508</v>
      </c>
    </row>
    <row r="261" spans="1:7">
      <c r="A261">
        <v>258</v>
      </c>
      <c r="B261" s="46">
        <v>44302</v>
      </c>
      <c r="C261" s="277">
        <v>52.700916831667364</v>
      </c>
      <c r="D261" s="277">
        <v>128.52573371940508</v>
      </c>
      <c r="E261" s="178">
        <f t="shared" si="8"/>
        <v>52.700916831667364</v>
      </c>
      <c r="F261" s="205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  <c r="G261" s="206" t="str">
        <f>IF(DAY(B261)=15,D261,"")</f>
        <v/>
      </c>
    </row>
    <row r="262" spans="1:7">
      <c r="A262">
        <v>259</v>
      </c>
      <c r="B262" s="46">
        <v>44303</v>
      </c>
      <c r="C262" s="277">
        <v>28.047646551661767</v>
      </c>
      <c r="D262" s="277">
        <v>128.52573371940508</v>
      </c>
      <c r="E262" s="178">
        <f t="shared" si="8"/>
        <v>28.047646551661767</v>
      </c>
      <c r="F262" s="205" t="str">
        <f t="shared" si="9"/>
        <v/>
      </c>
      <c r="G262" s="206" t="str">
        <f>IF(DAY(B262)=15,D262,"")</f>
        <v/>
      </c>
    </row>
    <row r="263" spans="1:7">
      <c r="A263">
        <v>260</v>
      </c>
      <c r="B263" s="46">
        <v>44304</v>
      </c>
      <c r="C263" s="277">
        <v>25.637126475665493</v>
      </c>
      <c r="D263" s="277">
        <v>128.52573371940508</v>
      </c>
      <c r="E263" s="178">
        <f t="shared" si="8"/>
        <v>25.637126475665493</v>
      </c>
      <c r="F263" s="205" t="str">
        <f t="shared" si="9"/>
        <v/>
      </c>
    </row>
    <row r="264" spans="1:7">
      <c r="A264">
        <v>261</v>
      </c>
      <c r="B264" s="46">
        <v>44305</v>
      </c>
      <c r="C264" s="277">
        <v>67.720498807665493</v>
      </c>
      <c r="D264" s="277">
        <v>128.52573371940508</v>
      </c>
      <c r="E264" s="178">
        <f t="shared" si="8"/>
        <v>67.720498807665493</v>
      </c>
      <c r="F264" s="205" t="str">
        <f t="shared" si="9"/>
        <v/>
      </c>
    </row>
    <row r="265" spans="1:7">
      <c r="A265">
        <v>262</v>
      </c>
      <c r="B265" s="46">
        <v>44306</v>
      </c>
      <c r="C265" s="277">
        <v>64.438045755665499</v>
      </c>
      <c r="D265" s="277">
        <v>128.52573371940508</v>
      </c>
      <c r="E265" s="178">
        <f t="shared" si="8"/>
        <v>64.438045755665499</v>
      </c>
      <c r="F265" s="205" t="str">
        <f t="shared" si="9"/>
        <v/>
      </c>
    </row>
    <row r="266" spans="1:7">
      <c r="A266">
        <v>263</v>
      </c>
      <c r="B266" s="46">
        <v>44307</v>
      </c>
      <c r="C266" s="277">
        <v>77.927893818515969</v>
      </c>
      <c r="D266" s="277">
        <v>128.52573371940508</v>
      </c>
      <c r="E266" s="178">
        <f t="shared" si="8"/>
        <v>77.927893818515969</v>
      </c>
      <c r="F266" s="205" t="str">
        <f t="shared" si="9"/>
        <v/>
      </c>
    </row>
    <row r="267" spans="1:7">
      <c r="A267">
        <v>264</v>
      </c>
      <c r="B267" s="46">
        <v>44308</v>
      </c>
      <c r="C267" s="277">
        <v>70.428506162521543</v>
      </c>
      <c r="D267" s="277">
        <v>128.52573371940508</v>
      </c>
      <c r="E267" s="178">
        <f t="shared" si="8"/>
        <v>70.428506162521543</v>
      </c>
      <c r="F267" s="205" t="str">
        <f t="shared" si="9"/>
        <v/>
      </c>
    </row>
    <row r="268" spans="1:7">
      <c r="A268">
        <v>265</v>
      </c>
      <c r="B268" s="46">
        <v>44309</v>
      </c>
      <c r="C268" s="277">
        <v>33.339995286519681</v>
      </c>
      <c r="D268" s="277">
        <v>128.52573371940508</v>
      </c>
      <c r="E268" s="178">
        <f t="shared" si="8"/>
        <v>33.339995286519681</v>
      </c>
      <c r="F268" s="205" t="str">
        <f t="shared" si="9"/>
        <v/>
      </c>
    </row>
    <row r="269" spans="1:7">
      <c r="A269">
        <v>266</v>
      </c>
      <c r="B269" s="46">
        <v>44310</v>
      </c>
      <c r="C269" s="277">
        <v>20.937989170515962</v>
      </c>
      <c r="D269" s="277">
        <v>128.52573371940508</v>
      </c>
      <c r="E269" s="178">
        <f t="shared" si="8"/>
        <v>20.937989170515962</v>
      </c>
      <c r="F269" s="205" t="str">
        <f t="shared" si="9"/>
        <v/>
      </c>
    </row>
    <row r="270" spans="1:7">
      <c r="A270">
        <v>267</v>
      </c>
      <c r="B270" s="46">
        <v>44311</v>
      </c>
      <c r="C270" s="277">
        <v>29.937314190521544</v>
      </c>
      <c r="D270" s="277">
        <v>128.52573371940508</v>
      </c>
      <c r="E270" s="178">
        <f t="shared" si="8"/>
        <v>29.937314190521544</v>
      </c>
      <c r="F270" s="205" t="str">
        <f t="shared" si="9"/>
        <v/>
      </c>
    </row>
    <row r="271" spans="1:7">
      <c r="A271">
        <v>268</v>
      </c>
      <c r="B271" s="46">
        <v>44312</v>
      </c>
      <c r="C271" s="277">
        <v>70.082576902517815</v>
      </c>
      <c r="D271" s="277">
        <v>128.52573371940508</v>
      </c>
      <c r="E271" s="178">
        <f t="shared" si="8"/>
        <v>70.082576902517815</v>
      </c>
      <c r="F271" s="205" t="str">
        <f t="shared" si="9"/>
        <v/>
      </c>
    </row>
    <row r="272" spans="1:7">
      <c r="A272">
        <v>269</v>
      </c>
      <c r="B272" s="46">
        <v>44313</v>
      </c>
      <c r="C272" s="277">
        <v>69.587241770521544</v>
      </c>
      <c r="D272" s="277">
        <v>128.52573371940508</v>
      </c>
      <c r="E272" s="178">
        <f t="shared" si="8"/>
        <v>69.587241770521544</v>
      </c>
      <c r="F272" s="205" t="str">
        <f t="shared" si="9"/>
        <v/>
      </c>
    </row>
    <row r="273" spans="1:6">
      <c r="A273">
        <v>270</v>
      </c>
      <c r="B273" s="46">
        <v>44314</v>
      </c>
      <c r="C273" s="277">
        <v>94.811122895477396</v>
      </c>
      <c r="D273" s="277">
        <v>128.52573371940508</v>
      </c>
      <c r="E273" s="178">
        <f t="shared" si="8"/>
        <v>94.811122895477396</v>
      </c>
      <c r="F273" s="205" t="str">
        <f t="shared" si="9"/>
        <v/>
      </c>
    </row>
    <row r="274" spans="1:6">
      <c r="A274">
        <v>271</v>
      </c>
      <c r="B274" s="46">
        <v>44315</v>
      </c>
      <c r="C274" s="277">
        <v>98.490954667479258</v>
      </c>
      <c r="D274" s="277">
        <v>128.52573371940508</v>
      </c>
      <c r="E274" s="178">
        <f t="shared" si="8"/>
        <v>98.490954667479258</v>
      </c>
      <c r="F274" s="205" t="str">
        <f t="shared" si="9"/>
        <v/>
      </c>
    </row>
    <row r="275" spans="1:6">
      <c r="A275">
        <v>272</v>
      </c>
      <c r="B275" s="46">
        <v>44316</v>
      </c>
      <c r="C275" s="277">
        <v>95.389488947479265</v>
      </c>
      <c r="D275" s="277">
        <v>128.52573371940508</v>
      </c>
      <c r="E275" s="178">
        <f t="shared" si="8"/>
        <v>95.389488947479265</v>
      </c>
      <c r="F275" s="205" t="str">
        <f t="shared" si="9"/>
        <v/>
      </c>
    </row>
    <row r="276" spans="1:6">
      <c r="A276">
        <v>273</v>
      </c>
      <c r="B276" s="46">
        <v>44317</v>
      </c>
      <c r="C276" s="277">
        <v>42.147848663479259</v>
      </c>
      <c r="D276" s="277">
        <v>101.55332277089387</v>
      </c>
      <c r="E276" s="178">
        <f t="shared" si="8"/>
        <v>42.147848663479259</v>
      </c>
      <c r="F276" s="205" t="str">
        <f t="shared" si="9"/>
        <v/>
      </c>
    </row>
    <row r="277" spans="1:6">
      <c r="A277">
        <v>274</v>
      </c>
      <c r="B277" s="46">
        <v>44318</v>
      </c>
      <c r="C277" s="277">
        <v>37.578915619477392</v>
      </c>
      <c r="D277" s="277">
        <v>101.55332277089387</v>
      </c>
      <c r="E277" s="178">
        <f t="shared" si="8"/>
        <v>37.578915619477392</v>
      </c>
      <c r="F277" s="205" t="str">
        <f t="shared" si="9"/>
        <v/>
      </c>
    </row>
    <row r="278" spans="1:6">
      <c r="A278">
        <v>275</v>
      </c>
      <c r="B278" s="46">
        <v>44319</v>
      </c>
      <c r="C278" s="277">
        <v>62.32738921948112</v>
      </c>
      <c r="D278" s="277">
        <v>101.55332277089387</v>
      </c>
      <c r="E278" s="178">
        <f t="shared" si="8"/>
        <v>62.32738921948112</v>
      </c>
      <c r="F278" s="205" t="str">
        <f t="shared" si="9"/>
        <v/>
      </c>
    </row>
    <row r="279" spans="1:6">
      <c r="A279">
        <v>276</v>
      </c>
      <c r="B279" s="46">
        <v>44320</v>
      </c>
      <c r="C279" s="277">
        <v>72.060014443477399</v>
      </c>
      <c r="D279" s="277">
        <v>101.55332277089387</v>
      </c>
      <c r="E279" s="178">
        <f t="shared" si="8"/>
        <v>72.060014443477399</v>
      </c>
      <c r="F279" s="205" t="str">
        <f t="shared" si="9"/>
        <v/>
      </c>
    </row>
    <row r="280" spans="1:6">
      <c r="A280">
        <v>277</v>
      </c>
      <c r="B280" s="46">
        <v>44321</v>
      </c>
      <c r="C280" s="277">
        <v>64.883841791812969</v>
      </c>
      <c r="D280" s="277">
        <v>101.55332277089387</v>
      </c>
      <c r="E280" s="178">
        <f t="shared" si="8"/>
        <v>64.883841791812969</v>
      </c>
      <c r="F280" s="205" t="str">
        <f t="shared" si="9"/>
        <v/>
      </c>
    </row>
    <row r="281" spans="1:6">
      <c r="A281">
        <v>278</v>
      </c>
      <c r="B281" s="46">
        <v>44322</v>
      </c>
      <c r="C281" s="277">
        <v>60.960911771811105</v>
      </c>
      <c r="D281" s="277">
        <v>101.55332277089387</v>
      </c>
      <c r="E281" s="178">
        <f t="shared" si="8"/>
        <v>60.960911771811105</v>
      </c>
      <c r="F281" s="205" t="str">
        <f t="shared" si="9"/>
        <v/>
      </c>
    </row>
    <row r="282" spans="1:6">
      <c r="A282">
        <v>279</v>
      </c>
      <c r="B282" s="46">
        <v>44323</v>
      </c>
      <c r="C282" s="277">
        <v>70.572683851807383</v>
      </c>
      <c r="D282" s="277">
        <v>101.55332277089387</v>
      </c>
      <c r="E282" s="178">
        <f t="shared" si="8"/>
        <v>70.572683851807383</v>
      </c>
      <c r="F282" s="205" t="str">
        <f t="shared" si="9"/>
        <v/>
      </c>
    </row>
    <row r="283" spans="1:6">
      <c r="A283">
        <v>280</v>
      </c>
      <c r="B283" s="46">
        <v>44324</v>
      </c>
      <c r="C283" s="277">
        <v>41.411578935811107</v>
      </c>
      <c r="D283" s="277">
        <v>101.55332277089387</v>
      </c>
      <c r="E283" s="178">
        <f t="shared" si="8"/>
        <v>41.411578935811107</v>
      </c>
      <c r="F283" s="205" t="str">
        <f t="shared" si="9"/>
        <v/>
      </c>
    </row>
    <row r="284" spans="1:6">
      <c r="A284">
        <v>281</v>
      </c>
      <c r="B284" s="46">
        <v>44325</v>
      </c>
      <c r="C284" s="277">
        <v>41.354636751809245</v>
      </c>
      <c r="D284" s="277">
        <v>101.55332277089387</v>
      </c>
      <c r="E284" s="178">
        <f t="shared" si="8"/>
        <v>41.354636751809245</v>
      </c>
      <c r="F284" s="205" t="str">
        <f t="shared" si="9"/>
        <v/>
      </c>
    </row>
    <row r="285" spans="1:6">
      <c r="A285">
        <v>282</v>
      </c>
      <c r="B285" s="46">
        <v>44326</v>
      </c>
      <c r="C285" s="277">
        <v>60.27062237980924</v>
      </c>
      <c r="D285" s="277">
        <v>101.55332277089387</v>
      </c>
      <c r="E285" s="178">
        <f t="shared" si="8"/>
        <v>60.27062237980924</v>
      </c>
      <c r="F285" s="205" t="str">
        <f t="shared" si="9"/>
        <v/>
      </c>
    </row>
    <row r="286" spans="1:6">
      <c r="A286">
        <v>283</v>
      </c>
      <c r="B286" s="46">
        <v>44327</v>
      </c>
      <c r="C286" s="277">
        <v>56.165441323812964</v>
      </c>
      <c r="D286" s="277">
        <v>101.55332277089387</v>
      </c>
      <c r="E286" s="178">
        <f t="shared" si="8"/>
        <v>56.165441323812964</v>
      </c>
      <c r="F286" s="205" t="str">
        <f t="shared" si="9"/>
        <v/>
      </c>
    </row>
    <row r="287" spans="1:6">
      <c r="A287">
        <v>284</v>
      </c>
      <c r="B287" s="46">
        <v>44328</v>
      </c>
      <c r="C287" s="277">
        <v>64.953505773205393</v>
      </c>
      <c r="D287" s="277">
        <v>101.55332277089387</v>
      </c>
      <c r="E287" s="178">
        <f t="shared" si="8"/>
        <v>64.953505773205393</v>
      </c>
      <c r="F287" s="205" t="str">
        <f t="shared" si="9"/>
        <v/>
      </c>
    </row>
    <row r="288" spans="1:6">
      <c r="A288">
        <v>285</v>
      </c>
      <c r="B288" s="46">
        <v>44329</v>
      </c>
      <c r="C288" s="277">
        <v>70.248995309207274</v>
      </c>
      <c r="D288" s="277">
        <v>101.55332277089387</v>
      </c>
      <c r="E288" s="178">
        <f t="shared" si="8"/>
        <v>70.248995309207274</v>
      </c>
      <c r="F288" s="205" t="str">
        <f t="shared" si="9"/>
        <v/>
      </c>
    </row>
    <row r="289" spans="1:7">
      <c r="A289">
        <v>286</v>
      </c>
      <c r="B289" s="46">
        <v>44330</v>
      </c>
      <c r="C289" s="277">
        <v>73.449084457207263</v>
      </c>
      <c r="D289" s="277">
        <v>101.55332277089387</v>
      </c>
      <c r="E289" s="178">
        <f t="shared" si="8"/>
        <v>73.449084457207263</v>
      </c>
      <c r="F289" s="205" t="str">
        <f t="shared" si="9"/>
        <v/>
      </c>
    </row>
    <row r="290" spans="1:7">
      <c r="A290">
        <v>287</v>
      </c>
      <c r="B290" s="46">
        <v>44331</v>
      </c>
      <c r="C290" s="277">
        <v>61.409645237210988</v>
      </c>
      <c r="D290" s="277">
        <v>101.55332277089387</v>
      </c>
      <c r="E290" s="178">
        <f t="shared" si="8"/>
        <v>61.409645237210988</v>
      </c>
      <c r="F290" s="205" t="str">
        <f t="shared" si="9"/>
        <v>M</v>
      </c>
      <c r="G290" s="206">
        <f>IF(DAY(B290)=15,D290,"")</f>
        <v>101.55332277089387</v>
      </c>
    </row>
    <row r="291" spans="1:7">
      <c r="A291">
        <v>288</v>
      </c>
      <c r="B291" s="46">
        <v>44332</v>
      </c>
      <c r="C291" s="277">
        <v>62.933085797205401</v>
      </c>
      <c r="D291" s="277">
        <v>101.55332277089387</v>
      </c>
      <c r="E291" s="178">
        <f t="shared" si="8"/>
        <v>62.933085797205401</v>
      </c>
      <c r="F291" s="205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/>
      </c>
      <c r="G291" s="206" t="str">
        <f>IF(DAY(B291)=15,D291,"")</f>
        <v/>
      </c>
    </row>
    <row r="292" spans="1:7">
      <c r="A292">
        <v>289</v>
      </c>
      <c r="B292" s="46">
        <v>44333</v>
      </c>
      <c r="C292" s="277">
        <v>84.705796105210993</v>
      </c>
      <c r="D292" s="277">
        <v>101.55332277089387</v>
      </c>
      <c r="E292" s="178">
        <f t="shared" si="8"/>
        <v>84.705796105210993</v>
      </c>
      <c r="F292" s="205" t="str">
        <f t="shared" si="9"/>
        <v/>
      </c>
      <c r="G292" s="206" t="str">
        <f>IF(DAY(B292)=15,D292,"")</f>
        <v/>
      </c>
    </row>
    <row r="293" spans="1:7">
      <c r="A293">
        <v>290</v>
      </c>
      <c r="B293" s="46">
        <v>44334</v>
      </c>
      <c r="C293" s="277">
        <v>82.96181858520913</v>
      </c>
      <c r="D293" s="277">
        <v>101.55332277089387</v>
      </c>
      <c r="E293" s="178">
        <f t="shared" si="8"/>
        <v>82.96181858520913</v>
      </c>
      <c r="F293" s="205" t="str">
        <f t="shared" si="9"/>
        <v/>
      </c>
      <c r="G293" s="206" t="str">
        <f>IF(DAY(B293)=15,D293,"")</f>
        <v/>
      </c>
    </row>
    <row r="294" spans="1:7">
      <c r="A294">
        <v>291</v>
      </c>
      <c r="B294" s="46">
        <v>44335</v>
      </c>
      <c r="C294" s="277">
        <v>88.422067961818541</v>
      </c>
      <c r="D294" s="277">
        <v>101.55332277089387</v>
      </c>
      <c r="E294" s="178">
        <f t="shared" si="8"/>
        <v>88.422067961818541</v>
      </c>
      <c r="F294" s="205" t="str">
        <f t="shared" si="9"/>
        <v/>
      </c>
    </row>
    <row r="295" spans="1:7">
      <c r="A295">
        <v>292</v>
      </c>
      <c r="B295" s="46">
        <v>44336</v>
      </c>
      <c r="C295" s="277">
        <v>87.487187521816665</v>
      </c>
      <c r="D295" s="277">
        <v>101.55332277089387</v>
      </c>
      <c r="E295" s="178">
        <f t="shared" si="8"/>
        <v>87.487187521816665</v>
      </c>
      <c r="F295" s="205" t="str">
        <f t="shared" si="9"/>
        <v/>
      </c>
    </row>
    <row r="296" spans="1:7">
      <c r="A296">
        <v>293</v>
      </c>
      <c r="B296" s="46">
        <v>44337</v>
      </c>
      <c r="C296" s="277">
        <v>81.833325337818536</v>
      </c>
      <c r="D296" s="277">
        <v>101.55332277089387</v>
      </c>
      <c r="E296" s="178">
        <f t="shared" si="8"/>
        <v>81.833325337818536</v>
      </c>
      <c r="F296" s="205" t="str">
        <f t="shared" si="9"/>
        <v/>
      </c>
    </row>
    <row r="297" spans="1:7">
      <c r="A297">
        <v>294</v>
      </c>
      <c r="B297" s="46">
        <v>44338</v>
      </c>
      <c r="C297" s="277">
        <v>85.378086121820388</v>
      </c>
      <c r="D297" s="277">
        <v>101.55332277089387</v>
      </c>
      <c r="E297" s="178">
        <f t="shared" si="8"/>
        <v>85.378086121820388</v>
      </c>
      <c r="F297" s="205" t="str">
        <f t="shared" si="9"/>
        <v/>
      </c>
    </row>
    <row r="298" spans="1:7">
      <c r="A298">
        <v>295</v>
      </c>
      <c r="B298" s="46">
        <v>44339</v>
      </c>
      <c r="C298" s="277">
        <v>63.705421921816672</v>
      </c>
      <c r="D298" s="277">
        <v>101.55332277089387</v>
      </c>
      <c r="E298" s="178">
        <f t="shared" si="8"/>
        <v>63.705421921816672</v>
      </c>
      <c r="F298" s="205" t="str">
        <f t="shared" si="9"/>
        <v/>
      </c>
    </row>
    <row r="299" spans="1:7">
      <c r="A299">
        <v>296</v>
      </c>
      <c r="B299" s="46">
        <v>44340</v>
      </c>
      <c r="C299" s="277">
        <v>71.866288133820404</v>
      </c>
      <c r="D299" s="277">
        <v>101.55332277089387</v>
      </c>
      <c r="E299" s="178">
        <f t="shared" si="8"/>
        <v>71.866288133820404</v>
      </c>
      <c r="F299" s="205" t="str">
        <f t="shared" si="9"/>
        <v/>
      </c>
    </row>
    <row r="300" spans="1:7">
      <c r="A300">
        <v>297</v>
      </c>
      <c r="B300" s="46">
        <v>44341</v>
      </c>
      <c r="C300" s="277">
        <v>76.699483453822268</v>
      </c>
      <c r="D300" s="277">
        <v>101.55332277089387</v>
      </c>
      <c r="E300" s="178">
        <f t="shared" si="8"/>
        <v>76.699483453822268</v>
      </c>
      <c r="F300" s="205" t="str">
        <f t="shared" si="9"/>
        <v/>
      </c>
    </row>
    <row r="301" spans="1:7">
      <c r="A301">
        <v>298</v>
      </c>
      <c r="B301" s="46">
        <v>44342</v>
      </c>
      <c r="C301" s="277">
        <v>44.951141361653775</v>
      </c>
      <c r="D301" s="277">
        <v>101.55332277089387</v>
      </c>
      <c r="E301" s="178">
        <f t="shared" si="8"/>
        <v>44.951141361653775</v>
      </c>
      <c r="F301" s="205" t="str">
        <f t="shared" si="9"/>
        <v/>
      </c>
    </row>
    <row r="302" spans="1:7">
      <c r="A302">
        <v>299</v>
      </c>
      <c r="B302" s="46">
        <v>44343</v>
      </c>
      <c r="C302" s="277">
        <v>84.566878257655645</v>
      </c>
      <c r="D302" s="277">
        <v>101.55332277089387</v>
      </c>
      <c r="E302" s="178">
        <f t="shared" si="8"/>
        <v>84.566878257655645</v>
      </c>
      <c r="F302" s="205" t="str">
        <f t="shared" si="9"/>
        <v/>
      </c>
    </row>
    <row r="303" spans="1:7">
      <c r="A303">
        <v>300</v>
      </c>
      <c r="B303" s="46">
        <v>44344</v>
      </c>
      <c r="C303" s="277">
        <v>51.342713629655641</v>
      </c>
      <c r="D303" s="277">
        <v>101.55332277089387</v>
      </c>
      <c r="E303" s="178">
        <f t="shared" si="8"/>
        <v>51.342713629655641</v>
      </c>
      <c r="F303" s="205" t="str">
        <f t="shared" si="9"/>
        <v/>
      </c>
    </row>
    <row r="304" spans="1:7">
      <c r="A304">
        <v>301</v>
      </c>
      <c r="B304" s="46">
        <v>44345</v>
      </c>
      <c r="C304" s="277">
        <v>47.232078169655637</v>
      </c>
      <c r="D304" s="277">
        <v>101.55332277089387</v>
      </c>
      <c r="E304" s="178">
        <f t="shared" si="8"/>
        <v>47.232078169655637</v>
      </c>
      <c r="F304" s="205" t="str">
        <f t="shared" si="9"/>
        <v/>
      </c>
    </row>
    <row r="305" spans="1:6">
      <c r="A305">
        <v>302</v>
      </c>
      <c r="B305" s="46">
        <v>44346</v>
      </c>
      <c r="C305" s="277">
        <v>30.955034121657505</v>
      </c>
      <c r="D305" s="277">
        <v>101.55332277089387</v>
      </c>
      <c r="E305" s="178">
        <f t="shared" si="8"/>
        <v>30.955034121657505</v>
      </c>
      <c r="F305" s="205" t="str">
        <f t="shared" si="9"/>
        <v/>
      </c>
    </row>
    <row r="306" spans="1:6">
      <c r="A306">
        <v>303</v>
      </c>
      <c r="B306" s="46">
        <v>44347</v>
      </c>
      <c r="C306" s="277">
        <v>46.388749833651922</v>
      </c>
      <c r="D306" s="277">
        <v>101.55332277089387</v>
      </c>
      <c r="E306" s="178">
        <f t="shared" si="8"/>
        <v>46.388749833651922</v>
      </c>
      <c r="F306" s="205" t="str">
        <f t="shared" si="9"/>
        <v/>
      </c>
    </row>
    <row r="307" spans="1:6">
      <c r="A307">
        <v>304</v>
      </c>
      <c r="B307" s="46">
        <v>44348</v>
      </c>
      <c r="C307" s="277">
        <v>49.73479088165751</v>
      </c>
      <c r="D307" s="277">
        <v>64.002517723929074</v>
      </c>
      <c r="E307" s="178">
        <f t="shared" si="8"/>
        <v>49.73479088165751</v>
      </c>
      <c r="F307" s="205" t="str">
        <f t="shared" si="9"/>
        <v/>
      </c>
    </row>
    <row r="308" spans="1:6">
      <c r="A308">
        <v>305</v>
      </c>
      <c r="B308" s="46">
        <v>44349</v>
      </c>
      <c r="C308" s="277">
        <v>59.617974735076743</v>
      </c>
      <c r="D308" s="277">
        <v>64.002517723929074</v>
      </c>
      <c r="E308" s="178">
        <f t="shared" si="8"/>
        <v>59.617974735076743</v>
      </c>
      <c r="F308" s="205" t="str">
        <f t="shared" si="9"/>
        <v/>
      </c>
    </row>
    <row r="309" spans="1:6">
      <c r="A309">
        <v>306</v>
      </c>
      <c r="B309" s="46">
        <v>44350</v>
      </c>
      <c r="C309" s="277">
        <v>43.37929787908233</v>
      </c>
      <c r="D309" s="277">
        <v>64.002517723929074</v>
      </c>
      <c r="E309" s="178">
        <f t="shared" si="8"/>
        <v>43.37929787908233</v>
      </c>
      <c r="F309" s="205" t="str">
        <f t="shared" si="9"/>
        <v/>
      </c>
    </row>
    <row r="310" spans="1:6">
      <c r="A310">
        <v>307</v>
      </c>
      <c r="B310" s="46">
        <v>44351</v>
      </c>
      <c r="C310" s="277">
        <v>51.371324187080461</v>
      </c>
      <c r="D310" s="277">
        <v>64.002517723929074</v>
      </c>
      <c r="E310" s="178">
        <f t="shared" si="8"/>
        <v>51.371324187080461</v>
      </c>
      <c r="F310" s="205" t="str">
        <f t="shared" si="9"/>
        <v/>
      </c>
    </row>
    <row r="311" spans="1:6">
      <c r="A311">
        <v>308</v>
      </c>
      <c r="B311" s="46">
        <v>44352</v>
      </c>
      <c r="C311" s="277">
        <v>46.97342677108233</v>
      </c>
      <c r="D311" s="277">
        <v>64.002517723929074</v>
      </c>
      <c r="E311" s="178">
        <f t="shared" si="8"/>
        <v>46.97342677108233</v>
      </c>
      <c r="F311" s="205" t="str">
        <f t="shared" si="9"/>
        <v/>
      </c>
    </row>
    <row r="312" spans="1:6">
      <c r="A312">
        <v>309</v>
      </c>
      <c r="B312" s="46">
        <v>44353</v>
      </c>
      <c r="C312" s="277">
        <v>38.841300715080472</v>
      </c>
      <c r="D312" s="277">
        <v>64.002517723929074</v>
      </c>
      <c r="E312" s="178">
        <f t="shared" si="8"/>
        <v>38.841300715080472</v>
      </c>
      <c r="F312" s="205" t="str">
        <f t="shared" si="9"/>
        <v/>
      </c>
    </row>
    <row r="313" spans="1:6">
      <c r="A313">
        <v>310</v>
      </c>
      <c r="B313" s="46">
        <v>44354</v>
      </c>
      <c r="C313" s="277">
        <v>42.244757895078607</v>
      </c>
      <c r="D313" s="277">
        <v>64.002517723929074</v>
      </c>
      <c r="E313" s="178">
        <f t="shared" si="8"/>
        <v>42.244757895078607</v>
      </c>
      <c r="F313" s="205" t="str">
        <f t="shared" si="9"/>
        <v/>
      </c>
    </row>
    <row r="314" spans="1:6">
      <c r="A314">
        <v>311</v>
      </c>
      <c r="B314" s="46">
        <v>44355</v>
      </c>
      <c r="C314" s="277">
        <v>48.828998183082334</v>
      </c>
      <c r="D314" s="277">
        <v>64.002517723929074</v>
      </c>
      <c r="E314" s="178">
        <f t="shared" si="8"/>
        <v>48.828998183082334</v>
      </c>
      <c r="F314" s="205" t="str">
        <f t="shared" si="9"/>
        <v/>
      </c>
    </row>
    <row r="315" spans="1:6">
      <c r="A315">
        <v>312</v>
      </c>
      <c r="B315" s="46">
        <v>44356</v>
      </c>
      <c r="C315" s="277">
        <v>39.648429428078103</v>
      </c>
      <c r="D315" s="277">
        <v>64.002517723929074</v>
      </c>
      <c r="E315" s="178">
        <f t="shared" si="8"/>
        <v>39.648429428078103</v>
      </c>
      <c r="F315" s="205" t="str">
        <f t="shared" si="9"/>
        <v/>
      </c>
    </row>
    <row r="316" spans="1:6">
      <c r="A316">
        <v>313</v>
      </c>
      <c r="B316" s="46">
        <v>44357</v>
      </c>
      <c r="C316" s="277">
        <v>56.527545168078113</v>
      </c>
      <c r="D316" s="277">
        <v>64.002517723929074</v>
      </c>
      <c r="E316" s="178">
        <f t="shared" si="8"/>
        <v>56.527545168078113</v>
      </c>
      <c r="F316" s="205" t="str">
        <f t="shared" si="9"/>
        <v/>
      </c>
    </row>
    <row r="317" spans="1:6">
      <c r="A317">
        <v>314</v>
      </c>
      <c r="B317" s="46">
        <v>44358</v>
      </c>
      <c r="C317" s="277">
        <v>35.841213328079974</v>
      </c>
      <c r="D317" s="277">
        <v>64.002517723929074</v>
      </c>
      <c r="E317" s="178">
        <f t="shared" si="8"/>
        <v>35.841213328079974</v>
      </c>
      <c r="F317" s="205" t="str">
        <f t="shared" si="9"/>
        <v/>
      </c>
    </row>
    <row r="318" spans="1:6">
      <c r="A318">
        <v>315</v>
      </c>
      <c r="B318" s="46">
        <v>44359</v>
      </c>
      <c r="C318" s="277">
        <v>39.171942216074385</v>
      </c>
      <c r="D318" s="277">
        <v>64.002517723929074</v>
      </c>
      <c r="E318" s="178">
        <f t="shared" si="8"/>
        <v>39.171942216074385</v>
      </c>
      <c r="F318" s="205" t="str">
        <f t="shared" si="9"/>
        <v/>
      </c>
    </row>
    <row r="319" spans="1:6">
      <c r="A319">
        <v>316</v>
      </c>
      <c r="B319" s="46">
        <v>44360</v>
      </c>
      <c r="C319" s="277">
        <v>34.74696514007811</v>
      </c>
      <c r="D319" s="277">
        <v>64.002517723929074</v>
      </c>
      <c r="E319" s="178">
        <f t="shared" si="8"/>
        <v>34.74696514007811</v>
      </c>
      <c r="F319" s="205" t="str">
        <f t="shared" si="9"/>
        <v/>
      </c>
    </row>
    <row r="320" spans="1:6">
      <c r="A320">
        <v>317</v>
      </c>
      <c r="B320" s="46">
        <v>44361</v>
      </c>
      <c r="C320" s="277">
        <v>71.686713952078108</v>
      </c>
      <c r="D320" s="277">
        <v>64.002517723929074</v>
      </c>
      <c r="E320" s="178">
        <f t="shared" si="8"/>
        <v>64.002517723929074</v>
      </c>
      <c r="F320" s="205" t="str">
        <f t="shared" si="9"/>
        <v/>
      </c>
    </row>
    <row r="321" spans="1:7">
      <c r="A321">
        <v>318</v>
      </c>
      <c r="B321" s="46">
        <v>44362</v>
      </c>
      <c r="C321" s="277">
        <v>67.60618080007626</v>
      </c>
      <c r="D321" s="277">
        <v>64.002517723929074</v>
      </c>
      <c r="E321" s="178">
        <f t="shared" si="8"/>
        <v>64.002517723929074</v>
      </c>
      <c r="F321" s="205" t="str">
        <f t="shared" si="9"/>
        <v>J</v>
      </c>
      <c r="G321" s="206">
        <f>IF(DAY(B321)=15,D321,"")</f>
        <v>64.002517723929074</v>
      </c>
    </row>
    <row r="322" spans="1:7">
      <c r="A322">
        <v>319</v>
      </c>
      <c r="B322" s="46">
        <v>44363</v>
      </c>
      <c r="C322" s="277">
        <v>62.689481339110458</v>
      </c>
      <c r="D322" s="277">
        <v>64.002517723929074</v>
      </c>
      <c r="E322" s="178">
        <f t="shared" si="8"/>
        <v>62.689481339110458</v>
      </c>
      <c r="F322" s="205" t="str">
        <f t="shared" si="9"/>
        <v/>
      </c>
    </row>
    <row r="323" spans="1:7">
      <c r="A323">
        <v>320</v>
      </c>
      <c r="B323" s="46">
        <v>44364</v>
      </c>
      <c r="C323" s="277">
        <v>64.265702743110467</v>
      </c>
      <c r="D323" s="277">
        <v>64.002517723929074</v>
      </c>
      <c r="E323" s="178">
        <f t="shared" si="8"/>
        <v>64.002517723929074</v>
      </c>
      <c r="F323" s="205" t="str">
        <f t="shared" si="9"/>
        <v/>
      </c>
      <c r="G323" s="206" t="str">
        <f>IF(DAY(B323)=15,D323,"")</f>
        <v/>
      </c>
    </row>
    <row r="324" spans="1:7">
      <c r="A324">
        <v>321</v>
      </c>
      <c r="B324" s="46">
        <v>44365</v>
      </c>
      <c r="C324" s="277">
        <v>51.675803331110465</v>
      </c>
      <c r="D324" s="277">
        <v>64.002517723929074</v>
      </c>
      <c r="E324" s="178">
        <f t="shared" ref="E324:E387" si="10">IF(C324&lt;D324,C324,D324)</f>
        <v>51.675803331110465</v>
      </c>
      <c r="F324" s="205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44366</v>
      </c>
      <c r="C325" s="277">
        <v>42.534247635112315</v>
      </c>
      <c r="D325" s="277">
        <v>64.002517723929074</v>
      </c>
      <c r="E325" s="178">
        <f t="shared" si="10"/>
        <v>42.534247635112315</v>
      </c>
      <c r="F325" s="205" t="str">
        <f t="shared" si="11"/>
        <v/>
      </c>
    </row>
    <row r="326" spans="1:7">
      <c r="A326">
        <v>323</v>
      </c>
      <c r="B326" s="46">
        <v>44367</v>
      </c>
      <c r="C326" s="277">
        <v>30.050284127108601</v>
      </c>
      <c r="D326" s="277">
        <v>64.002517723929074</v>
      </c>
      <c r="E326" s="178">
        <f t="shared" si="10"/>
        <v>30.050284127108601</v>
      </c>
      <c r="F326" s="205" t="str">
        <f t="shared" si="11"/>
        <v/>
      </c>
    </row>
    <row r="327" spans="1:7">
      <c r="A327">
        <v>324</v>
      </c>
      <c r="B327" s="46">
        <v>44368</v>
      </c>
      <c r="C327" s="277">
        <v>41.428065483112327</v>
      </c>
      <c r="D327" s="277">
        <v>64.002517723929074</v>
      </c>
      <c r="E327" s="178">
        <f t="shared" si="10"/>
        <v>41.428065483112327</v>
      </c>
      <c r="F327" s="205" t="str">
        <f t="shared" si="11"/>
        <v/>
      </c>
    </row>
    <row r="328" spans="1:7">
      <c r="A328">
        <v>325</v>
      </c>
      <c r="B328" s="46">
        <v>44369</v>
      </c>
      <c r="C328" s="277">
        <v>51.540481843110463</v>
      </c>
      <c r="D328" s="277">
        <v>64.002517723929074</v>
      </c>
      <c r="E328" s="178">
        <f t="shared" si="10"/>
        <v>51.540481843110463</v>
      </c>
      <c r="F328" s="205" t="str">
        <f t="shared" si="11"/>
        <v/>
      </c>
    </row>
    <row r="329" spans="1:7">
      <c r="A329">
        <v>326</v>
      </c>
      <c r="B329" s="46">
        <v>44370</v>
      </c>
      <c r="C329" s="277">
        <v>56.056425707417425</v>
      </c>
      <c r="D329" s="277">
        <v>64.002517723929074</v>
      </c>
      <c r="E329" s="178">
        <f t="shared" si="10"/>
        <v>56.056425707417425</v>
      </c>
      <c r="F329" s="205" t="str">
        <f t="shared" si="11"/>
        <v/>
      </c>
    </row>
    <row r="330" spans="1:7">
      <c r="A330">
        <v>327</v>
      </c>
      <c r="B330" s="46">
        <v>44371</v>
      </c>
      <c r="C330" s="277">
        <v>62.016783663419297</v>
      </c>
      <c r="D330" s="277">
        <v>64.002517723929074</v>
      </c>
      <c r="E330" s="178">
        <f t="shared" si="10"/>
        <v>62.016783663419297</v>
      </c>
      <c r="F330" s="205" t="str">
        <f t="shared" si="11"/>
        <v/>
      </c>
    </row>
    <row r="331" spans="1:7">
      <c r="A331">
        <v>328</v>
      </c>
      <c r="B331" s="46">
        <v>44372</v>
      </c>
      <c r="C331" s="277">
        <v>59.49135100341929</v>
      </c>
      <c r="D331" s="277">
        <v>64.002517723929074</v>
      </c>
      <c r="E331" s="178">
        <f t="shared" si="10"/>
        <v>59.49135100341929</v>
      </c>
      <c r="F331" s="205" t="str">
        <f t="shared" si="11"/>
        <v/>
      </c>
    </row>
    <row r="332" spans="1:7">
      <c r="A332">
        <v>329</v>
      </c>
      <c r="B332" s="46">
        <v>44373</v>
      </c>
      <c r="C332" s="277">
        <v>43.936819075419287</v>
      </c>
      <c r="D332" s="277">
        <v>64.002517723929074</v>
      </c>
      <c r="E332" s="178">
        <f t="shared" si="10"/>
        <v>43.936819075419287</v>
      </c>
      <c r="F332" s="205" t="str">
        <f t="shared" si="11"/>
        <v/>
      </c>
    </row>
    <row r="333" spans="1:7">
      <c r="A333">
        <v>330</v>
      </c>
      <c r="B333" s="46">
        <v>44374</v>
      </c>
      <c r="C333" s="277">
        <v>35.327830939419286</v>
      </c>
      <c r="D333" s="277">
        <v>64.002517723929074</v>
      </c>
      <c r="E333" s="178">
        <f t="shared" si="10"/>
        <v>35.327830939419286</v>
      </c>
      <c r="F333" s="205" t="str">
        <f t="shared" si="11"/>
        <v/>
      </c>
    </row>
    <row r="334" spans="1:7">
      <c r="A334">
        <v>331</v>
      </c>
      <c r="B334" s="46">
        <v>44375</v>
      </c>
      <c r="C334" s="277">
        <v>57.667929875419283</v>
      </c>
      <c r="D334" s="277">
        <v>64.002517723929074</v>
      </c>
      <c r="E334" s="178">
        <f t="shared" si="10"/>
        <v>57.667929875419283</v>
      </c>
      <c r="F334" s="205" t="str">
        <f t="shared" si="11"/>
        <v/>
      </c>
    </row>
    <row r="335" spans="1:7">
      <c r="A335">
        <v>332</v>
      </c>
      <c r="B335" s="46">
        <v>44376</v>
      </c>
      <c r="C335" s="277">
        <v>56.549637343419292</v>
      </c>
      <c r="D335" s="277">
        <v>64.002517723929074</v>
      </c>
      <c r="E335" s="178">
        <f t="shared" si="10"/>
        <v>56.549637343419292</v>
      </c>
      <c r="F335" s="205" t="str">
        <f t="shared" si="11"/>
        <v/>
      </c>
    </row>
    <row r="336" spans="1:7">
      <c r="A336">
        <v>333</v>
      </c>
      <c r="B336" s="46">
        <v>44377</v>
      </c>
      <c r="C336" s="277">
        <v>38.569192130302397</v>
      </c>
      <c r="D336" s="277">
        <v>64.002517723929074</v>
      </c>
      <c r="E336" s="178">
        <f t="shared" si="10"/>
        <v>38.569192130302397</v>
      </c>
      <c r="F336" s="205" t="str">
        <f t="shared" si="11"/>
        <v/>
      </c>
    </row>
    <row r="337" spans="1:7">
      <c r="A337">
        <v>334</v>
      </c>
      <c r="B337" s="46">
        <v>44378</v>
      </c>
      <c r="C337" s="277">
        <v>44.534868314304255</v>
      </c>
      <c r="D337" s="277">
        <v>28.264017142829317</v>
      </c>
      <c r="E337" s="178">
        <f t="shared" si="10"/>
        <v>28.264017142829317</v>
      </c>
      <c r="F337" s="205" t="str">
        <f t="shared" si="11"/>
        <v/>
      </c>
    </row>
    <row r="338" spans="1:7">
      <c r="A338">
        <v>335</v>
      </c>
      <c r="B338" s="46">
        <v>44379</v>
      </c>
      <c r="C338" s="277">
        <v>42.339254178304252</v>
      </c>
      <c r="D338" s="277">
        <v>28.264017142829317</v>
      </c>
      <c r="E338" s="178">
        <f t="shared" si="10"/>
        <v>28.264017142829317</v>
      </c>
      <c r="F338" s="205" t="str">
        <f t="shared" si="11"/>
        <v/>
      </c>
    </row>
    <row r="339" spans="1:7">
      <c r="A339">
        <v>336</v>
      </c>
      <c r="B339" s="46">
        <v>44380</v>
      </c>
      <c r="C339" s="277">
        <v>38.478154278302391</v>
      </c>
      <c r="D339" s="277">
        <v>28.264017142829317</v>
      </c>
      <c r="E339" s="178">
        <f t="shared" si="10"/>
        <v>28.264017142829317</v>
      </c>
      <c r="F339" s="205" t="str">
        <f t="shared" si="11"/>
        <v/>
      </c>
    </row>
    <row r="340" spans="1:7">
      <c r="A340">
        <v>337</v>
      </c>
      <c r="B340" s="46">
        <v>44381</v>
      </c>
      <c r="C340" s="277">
        <v>4.5154322943023946</v>
      </c>
      <c r="D340" s="277">
        <v>28.264017142829317</v>
      </c>
      <c r="E340" s="178">
        <f t="shared" si="10"/>
        <v>4.5154322943023946</v>
      </c>
      <c r="F340" s="205" t="str">
        <f t="shared" si="11"/>
        <v/>
      </c>
    </row>
    <row r="341" spans="1:7">
      <c r="A341">
        <v>338</v>
      </c>
      <c r="B341" s="46">
        <v>44382</v>
      </c>
      <c r="C341" s="277">
        <v>37.397826742304254</v>
      </c>
      <c r="D341" s="277">
        <v>28.264017142829317</v>
      </c>
      <c r="E341" s="178">
        <f t="shared" si="10"/>
        <v>28.264017142829317</v>
      </c>
      <c r="F341" s="205" t="str">
        <f t="shared" si="11"/>
        <v/>
      </c>
    </row>
    <row r="342" spans="1:7">
      <c r="A342">
        <v>339</v>
      </c>
      <c r="B342" s="46">
        <v>44383</v>
      </c>
      <c r="C342" s="277">
        <v>40.407536394304259</v>
      </c>
      <c r="D342" s="277">
        <v>28.264017142829317</v>
      </c>
      <c r="E342" s="178">
        <f t="shared" si="10"/>
        <v>28.264017142829317</v>
      </c>
      <c r="F342" s="205" t="str">
        <f t="shared" si="11"/>
        <v/>
      </c>
    </row>
    <row r="343" spans="1:7">
      <c r="A343">
        <v>340</v>
      </c>
      <c r="B343" s="46">
        <v>44384</v>
      </c>
      <c r="C343" s="277">
        <v>37.398910876303212</v>
      </c>
      <c r="D343" s="277">
        <v>28.264017142829317</v>
      </c>
      <c r="E343" s="178">
        <f t="shared" si="10"/>
        <v>28.264017142829317</v>
      </c>
      <c r="F343" s="205" t="str">
        <f t="shared" si="11"/>
        <v/>
      </c>
    </row>
    <row r="344" spans="1:7">
      <c r="A344">
        <v>341</v>
      </c>
      <c r="B344" s="46">
        <v>44385</v>
      </c>
      <c r="C344" s="277">
        <v>25.159698888306941</v>
      </c>
      <c r="D344" s="277">
        <v>28.264017142829317</v>
      </c>
      <c r="E344" s="178">
        <f t="shared" si="10"/>
        <v>25.159698888306941</v>
      </c>
      <c r="F344" s="205" t="str">
        <f t="shared" si="11"/>
        <v/>
      </c>
    </row>
    <row r="345" spans="1:7">
      <c r="A345">
        <v>342</v>
      </c>
      <c r="B345" s="46">
        <v>44386</v>
      </c>
      <c r="C345" s="277">
        <v>24.742204244305075</v>
      </c>
      <c r="D345" s="277">
        <v>28.264017142829317</v>
      </c>
      <c r="E345" s="178">
        <f t="shared" si="10"/>
        <v>24.742204244305075</v>
      </c>
      <c r="F345" s="205" t="str">
        <f t="shared" si="11"/>
        <v/>
      </c>
    </row>
    <row r="346" spans="1:7">
      <c r="A346">
        <v>343</v>
      </c>
      <c r="B346" s="46">
        <v>44387</v>
      </c>
      <c r="C346" s="277">
        <v>24.797153528305078</v>
      </c>
      <c r="D346" s="277">
        <v>28.264017142829317</v>
      </c>
      <c r="E346" s="178">
        <f t="shared" si="10"/>
        <v>24.797153528305078</v>
      </c>
      <c r="F346" s="205" t="str">
        <f t="shared" si="11"/>
        <v/>
      </c>
    </row>
    <row r="347" spans="1:7">
      <c r="A347">
        <v>344</v>
      </c>
      <c r="B347" s="46">
        <v>44388</v>
      </c>
      <c r="C347" s="277">
        <v>24.48336876030508</v>
      </c>
      <c r="D347" s="277">
        <v>28.264017142829317</v>
      </c>
      <c r="E347" s="178">
        <f t="shared" si="10"/>
        <v>24.48336876030508</v>
      </c>
      <c r="F347" s="205" t="str">
        <f t="shared" si="11"/>
        <v/>
      </c>
    </row>
    <row r="348" spans="1:7">
      <c r="A348">
        <v>345</v>
      </c>
      <c r="B348" s="46">
        <v>44389</v>
      </c>
      <c r="C348" s="277">
        <v>14.488888316305077</v>
      </c>
      <c r="D348" s="277">
        <v>28.264017142829317</v>
      </c>
      <c r="E348" s="178">
        <f t="shared" si="10"/>
        <v>14.488888316305077</v>
      </c>
      <c r="F348" s="205" t="str">
        <f t="shared" si="11"/>
        <v/>
      </c>
    </row>
    <row r="349" spans="1:7">
      <c r="A349">
        <v>346</v>
      </c>
      <c r="B349" s="46">
        <v>44390</v>
      </c>
      <c r="C349" s="277">
        <v>17.369116352305078</v>
      </c>
      <c r="D349" s="277">
        <v>28.264017142829317</v>
      </c>
      <c r="E349" s="178">
        <f t="shared" si="10"/>
        <v>17.369116352305078</v>
      </c>
      <c r="F349" s="205" t="str">
        <f t="shared" si="11"/>
        <v/>
      </c>
    </row>
    <row r="350" spans="1:7">
      <c r="A350">
        <v>347</v>
      </c>
      <c r="B350" s="46">
        <v>44391</v>
      </c>
      <c r="C350" s="277">
        <v>3.2072423586414223</v>
      </c>
      <c r="D350" s="277">
        <v>28.264017142829317</v>
      </c>
      <c r="E350" s="178">
        <f t="shared" si="10"/>
        <v>3.2072423586414223</v>
      </c>
      <c r="F350" s="205" t="str">
        <f t="shared" si="11"/>
        <v/>
      </c>
    </row>
    <row r="351" spans="1:7">
      <c r="A351">
        <v>348</v>
      </c>
      <c r="B351" s="46">
        <v>44392</v>
      </c>
      <c r="C351" s="277">
        <v>3.4758885986414243</v>
      </c>
      <c r="D351" s="277">
        <v>28.264017142829317</v>
      </c>
      <c r="E351" s="178">
        <f t="shared" si="10"/>
        <v>3.4758885986414243</v>
      </c>
      <c r="F351" s="205" t="str">
        <f t="shared" si="11"/>
        <v>J</v>
      </c>
      <c r="G351" s="206">
        <f>IF(DAY(B351)=15,D351,"")</f>
        <v>28.264017142829317</v>
      </c>
    </row>
    <row r="352" spans="1:7">
      <c r="A352">
        <v>349</v>
      </c>
      <c r="B352" s="46">
        <v>44393</v>
      </c>
      <c r="C352" s="277">
        <v>3.3561334426414251</v>
      </c>
      <c r="D352" s="277">
        <v>28.264017142829317</v>
      </c>
      <c r="E352" s="178">
        <f t="shared" si="10"/>
        <v>3.3561334426414251</v>
      </c>
      <c r="F352" s="205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/>
      </c>
      <c r="G352" s="206" t="str">
        <f>IF(DAY(B352)=15,D352,"")</f>
        <v/>
      </c>
    </row>
    <row r="353" spans="1:7">
      <c r="A353">
        <v>350</v>
      </c>
      <c r="B353" s="46">
        <v>44394</v>
      </c>
      <c r="C353" s="277">
        <v>4.1169874026414179</v>
      </c>
      <c r="D353" s="277">
        <v>28.264017142829317</v>
      </c>
      <c r="E353" s="178">
        <f t="shared" si="10"/>
        <v>4.1169874026414179</v>
      </c>
      <c r="F353" s="205" t="str">
        <f t="shared" si="11"/>
        <v/>
      </c>
    </row>
    <row r="354" spans="1:7">
      <c r="A354">
        <v>351</v>
      </c>
      <c r="B354" s="46">
        <v>44395</v>
      </c>
      <c r="C354" s="277">
        <v>4.8147068986432791</v>
      </c>
      <c r="D354" s="277">
        <v>28.264017142829317</v>
      </c>
      <c r="E354" s="178">
        <f t="shared" si="10"/>
        <v>4.8147068986432791</v>
      </c>
      <c r="F354" s="205" t="str">
        <f t="shared" si="11"/>
        <v/>
      </c>
      <c r="G354" s="206" t="str">
        <f>IF(DAY(B354)=15,D354,"")</f>
        <v/>
      </c>
    </row>
    <row r="355" spans="1:7">
      <c r="A355">
        <v>352</v>
      </c>
      <c r="B355" s="46">
        <v>44396</v>
      </c>
      <c r="C355" s="277">
        <v>3.6608772426414218</v>
      </c>
      <c r="D355" s="277">
        <v>28.264017142829317</v>
      </c>
      <c r="E355" s="178">
        <f t="shared" si="10"/>
        <v>3.6608772426414218</v>
      </c>
      <c r="F355" s="205" t="str">
        <f t="shared" si="11"/>
        <v/>
      </c>
    </row>
    <row r="356" spans="1:7">
      <c r="A356">
        <v>353</v>
      </c>
      <c r="B356" s="46">
        <v>44397</v>
      </c>
      <c r="C356" s="277">
        <v>0.66537219064328379</v>
      </c>
      <c r="D356" s="277">
        <v>28.264017142829317</v>
      </c>
      <c r="E356" s="178">
        <f t="shared" si="10"/>
        <v>0.66537219064328379</v>
      </c>
      <c r="F356" s="205" t="str">
        <f t="shared" si="11"/>
        <v/>
      </c>
    </row>
    <row r="357" spans="1:7">
      <c r="A357">
        <v>354</v>
      </c>
      <c r="B357" s="46">
        <v>44398</v>
      </c>
      <c r="C357" s="277">
        <v>19.232001297499554</v>
      </c>
      <c r="D357" s="277">
        <v>28.264017142829317</v>
      </c>
      <c r="E357" s="178">
        <f t="shared" si="10"/>
        <v>19.232001297499554</v>
      </c>
      <c r="F357" s="205" t="str">
        <f t="shared" si="11"/>
        <v/>
      </c>
    </row>
    <row r="358" spans="1:7">
      <c r="A358">
        <v>355</v>
      </c>
      <c r="B358" s="46">
        <v>44399</v>
      </c>
      <c r="C358" s="277">
        <v>16.465821301501418</v>
      </c>
      <c r="D358" s="277">
        <v>28.264017142829317</v>
      </c>
      <c r="E358" s="178">
        <f t="shared" si="10"/>
        <v>16.465821301501418</v>
      </c>
      <c r="F358" s="205" t="str">
        <f t="shared" si="11"/>
        <v/>
      </c>
    </row>
    <row r="359" spans="1:7">
      <c r="A359">
        <v>356</v>
      </c>
      <c r="B359" s="46">
        <v>44400</v>
      </c>
      <c r="C359" s="277">
        <v>13.174375153499554</v>
      </c>
      <c r="D359" s="277">
        <v>28.264017142829317</v>
      </c>
      <c r="E359" s="178">
        <f t="shared" si="10"/>
        <v>13.174375153499554</v>
      </c>
      <c r="F359" s="205" t="str">
        <f t="shared" si="11"/>
        <v/>
      </c>
    </row>
    <row r="360" spans="1:7">
      <c r="A360">
        <v>357</v>
      </c>
      <c r="B360" s="46">
        <v>44401</v>
      </c>
      <c r="C360" s="277">
        <v>11.514703877501415</v>
      </c>
      <c r="D360" s="277">
        <v>28.264017142829317</v>
      </c>
      <c r="E360" s="178">
        <f t="shared" si="10"/>
        <v>11.514703877501415</v>
      </c>
      <c r="F360" s="205" t="str">
        <f t="shared" si="11"/>
        <v/>
      </c>
    </row>
    <row r="361" spans="1:7">
      <c r="A361">
        <v>358</v>
      </c>
      <c r="B361" s="46">
        <v>44402</v>
      </c>
      <c r="C361" s="277">
        <v>7.0097984214995526</v>
      </c>
      <c r="D361" s="277">
        <v>28.264017142829317</v>
      </c>
      <c r="E361" s="178">
        <f t="shared" si="10"/>
        <v>7.0097984214995526</v>
      </c>
      <c r="F361" s="205" t="str">
        <f t="shared" si="11"/>
        <v/>
      </c>
    </row>
    <row r="362" spans="1:7">
      <c r="A362">
        <v>359</v>
      </c>
      <c r="B362" s="46">
        <v>44403</v>
      </c>
      <c r="C362" s="277">
        <v>10.036056933501415</v>
      </c>
      <c r="D362" s="277">
        <v>28.264017142829317</v>
      </c>
      <c r="E362" s="178">
        <f t="shared" si="10"/>
        <v>10.036056933501415</v>
      </c>
      <c r="F362" s="205" t="str">
        <f t="shared" si="11"/>
        <v/>
      </c>
    </row>
    <row r="363" spans="1:7">
      <c r="A363">
        <v>360</v>
      </c>
      <c r="B363" s="46">
        <v>44404</v>
      </c>
      <c r="C363" s="277">
        <v>9.0594030974995547</v>
      </c>
      <c r="D363" s="277">
        <v>28.264017142829317</v>
      </c>
      <c r="E363" s="178">
        <f t="shared" si="10"/>
        <v>9.0594030974995547</v>
      </c>
      <c r="F363" s="205" t="str">
        <f t="shared" si="11"/>
        <v/>
      </c>
    </row>
    <row r="364" spans="1:7">
      <c r="A364">
        <v>361</v>
      </c>
      <c r="B364" s="46">
        <v>44405</v>
      </c>
      <c r="C364" s="277">
        <v>6.2810819010995766</v>
      </c>
      <c r="D364" s="277">
        <v>28.264017142829317</v>
      </c>
      <c r="E364" s="178">
        <f t="shared" si="10"/>
        <v>6.2810819010995766</v>
      </c>
      <c r="F364" s="205" t="str">
        <f t="shared" si="11"/>
        <v/>
      </c>
    </row>
    <row r="365" spans="1:7">
      <c r="A365">
        <v>362</v>
      </c>
      <c r="B365" s="46">
        <v>44406</v>
      </c>
      <c r="C365" s="277">
        <v>18.516500529097712</v>
      </c>
      <c r="D365" s="277">
        <v>28.264017142829317</v>
      </c>
      <c r="E365" s="178">
        <f t="shared" si="10"/>
        <v>18.516500529097712</v>
      </c>
      <c r="F365" s="205" t="str">
        <f t="shared" si="11"/>
        <v/>
      </c>
    </row>
    <row r="366" spans="1:7">
      <c r="A366">
        <v>363</v>
      </c>
      <c r="B366" s="46">
        <v>44407</v>
      </c>
      <c r="C366" s="277">
        <v>18.053295577097714</v>
      </c>
      <c r="D366" s="277">
        <v>28.264017142829317</v>
      </c>
      <c r="E366" s="178">
        <f t="shared" si="10"/>
        <v>18.053295577097714</v>
      </c>
      <c r="F366" s="205" t="str">
        <f t="shared" si="11"/>
        <v/>
      </c>
    </row>
    <row r="367" spans="1:7">
      <c r="A367">
        <v>364</v>
      </c>
      <c r="B367" s="46">
        <v>44408</v>
      </c>
      <c r="C367" s="277">
        <v>3.7941773750977155</v>
      </c>
      <c r="D367" s="277">
        <v>28.264017142829317</v>
      </c>
      <c r="E367" s="178">
        <f t="shared" si="10"/>
        <v>3.7941773750977155</v>
      </c>
      <c r="F367" s="205" t="str">
        <f t="shared" si="11"/>
        <v/>
      </c>
    </row>
    <row r="368" spans="1:7">
      <c r="A368">
        <v>365</v>
      </c>
      <c r="B368" s="46">
        <v>44409</v>
      </c>
      <c r="C368" s="277">
        <v>4.4792705870995775</v>
      </c>
      <c r="D368" s="277">
        <v>17.06077530949155</v>
      </c>
      <c r="E368" s="178">
        <f t="shared" si="10"/>
        <v>4.4792705870995775</v>
      </c>
      <c r="F368" s="205" t="str">
        <f t="shared" si="11"/>
        <v/>
      </c>
    </row>
    <row r="369" spans="1:7">
      <c r="A369">
        <v>366</v>
      </c>
      <c r="B369" s="46">
        <v>44410</v>
      </c>
      <c r="C369" s="277">
        <v>24.123671195101444</v>
      </c>
      <c r="D369" s="277">
        <v>17.06077530949155</v>
      </c>
      <c r="E369" s="178">
        <f t="shared" si="10"/>
        <v>17.06077530949155</v>
      </c>
      <c r="F369" s="205" t="str">
        <f t="shared" si="11"/>
        <v/>
      </c>
    </row>
    <row r="370" spans="1:7">
      <c r="A370">
        <v>367</v>
      </c>
      <c r="B370" s="46">
        <v>44411</v>
      </c>
      <c r="C370" s="277">
        <v>22.841631373095851</v>
      </c>
      <c r="D370" s="277">
        <v>17.06077530949155</v>
      </c>
      <c r="E370" s="178">
        <f t="shared" si="10"/>
        <v>17.06077530949155</v>
      </c>
      <c r="F370" s="205" t="str">
        <f t="shared" si="11"/>
        <v/>
      </c>
    </row>
    <row r="371" spans="1:7">
      <c r="A371">
        <v>368</v>
      </c>
      <c r="B371" s="46">
        <v>44412</v>
      </c>
      <c r="C371" s="277">
        <v>20.830578048340772</v>
      </c>
      <c r="D371" s="277">
        <v>17.06077530949155</v>
      </c>
      <c r="E371" s="178">
        <f t="shared" si="10"/>
        <v>17.06077530949155</v>
      </c>
      <c r="F371" s="205" t="str">
        <f t="shared" si="11"/>
        <v/>
      </c>
    </row>
    <row r="372" spans="1:7">
      <c r="A372">
        <v>369</v>
      </c>
      <c r="B372" s="46">
        <v>44413</v>
      </c>
      <c r="C372" s="277">
        <v>20.409677116342632</v>
      </c>
      <c r="D372" s="277">
        <v>17.06077530949155</v>
      </c>
      <c r="E372" s="178">
        <f t="shared" si="10"/>
        <v>17.06077530949155</v>
      </c>
      <c r="F372" s="205" t="str">
        <f t="shared" si="11"/>
        <v/>
      </c>
    </row>
    <row r="373" spans="1:7">
      <c r="A373">
        <v>370</v>
      </c>
      <c r="B373" s="46">
        <v>44414</v>
      </c>
      <c r="C373" s="277">
        <v>5.42220691034077</v>
      </c>
      <c r="D373" s="277">
        <v>17.06077530949155</v>
      </c>
      <c r="E373" s="178">
        <f t="shared" si="10"/>
        <v>5.42220691034077</v>
      </c>
      <c r="F373" s="205" t="str">
        <f t="shared" si="11"/>
        <v/>
      </c>
    </row>
    <row r="374" spans="1:7">
      <c r="A374">
        <v>371</v>
      </c>
      <c r="B374" s="46">
        <v>44415</v>
      </c>
      <c r="C374" s="277">
        <v>3.9963943463426332</v>
      </c>
      <c r="D374" s="277">
        <v>17.06077530949155</v>
      </c>
      <c r="E374" s="178">
        <f t="shared" si="10"/>
        <v>3.9963943463426332</v>
      </c>
      <c r="F374" s="205" t="str">
        <f t="shared" si="11"/>
        <v/>
      </c>
    </row>
    <row r="375" spans="1:7">
      <c r="A375">
        <v>372</v>
      </c>
      <c r="B375" s="46">
        <v>44416</v>
      </c>
      <c r="C375" s="277">
        <v>2.8785522423407675</v>
      </c>
      <c r="D375" s="277">
        <v>17.06077530949155</v>
      </c>
      <c r="E375" s="178">
        <f t="shared" si="10"/>
        <v>2.8785522423407675</v>
      </c>
      <c r="F375" s="205" t="str">
        <f t="shared" si="11"/>
        <v/>
      </c>
    </row>
    <row r="376" spans="1:7">
      <c r="A376">
        <v>373</v>
      </c>
      <c r="B376" s="46">
        <v>44417</v>
      </c>
      <c r="C376" s="277">
        <v>16.042872728340765</v>
      </c>
      <c r="D376" s="277">
        <v>17.06077530949155</v>
      </c>
      <c r="E376" s="178">
        <f t="shared" si="10"/>
        <v>16.042872728340765</v>
      </c>
      <c r="F376" s="205" t="str">
        <f t="shared" si="11"/>
        <v/>
      </c>
    </row>
    <row r="377" spans="1:7">
      <c r="A377">
        <v>374</v>
      </c>
      <c r="B377" s="46">
        <v>44418</v>
      </c>
      <c r="C377" s="277">
        <v>12.266544616340775</v>
      </c>
      <c r="D377" s="277">
        <v>17.06077530949155</v>
      </c>
      <c r="E377" s="178">
        <f t="shared" si="10"/>
        <v>12.266544616340775</v>
      </c>
      <c r="F377" s="205" t="str">
        <f t="shared" si="11"/>
        <v/>
      </c>
    </row>
    <row r="378" spans="1:7">
      <c r="A378">
        <v>375</v>
      </c>
      <c r="B378" s="46">
        <v>44419</v>
      </c>
      <c r="C378" s="277">
        <v>12.804513353729009</v>
      </c>
      <c r="D378" s="277">
        <v>17.06077530949155</v>
      </c>
      <c r="E378" s="178">
        <f t="shared" si="10"/>
        <v>12.804513353729009</v>
      </c>
      <c r="F378" s="205" t="str">
        <f t="shared" si="11"/>
        <v/>
      </c>
    </row>
    <row r="379" spans="1:7">
      <c r="A379">
        <v>376</v>
      </c>
      <c r="B379" s="46">
        <v>44420</v>
      </c>
      <c r="C379" s="277">
        <v>11.789653197727151</v>
      </c>
      <c r="D379" s="277">
        <v>17.06077530949155</v>
      </c>
      <c r="E379" s="178">
        <f t="shared" si="10"/>
        <v>11.789653197727151</v>
      </c>
      <c r="F379" s="205" t="str">
        <f t="shared" si="11"/>
        <v/>
      </c>
    </row>
    <row r="380" spans="1:7">
      <c r="A380">
        <v>377</v>
      </c>
      <c r="B380" s="46">
        <v>44421</v>
      </c>
      <c r="C380" s="277">
        <v>10.618266341727153</v>
      </c>
      <c r="D380" s="277">
        <v>17.06077530949155</v>
      </c>
      <c r="E380" s="178">
        <f t="shared" si="10"/>
        <v>10.618266341727153</v>
      </c>
      <c r="F380" s="205" t="str">
        <f t="shared" si="11"/>
        <v/>
      </c>
    </row>
    <row r="381" spans="1:7">
      <c r="A381">
        <v>378</v>
      </c>
      <c r="B381" s="46">
        <v>44422</v>
      </c>
      <c r="C381" s="277">
        <v>8.2967024137271501</v>
      </c>
      <c r="D381" s="277">
        <v>17.06077530949155</v>
      </c>
      <c r="E381" s="178">
        <f t="shared" si="10"/>
        <v>8.2967024137271501</v>
      </c>
      <c r="F381" s="205" t="str">
        <f t="shared" si="11"/>
        <v/>
      </c>
    </row>
    <row r="382" spans="1:7">
      <c r="A382">
        <v>379</v>
      </c>
      <c r="B382" s="46">
        <v>44423</v>
      </c>
      <c r="C382" s="277">
        <v>2.8305311297280857</v>
      </c>
      <c r="D382" s="277">
        <v>17.06077530949155</v>
      </c>
      <c r="E382" s="178">
        <f t="shared" si="10"/>
        <v>2.8305311297280857</v>
      </c>
      <c r="F382" s="205" t="str">
        <f t="shared" si="11"/>
        <v>A</v>
      </c>
      <c r="G382" s="206">
        <f>IF(DAY(B382)=15,D382,"")</f>
        <v>17.06077530949155</v>
      </c>
    </row>
    <row r="383" spans="1:7">
      <c r="A383">
        <v>380</v>
      </c>
      <c r="B383" s="46">
        <v>44424</v>
      </c>
      <c r="C383" s="277">
        <v>2.5193534617262192</v>
      </c>
      <c r="D383" s="277">
        <v>17.06077530949155</v>
      </c>
      <c r="E383" s="178">
        <f t="shared" si="10"/>
        <v>2.5193534617262192</v>
      </c>
      <c r="F383" s="205" t="str">
        <f t="shared" si="11"/>
        <v/>
      </c>
      <c r="G383" s="206" t="str">
        <f>IF(DAY(B383)=15,D383,"")</f>
        <v/>
      </c>
    </row>
    <row r="384" spans="1:7">
      <c r="A384">
        <v>381</v>
      </c>
      <c r="B384" s="46">
        <v>44425</v>
      </c>
      <c r="C384" s="277">
        <v>1.6410471217280864</v>
      </c>
      <c r="D384" s="277">
        <v>17.06077530949155</v>
      </c>
      <c r="E384" s="178">
        <f t="shared" si="10"/>
        <v>1.6410471217280864</v>
      </c>
      <c r="F384" s="205" t="str">
        <f t="shared" si="11"/>
        <v/>
      </c>
    </row>
    <row r="385" spans="1:6">
      <c r="A385">
        <v>382</v>
      </c>
      <c r="B385" s="46">
        <v>44426</v>
      </c>
      <c r="C385" s="277">
        <v>1.1195935109318815</v>
      </c>
      <c r="D385" s="277">
        <v>17.06077530949155</v>
      </c>
      <c r="E385" s="178">
        <f t="shared" si="10"/>
        <v>1.1195935109318815</v>
      </c>
      <c r="F385" s="205" t="str">
        <f t="shared" si="11"/>
        <v/>
      </c>
    </row>
    <row r="386" spans="1:6">
      <c r="A386">
        <v>383</v>
      </c>
      <c r="B386" s="46">
        <v>44427</v>
      </c>
      <c r="C386" s="277">
        <v>12.308320820931884</v>
      </c>
      <c r="D386" s="277">
        <v>17.06077530949155</v>
      </c>
      <c r="E386" s="178">
        <f t="shared" si="10"/>
        <v>12.308320820931884</v>
      </c>
      <c r="F386" s="205" t="str">
        <f t="shared" si="11"/>
        <v/>
      </c>
    </row>
    <row r="387" spans="1:6">
      <c r="A387">
        <v>384</v>
      </c>
      <c r="B387" s="46">
        <v>44428</v>
      </c>
      <c r="C387" s="277">
        <v>10.066089832931882</v>
      </c>
      <c r="D387" s="277">
        <v>17.06077530949155</v>
      </c>
      <c r="E387" s="178">
        <f t="shared" si="10"/>
        <v>10.066089832931882</v>
      </c>
      <c r="F387" s="205" t="str">
        <f t="shared" si="11"/>
        <v/>
      </c>
    </row>
    <row r="388" spans="1:6">
      <c r="A388">
        <v>385</v>
      </c>
      <c r="B388" s="46">
        <v>44429</v>
      </c>
      <c r="C388" s="277">
        <v>3.8468667969328161</v>
      </c>
      <c r="D388" s="277">
        <v>17.06077530949155</v>
      </c>
      <c r="E388" s="178">
        <f t="shared" ref="E388:E396" si="12">IF(C388&lt;D388,C388,D388)</f>
        <v>3.8468667969328161</v>
      </c>
      <c r="F388" s="205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44430</v>
      </c>
      <c r="C389" s="277">
        <v>0.508441244930953</v>
      </c>
      <c r="D389" s="277">
        <v>17.06077530949155</v>
      </c>
      <c r="E389" s="178">
        <f t="shared" si="12"/>
        <v>0.508441244930953</v>
      </c>
      <c r="F389" s="205" t="str">
        <f t="shared" si="13"/>
        <v/>
      </c>
    </row>
    <row r="390" spans="1:6">
      <c r="A390">
        <v>387</v>
      </c>
      <c r="B390" s="46">
        <v>44431</v>
      </c>
      <c r="C390" s="277">
        <v>1.0553290569318852</v>
      </c>
      <c r="D390" s="277">
        <v>17.06077530949155</v>
      </c>
      <c r="E390" s="178">
        <f t="shared" si="12"/>
        <v>1.0553290569318852</v>
      </c>
      <c r="F390" s="205" t="str">
        <f t="shared" si="13"/>
        <v/>
      </c>
    </row>
    <row r="391" spans="1:6">
      <c r="A391">
        <v>388</v>
      </c>
      <c r="B391" s="46">
        <v>44432</v>
      </c>
      <c r="C391" s="277">
        <v>0.95153298293281119</v>
      </c>
      <c r="D391" s="277">
        <v>17.06077530949155</v>
      </c>
      <c r="E391" s="178">
        <f t="shared" si="12"/>
        <v>0.95153298293281119</v>
      </c>
      <c r="F391" s="205" t="str">
        <f t="shared" si="13"/>
        <v/>
      </c>
    </row>
    <row r="392" spans="1:6">
      <c r="A392">
        <v>389</v>
      </c>
      <c r="B392" s="46">
        <v>44433</v>
      </c>
      <c r="C392" s="277">
        <v>7.148299117668139</v>
      </c>
      <c r="D392" s="277">
        <v>17.06077530949155</v>
      </c>
      <c r="E392" s="178">
        <f t="shared" si="12"/>
        <v>7.148299117668139</v>
      </c>
      <c r="F392" s="205" t="str">
        <f t="shared" si="13"/>
        <v/>
      </c>
    </row>
    <row r="393" spans="1:6">
      <c r="A393">
        <v>390</v>
      </c>
      <c r="B393" s="46">
        <v>44434</v>
      </c>
      <c r="C393" s="277">
        <v>9.1900503616690692</v>
      </c>
      <c r="D393" s="277">
        <v>17.06077530949155</v>
      </c>
      <c r="E393" s="178">
        <f t="shared" si="12"/>
        <v>9.1900503616690692</v>
      </c>
      <c r="F393" s="205" t="str">
        <f t="shared" si="13"/>
        <v/>
      </c>
    </row>
    <row r="394" spans="1:6">
      <c r="A394">
        <v>391</v>
      </c>
      <c r="B394" s="46">
        <v>44435</v>
      </c>
      <c r="C394" s="277">
        <v>4.0983882336709359</v>
      </c>
      <c r="D394" s="277">
        <v>17.06077530949155</v>
      </c>
      <c r="E394" s="178">
        <f t="shared" si="12"/>
        <v>4.0983882336709359</v>
      </c>
      <c r="F394" s="205" t="str">
        <f t="shared" si="13"/>
        <v/>
      </c>
    </row>
    <row r="395" spans="1:6">
      <c r="A395">
        <v>392</v>
      </c>
      <c r="B395" s="46">
        <v>44436</v>
      </c>
      <c r="C395" s="277">
        <v>0.76033149366814179</v>
      </c>
      <c r="D395" s="277">
        <v>17.06077530949155</v>
      </c>
      <c r="E395" s="178">
        <f t="shared" si="12"/>
        <v>0.76033149366814179</v>
      </c>
      <c r="F395" s="205" t="str">
        <f t="shared" si="13"/>
        <v/>
      </c>
    </row>
    <row r="396" spans="1:6">
      <c r="A396">
        <v>393</v>
      </c>
      <c r="B396" s="46">
        <v>44437</v>
      </c>
      <c r="C396" s="277">
        <v>1.0641274536700003</v>
      </c>
      <c r="D396" s="277">
        <v>17.06077530949155</v>
      </c>
      <c r="E396" s="178">
        <f t="shared" si="12"/>
        <v>1.0641274536700003</v>
      </c>
      <c r="F396" s="205" t="str">
        <f t="shared" si="13"/>
        <v/>
      </c>
    </row>
    <row r="397" spans="1:6">
      <c r="A397">
        <v>394</v>
      </c>
      <c r="B397" s="46">
        <v>44438</v>
      </c>
      <c r="C397" s="277">
        <v>10.115708249667207</v>
      </c>
      <c r="D397" s="277">
        <v>17.06077530949155</v>
      </c>
      <c r="E397" s="178">
        <f t="shared" ref="E397" si="14">IF(C397&lt;D397,C397,D397)</f>
        <v>10.115708249667207</v>
      </c>
      <c r="F397" s="205" t="str">
        <f t="shared" si="13"/>
        <v/>
      </c>
    </row>
    <row r="398" spans="1:6">
      <c r="A398">
        <v>395</v>
      </c>
      <c r="B398" s="46">
        <v>44439</v>
      </c>
      <c r="C398" s="277">
        <v>13.842601205670929</v>
      </c>
      <c r="D398" s="277">
        <v>17.06077530949155</v>
      </c>
      <c r="E398" s="178">
        <f t="shared" ref="E398" si="15">IF(C398&lt;D398,C398,D398)</f>
        <v>13.842601205670929</v>
      </c>
      <c r="F398" s="205" t="str">
        <f t="shared" si="13"/>
        <v/>
      </c>
    </row>
    <row r="399" spans="1:6">
      <c r="B399" s="46"/>
      <c r="C399" s="277"/>
      <c r="D399" s="277"/>
      <c r="E399" s="178"/>
      <c r="F399" s="205" t="str">
        <f t="shared" ref="F399:F400" si="16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77"/>
      <c r="D400" s="277"/>
      <c r="E400" s="178"/>
      <c r="F400" s="205" t="str">
        <f t="shared" si="16"/>
        <v/>
      </c>
    </row>
    <row r="401" spans="3:7">
      <c r="C401" s="178" t="s">
        <v>149</v>
      </c>
      <c r="D401" s="178" t="s">
        <v>149</v>
      </c>
      <c r="E401" s="178" t="str">
        <f t="shared" ref="E401:E451" si="17">IF(C401&lt;D401,C401,D401)</f>
        <v/>
      </c>
      <c r="F401" s="205" t="str">
        <f t="shared" ref="F401:F412" si="18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78" t="s">
        <v>149</v>
      </c>
      <c r="D402" s="178" t="s">
        <v>149</v>
      </c>
      <c r="E402" s="178" t="str">
        <f t="shared" si="17"/>
        <v/>
      </c>
      <c r="F402" s="205" t="str">
        <f t="shared" si="18"/>
        <v/>
      </c>
    </row>
    <row r="403" spans="3:7">
      <c r="C403" s="178" t="s">
        <v>149</v>
      </c>
      <c r="D403" s="178" t="s">
        <v>149</v>
      </c>
      <c r="E403" s="178" t="str">
        <f t="shared" si="17"/>
        <v/>
      </c>
      <c r="F403" s="205" t="str">
        <f t="shared" si="18"/>
        <v/>
      </c>
    </row>
    <row r="404" spans="3:7">
      <c r="C404" s="178" t="s">
        <v>149</v>
      </c>
      <c r="D404" s="178" t="s">
        <v>149</v>
      </c>
      <c r="E404" s="178" t="str">
        <f t="shared" si="17"/>
        <v/>
      </c>
      <c r="F404" s="205" t="str">
        <f t="shared" si="18"/>
        <v/>
      </c>
    </row>
    <row r="405" spans="3:7">
      <c r="C405" s="178" t="s">
        <v>149</v>
      </c>
      <c r="D405" s="178" t="s">
        <v>149</v>
      </c>
      <c r="E405" s="178" t="str">
        <f t="shared" si="17"/>
        <v/>
      </c>
      <c r="F405" s="205" t="str">
        <f t="shared" si="18"/>
        <v/>
      </c>
    </row>
    <row r="406" spans="3:7">
      <c r="C406" s="178" t="s">
        <v>149</v>
      </c>
      <c r="D406" s="178" t="s">
        <v>149</v>
      </c>
      <c r="E406" s="178" t="str">
        <f t="shared" si="17"/>
        <v/>
      </c>
      <c r="F406" s="205" t="str">
        <f t="shared" si="18"/>
        <v/>
      </c>
    </row>
    <row r="407" spans="3:7">
      <c r="C407" s="178" t="s">
        <v>149</v>
      </c>
      <c r="D407" s="178" t="s">
        <v>149</v>
      </c>
      <c r="E407" s="178" t="str">
        <f t="shared" si="17"/>
        <v/>
      </c>
      <c r="F407" s="205" t="str">
        <f t="shared" si="18"/>
        <v/>
      </c>
    </row>
    <row r="408" spans="3:7">
      <c r="C408" s="178" t="s">
        <v>149</v>
      </c>
      <c r="D408" s="178" t="s">
        <v>149</v>
      </c>
      <c r="E408" s="178" t="str">
        <f t="shared" si="17"/>
        <v/>
      </c>
      <c r="F408" s="205" t="str">
        <f t="shared" si="18"/>
        <v/>
      </c>
    </row>
    <row r="409" spans="3:7">
      <c r="C409" s="178" t="s">
        <v>149</v>
      </c>
      <c r="D409" s="178" t="s">
        <v>149</v>
      </c>
      <c r="E409" s="178" t="str">
        <f t="shared" si="17"/>
        <v/>
      </c>
      <c r="F409" s="205" t="str">
        <f t="shared" si="18"/>
        <v/>
      </c>
    </row>
    <row r="410" spans="3:7">
      <c r="C410" s="178" t="s">
        <v>149</v>
      </c>
      <c r="D410" s="178" t="s">
        <v>149</v>
      </c>
      <c r="E410" s="178" t="str">
        <f t="shared" si="17"/>
        <v/>
      </c>
      <c r="F410" s="205" t="str">
        <f t="shared" si="18"/>
        <v/>
      </c>
    </row>
    <row r="411" spans="3:7">
      <c r="C411" s="178" t="s">
        <v>149</v>
      </c>
      <c r="D411" s="178" t="s">
        <v>149</v>
      </c>
      <c r="E411" s="178" t="str">
        <f t="shared" si="17"/>
        <v/>
      </c>
      <c r="F411" s="205" t="str">
        <f t="shared" si="18"/>
        <v/>
      </c>
    </row>
    <row r="412" spans="3:7">
      <c r="C412" s="178" t="s">
        <v>149</v>
      </c>
      <c r="D412" s="178" t="s">
        <v>149</v>
      </c>
      <c r="E412" s="178" t="str">
        <f t="shared" si="17"/>
        <v/>
      </c>
      <c r="F412" s="205" t="str">
        <f t="shared" si="18"/>
        <v/>
      </c>
      <c r="G412" s="206" t="str">
        <f t="shared" ref="G412" si="19">IF(DAY(B412)=15,D412,"")</f>
        <v/>
      </c>
    </row>
    <row r="413" spans="3:7">
      <c r="C413" s="178" t="s">
        <v>149</v>
      </c>
      <c r="D413" s="178" t="s">
        <v>149</v>
      </c>
      <c r="E413" s="178" t="str">
        <f t="shared" si="17"/>
        <v/>
      </c>
    </row>
    <row r="414" spans="3:7">
      <c r="C414" s="178" t="s">
        <v>149</v>
      </c>
      <c r="D414" s="178" t="s">
        <v>149</v>
      </c>
      <c r="E414" s="178" t="str">
        <f t="shared" si="17"/>
        <v/>
      </c>
    </row>
    <row r="415" spans="3:7">
      <c r="C415" s="178" t="s">
        <v>149</v>
      </c>
      <c r="D415" s="178" t="s">
        <v>149</v>
      </c>
      <c r="E415" s="178" t="str">
        <f t="shared" si="17"/>
        <v/>
      </c>
    </row>
    <row r="416" spans="3:7">
      <c r="C416" s="178" t="s">
        <v>149</v>
      </c>
      <c r="D416" s="178" t="s">
        <v>149</v>
      </c>
      <c r="E416" s="178" t="str">
        <f t="shared" si="17"/>
        <v/>
      </c>
    </row>
    <row r="417" spans="3:5">
      <c r="C417" s="178" t="s">
        <v>149</v>
      </c>
      <c r="D417" s="178" t="s">
        <v>149</v>
      </c>
      <c r="E417" s="178" t="str">
        <f t="shared" si="17"/>
        <v/>
      </c>
    </row>
    <row r="418" spans="3:5">
      <c r="C418" s="178" t="s">
        <v>149</v>
      </c>
      <c r="D418" s="178" t="s">
        <v>149</v>
      </c>
      <c r="E418" s="178" t="str">
        <f t="shared" si="17"/>
        <v/>
      </c>
    </row>
    <row r="419" spans="3:5">
      <c r="C419" s="178" t="s">
        <v>149</v>
      </c>
      <c r="D419" s="178" t="s">
        <v>149</v>
      </c>
      <c r="E419" s="178" t="str">
        <f t="shared" si="17"/>
        <v/>
      </c>
    </row>
    <row r="420" spans="3:5">
      <c r="C420" s="178" t="s">
        <v>149</v>
      </c>
      <c r="D420" s="178" t="s">
        <v>149</v>
      </c>
      <c r="E420" s="178" t="str">
        <f t="shared" si="17"/>
        <v/>
      </c>
    </row>
    <row r="421" spans="3:5">
      <c r="C421" s="178" t="s">
        <v>149</v>
      </c>
      <c r="D421" s="178" t="s">
        <v>149</v>
      </c>
      <c r="E421" s="178" t="str">
        <f t="shared" si="17"/>
        <v/>
      </c>
    </row>
    <row r="422" spans="3:5">
      <c r="C422" s="178" t="s">
        <v>149</v>
      </c>
      <c r="D422" s="178" t="s">
        <v>149</v>
      </c>
      <c r="E422" s="178" t="str">
        <f t="shared" si="17"/>
        <v/>
      </c>
    </row>
    <row r="423" spans="3:5">
      <c r="C423" s="178" t="s">
        <v>149</v>
      </c>
      <c r="D423" s="178" t="s">
        <v>149</v>
      </c>
      <c r="E423" s="178" t="str">
        <f t="shared" si="17"/>
        <v/>
      </c>
    </row>
    <row r="424" spans="3:5">
      <c r="C424" s="178" t="s">
        <v>149</v>
      </c>
      <c r="D424" s="178" t="s">
        <v>149</v>
      </c>
      <c r="E424" s="178" t="str">
        <f t="shared" si="17"/>
        <v/>
      </c>
    </row>
    <row r="425" spans="3:5">
      <c r="C425" s="178" t="s">
        <v>149</v>
      </c>
      <c r="D425" s="178" t="s">
        <v>149</v>
      </c>
      <c r="E425" s="178" t="str">
        <f t="shared" si="17"/>
        <v/>
      </c>
    </row>
    <row r="426" spans="3:5">
      <c r="C426" s="178" t="s">
        <v>149</v>
      </c>
      <c r="D426" s="178" t="s">
        <v>149</v>
      </c>
      <c r="E426" s="178" t="str">
        <f t="shared" si="17"/>
        <v/>
      </c>
    </row>
    <row r="427" spans="3:5">
      <c r="C427" s="178" t="s">
        <v>149</v>
      </c>
      <c r="D427" s="178" t="s">
        <v>149</v>
      </c>
      <c r="E427" s="178" t="str">
        <f t="shared" si="17"/>
        <v/>
      </c>
    </row>
    <row r="428" spans="3:5">
      <c r="C428" s="178" t="s">
        <v>149</v>
      </c>
      <c r="D428" s="178" t="s">
        <v>149</v>
      </c>
      <c r="E428" s="178" t="str">
        <f t="shared" si="17"/>
        <v/>
      </c>
    </row>
    <row r="429" spans="3:5">
      <c r="C429" s="178" t="s">
        <v>149</v>
      </c>
      <c r="D429" s="178" t="s">
        <v>149</v>
      </c>
      <c r="E429" s="178" t="str">
        <f t="shared" si="17"/>
        <v/>
      </c>
    </row>
    <row r="430" spans="3:5">
      <c r="C430" s="178" t="s">
        <v>149</v>
      </c>
      <c r="D430" s="178" t="s">
        <v>149</v>
      </c>
      <c r="E430" s="178" t="str">
        <f t="shared" si="17"/>
        <v/>
      </c>
    </row>
    <row r="431" spans="3:5">
      <c r="C431" s="178" t="s">
        <v>149</v>
      </c>
      <c r="D431" s="178" t="s">
        <v>149</v>
      </c>
      <c r="E431" s="178" t="str">
        <f t="shared" si="17"/>
        <v/>
      </c>
    </row>
    <row r="432" spans="3:5">
      <c r="C432" s="178" t="s">
        <v>149</v>
      </c>
      <c r="D432" s="178" t="s">
        <v>149</v>
      </c>
      <c r="E432" s="178" t="str">
        <f t="shared" si="17"/>
        <v/>
      </c>
    </row>
    <row r="433" spans="3:5">
      <c r="C433" s="178" t="s">
        <v>149</v>
      </c>
      <c r="D433" s="178" t="s">
        <v>149</v>
      </c>
      <c r="E433" s="178" t="str">
        <f t="shared" si="17"/>
        <v/>
      </c>
    </row>
    <row r="434" spans="3:5">
      <c r="C434" s="178" t="s">
        <v>149</v>
      </c>
      <c r="D434" s="178" t="s">
        <v>149</v>
      </c>
      <c r="E434" s="178" t="str">
        <f t="shared" si="17"/>
        <v/>
      </c>
    </row>
    <row r="435" spans="3:5">
      <c r="C435" s="178" t="s">
        <v>149</v>
      </c>
      <c r="D435" s="178" t="s">
        <v>149</v>
      </c>
      <c r="E435" s="178" t="str">
        <f t="shared" si="17"/>
        <v/>
      </c>
    </row>
    <row r="436" spans="3:5">
      <c r="C436" s="178" t="s">
        <v>149</v>
      </c>
      <c r="D436" s="178" t="s">
        <v>149</v>
      </c>
      <c r="E436" s="178" t="str">
        <f t="shared" si="17"/>
        <v/>
      </c>
    </row>
    <row r="437" spans="3:5">
      <c r="C437" s="178" t="s">
        <v>149</v>
      </c>
      <c r="D437" s="178" t="s">
        <v>149</v>
      </c>
      <c r="E437" s="178" t="str">
        <f t="shared" si="17"/>
        <v/>
      </c>
    </row>
    <row r="438" spans="3:5">
      <c r="C438" s="178" t="s">
        <v>149</v>
      </c>
      <c r="D438" s="178" t="s">
        <v>149</v>
      </c>
      <c r="E438" s="178" t="str">
        <f t="shared" si="17"/>
        <v/>
      </c>
    </row>
    <row r="439" spans="3:5">
      <c r="C439" s="178" t="s">
        <v>149</v>
      </c>
      <c r="D439" s="178" t="s">
        <v>149</v>
      </c>
      <c r="E439" s="178" t="str">
        <f t="shared" si="17"/>
        <v/>
      </c>
    </row>
    <row r="440" spans="3:5">
      <c r="C440" s="178" t="s">
        <v>149</v>
      </c>
      <c r="D440" s="178" t="s">
        <v>149</v>
      </c>
      <c r="E440" s="178" t="str">
        <f t="shared" si="17"/>
        <v/>
      </c>
    </row>
    <row r="441" spans="3:5">
      <c r="C441" s="178" t="s">
        <v>149</v>
      </c>
      <c r="D441" s="178" t="s">
        <v>149</v>
      </c>
      <c r="E441" s="178" t="str">
        <f t="shared" si="17"/>
        <v/>
      </c>
    </row>
    <row r="442" spans="3:5">
      <c r="C442" s="178" t="s">
        <v>149</v>
      </c>
      <c r="D442" s="178" t="s">
        <v>149</v>
      </c>
      <c r="E442" s="178" t="str">
        <f t="shared" si="17"/>
        <v/>
      </c>
    </row>
    <row r="443" spans="3:5">
      <c r="C443" s="178" t="s">
        <v>149</v>
      </c>
      <c r="D443" s="178" t="s">
        <v>149</v>
      </c>
      <c r="E443" s="178" t="str">
        <f t="shared" si="17"/>
        <v/>
      </c>
    </row>
    <row r="444" spans="3:5">
      <c r="C444" s="178" t="s">
        <v>149</v>
      </c>
      <c r="D444" s="178" t="s">
        <v>149</v>
      </c>
      <c r="E444" s="178" t="str">
        <f t="shared" si="17"/>
        <v/>
      </c>
    </row>
    <row r="445" spans="3:5">
      <c r="C445" s="178" t="s">
        <v>149</v>
      </c>
      <c r="D445" s="178" t="s">
        <v>149</v>
      </c>
      <c r="E445" s="178" t="str">
        <f t="shared" si="17"/>
        <v/>
      </c>
    </row>
    <row r="446" spans="3:5">
      <c r="C446" s="178" t="s">
        <v>149</v>
      </c>
      <c r="D446" s="178" t="s">
        <v>149</v>
      </c>
      <c r="E446" s="178" t="str">
        <f t="shared" si="17"/>
        <v/>
      </c>
    </row>
    <row r="447" spans="3:5">
      <c r="C447" s="178" t="s">
        <v>149</v>
      </c>
      <c r="D447" s="178" t="s">
        <v>149</v>
      </c>
      <c r="E447" s="178" t="str">
        <f t="shared" si="17"/>
        <v/>
      </c>
    </row>
    <row r="448" spans="3:5">
      <c r="C448" s="178" t="s">
        <v>149</v>
      </c>
      <c r="D448" s="178" t="s">
        <v>149</v>
      </c>
      <c r="E448" s="178" t="str">
        <f t="shared" si="17"/>
        <v/>
      </c>
    </row>
    <row r="449" spans="3:5">
      <c r="C449" s="178" t="s">
        <v>149</v>
      </c>
      <c r="D449" s="178" t="s">
        <v>149</v>
      </c>
      <c r="E449" s="178" t="str">
        <f t="shared" si="17"/>
        <v/>
      </c>
    </row>
    <row r="450" spans="3:5">
      <c r="C450" s="178" t="s">
        <v>149</v>
      </c>
      <c r="D450" s="178" t="s">
        <v>149</v>
      </c>
      <c r="E450" s="178" t="str">
        <f t="shared" si="17"/>
        <v/>
      </c>
    </row>
    <row r="451" spans="3:5">
      <c r="C451" s="178" t="s">
        <v>149</v>
      </c>
      <c r="D451" s="178" t="s">
        <v>149</v>
      </c>
      <c r="E451" s="178" t="str">
        <f t="shared" si="17"/>
        <v/>
      </c>
    </row>
    <row r="452" spans="3:5">
      <c r="C452" s="178" t="s">
        <v>149</v>
      </c>
      <c r="D452" s="178" t="s">
        <v>149</v>
      </c>
      <c r="E452" s="178" t="str">
        <f t="shared" ref="E452:E515" si="20">IF(C452&lt;D452,C452,D452)</f>
        <v/>
      </c>
    </row>
    <row r="453" spans="3:5">
      <c r="C453" s="178" t="s">
        <v>149</v>
      </c>
      <c r="D453" s="178" t="s">
        <v>149</v>
      </c>
      <c r="E453" s="178" t="str">
        <f t="shared" si="20"/>
        <v/>
      </c>
    </row>
    <row r="454" spans="3:5">
      <c r="C454" s="178" t="s">
        <v>149</v>
      </c>
      <c r="D454" s="178" t="s">
        <v>149</v>
      </c>
      <c r="E454" s="178" t="str">
        <f t="shared" si="20"/>
        <v/>
      </c>
    </row>
    <row r="455" spans="3:5">
      <c r="C455" s="178" t="s">
        <v>149</v>
      </c>
      <c r="D455" s="178" t="s">
        <v>149</v>
      </c>
      <c r="E455" s="178" t="str">
        <f t="shared" si="20"/>
        <v/>
      </c>
    </row>
    <row r="456" spans="3:5">
      <c r="C456" s="178" t="s">
        <v>149</v>
      </c>
      <c r="D456" s="178" t="s">
        <v>149</v>
      </c>
      <c r="E456" s="178" t="str">
        <f t="shared" si="20"/>
        <v/>
      </c>
    </row>
    <row r="457" spans="3:5">
      <c r="C457" s="178" t="s">
        <v>149</v>
      </c>
      <c r="D457" s="178" t="s">
        <v>149</v>
      </c>
      <c r="E457" s="178" t="str">
        <f t="shared" si="20"/>
        <v/>
      </c>
    </row>
    <row r="458" spans="3:5">
      <c r="C458" s="178" t="s">
        <v>149</v>
      </c>
      <c r="D458" s="178" t="s">
        <v>149</v>
      </c>
      <c r="E458" s="178" t="str">
        <f t="shared" si="20"/>
        <v/>
      </c>
    </row>
    <row r="459" spans="3:5">
      <c r="C459" s="178" t="s">
        <v>149</v>
      </c>
      <c r="D459" s="178" t="s">
        <v>149</v>
      </c>
      <c r="E459" s="178" t="str">
        <f t="shared" si="20"/>
        <v/>
      </c>
    </row>
    <row r="460" spans="3:5">
      <c r="C460" s="178" t="s">
        <v>149</v>
      </c>
      <c r="D460" s="178" t="s">
        <v>149</v>
      </c>
      <c r="E460" s="178" t="str">
        <f t="shared" si="20"/>
        <v/>
      </c>
    </row>
    <row r="461" spans="3:5">
      <c r="C461" s="178" t="s">
        <v>149</v>
      </c>
      <c r="D461" s="178" t="s">
        <v>149</v>
      </c>
      <c r="E461" s="178" t="str">
        <f t="shared" si="20"/>
        <v/>
      </c>
    </row>
    <row r="462" spans="3:5">
      <c r="C462" s="178" t="s">
        <v>149</v>
      </c>
      <c r="D462" s="178" t="s">
        <v>149</v>
      </c>
      <c r="E462" s="178" t="str">
        <f t="shared" si="20"/>
        <v/>
      </c>
    </row>
    <row r="463" spans="3:5">
      <c r="C463" s="178" t="s">
        <v>149</v>
      </c>
      <c r="D463" s="178" t="s">
        <v>149</v>
      </c>
      <c r="E463" s="178" t="str">
        <f t="shared" si="20"/>
        <v/>
      </c>
    </row>
    <row r="464" spans="3:5">
      <c r="C464" s="178" t="s">
        <v>149</v>
      </c>
      <c r="D464" s="178" t="s">
        <v>149</v>
      </c>
      <c r="E464" s="178" t="str">
        <f t="shared" si="20"/>
        <v/>
      </c>
    </row>
    <row r="465" spans="3:5">
      <c r="C465" s="178" t="s">
        <v>149</v>
      </c>
      <c r="D465" s="178" t="s">
        <v>149</v>
      </c>
      <c r="E465" s="178" t="str">
        <f t="shared" si="20"/>
        <v/>
      </c>
    </row>
    <row r="466" spans="3:5">
      <c r="C466" s="178" t="s">
        <v>149</v>
      </c>
      <c r="D466" s="178" t="s">
        <v>149</v>
      </c>
      <c r="E466" s="178" t="str">
        <f t="shared" si="20"/>
        <v/>
      </c>
    </row>
    <row r="467" spans="3:5">
      <c r="C467" s="178" t="s">
        <v>149</v>
      </c>
      <c r="D467" s="178" t="s">
        <v>149</v>
      </c>
      <c r="E467" s="178" t="str">
        <f t="shared" si="20"/>
        <v/>
      </c>
    </row>
    <row r="468" spans="3:5">
      <c r="C468" s="178" t="s">
        <v>149</v>
      </c>
      <c r="D468" s="178" t="s">
        <v>149</v>
      </c>
      <c r="E468" s="178" t="str">
        <f t="shared" si="20"/>
        <v/>
      </c>
    </row>
    <row r="469" spans="3:5">
      <c r="C469" s="178" t="s">
        <v>149</v>
      </c>
      <c r="D469" s="178" t="s">
        <v>149</v>
      </c>
      <c r="E469" s="178" t="str">
        <f t="shared" si="20"/>
        <v/>
      </c>
    </row>
    <row r="470" spans="3:5">
      <c r="C470" s="178" t="s">
        <v>149</v>
      </c>
      <c r="D470" s="178" t="s">
        <v>149</v>
      </c>
      <c r="E470" s="178" t="str">
        <f t="shared" si="20"/>
        <v/>
      </c>
    </row>
    <row r="471" spans="3:5">
      <c r="C471" s="178" t="s">
        <v>149</v>
      </c>
      <c r="D471" s="178" t="s">
        <v>149</v>
      </c>
      <c r="E471" s="178" t="str">
        <f t="shared" si="20"/>
        <v/>
      </c>
    </row>
    <row r="472" spans="3:5">
      <c r="C472" s="178" t="s">
        <v>149</v>
      </c>
      <c r="D472" s="178" t="s">
        <v>149</v>
      </c>
      <c r="E472" s="178" t="str">
        <f t="shared" si="20"/>
        <v/>
      </c>
    </row>
    <row r="473" spans="3:5">
      <c r="C473" s="178" t="s">
        <v>149</v>
      </c>
      <c r="D473" s="178" t="s">
        <v>149</v>
      </c>
      <c r="E473" s="178" t="str">
        <f t="shared" si="20"/>
        <v/>
      </c>
    </row>
    <row r="474" spans="3:5">
      <c r="C474" s="178" t="s">
        <v>149</v>
      </c>
      <c r="D474" s="178" t="s">
        <v>149</v>
      </c>
      <c r="E474" s="178" t="str">
        <f t="shared" si="20"/>
        <v/>
      </c>
    </row>
    <row r="475" spans="3:5">
      <c r="C475" s="178" t="s">
        <v>149</v>
      </c>
      <c r="D475" s="178" t="s">
        <v>149</v>
      </c>
      <c r="E475" s="178" t="str">
        <f t="shared" si="20"/>
        <v/>
      </c>
    </row>
    <row r="476" spans="3:5">
      <c r="C476" s="178" t="s">
        <v>149</v>
      </c>
      <c r="D476" s="178" t="s">
        <v>149</v>
      </c>
      <c r="E476" s="178" t="str">
        <f t="shared" si="20"/>
        <v/>
      </c>
    </row>
    <row r="477" spans="3:5">
      <c r="C477" s="178" t="s">
        <v>149</v>
      </c>
      <c r="D477" s="178" t="s">
        <v>149</v>
      </c>
      <c r="E477" s="178" t="str">
        <f t="shared" si="20"/>
        <v/>
      </c>
    </row>
    <row r="478" spans="3:5">
      <c r="C478" s="178" t="s">
        <v>149</v>
      </c>
      <c r="D478" s="178" t="s">
        <v>149</v>
      </c>
      <c r="E478" s="178" t="str">
        <f t="shared" si="20"/>
        <v/>
      </c>
    </row>
    <row r="479" spans="3:5">
      <c r="C479" s="178" t="s">
        <v>149</v>
      </c>
      <c r="D479" s="178" t="s">
        <v>149</v>
      </c>
      <c r="E479" s="178" t="str">
        <f t="shared" si="20"/>
        <v/>
      </c>
    </row>
    <row r="480" spans="3:5">
      <c r="C480" s="178" t="s">
        <v>149</v>
      </c>
      <c r="D480" s="178" t="s">
        <v>149</v>
      </c>
      <c r="E480" s="178" t="str">
        <f t="shared" si="20"/>
        <v/>
      </c>
    </row>
    <row r="481" spans="3:5">
      <c r="C481" s="178" t="s">
        <v>149</v>
      </c>
      <c r="D481" s="178" t="s">
        <v>149</v>
      </c>
      <c r="E481" s="178" t="str">
        <f t="shared" si="20"/>
        <v/>
      </c>
    </row>
    <row r="482" spans="3:5">
      <c r="C482" s="178" t="s">
        <v>149</v>
      </c>
      <c r="D482" s="178" t="s">
        <v>149</v>
      </c>
      <c r="E482" s="178" t="str">
        <f t="shared" si="20"/>
        <v/>
      </c>
    </row>
    <row r="483" spans="3:5">
      <c r="C483" s="178" t="s">
        <v>149</v>
      </c>
      <c r="D483" s="178" t="s">
        <v>149</v>
      </c>
      <c r="E483" s="178" t="str">
        <f t="shared" si="20"/>
        <v/>
      </c>
    </row>
    <row r="484" spans="3:5">
      <c r="C484" s="178" t="s">
        <v>149</v>
      </c>
      <c r="D484" s="178" t="s">
        <v>149</v>
      </c>
      <c r="E484" s="178" t="str">
        <f t="shared" si="20"/>
        <v/>
      </c>
    </row>
    <row r="485" spans="3:5">
      <c r="C485" s="178" t="s">
        <v>149</v>
      </c>
      <c r="D485" s="178" t="s">
        <v>149</v>
      </c>
      <c r="E485" s="178" t="str">
        <f t="shared" si="20"/>
        <v/>
      </c>
    </row>
    <row r="486" spans="3:5">
      <c r="C486" s="178" t="s">
        <v>149</v>
      </c>
      <c r="D486" s="178" t="s">
        <v>149</v>
      </c>
      <c r="E486" s="178" t="str">
        <f t="shared" si="20"/>
        <v/>
      </c>
    </row>
    <row r="487" spans="3:5">
      <c r="C487" s="178" t="s">
        <v>149</v>
      </c>
      <c r="D487" s="178" t="s">
        <v>149</v>
      </c>
      <c r="E487" s="178" t="str">
        <f t="shared" si="20"/>
        <v/>
      </c>
    </row>
    <row r="488" spans="3:5">
      <c r="C488" s="178" t="s">
        <v>149</v>
      </c>
      <c r="D488" s="178" t="s">
        <v>149</v>
      </c>
      <c r="E488" s="178" t="str">
        <f t="shared" si="20"/>
        <v/>
      </c>
    </row>
    <row r="489" spans="3:5">
      <c r="C489" s="178" t="s">
        <v>149</v>
      </c>
      <c r="D489" s="178" t="s">
        <v>149</v>
      </c>
      <c r="E489" s="178" t="str">
        <f t="shared" si="20"/>
        <v/>
      </c>
    </row>
    <row r="490" spans="3:5">
      <c r="C490" s="178" t="s">
        <v>149</v>
      </c>
      <c r="D490" s="178" t="s">
        <v>149</v>
      </c>
      <c r="E490" s="178" t="str">
        <f t="shared" si="20"/>
        <v/>
      </c>
    </row>
    <row r="491" spans="3:5">
      <c r="C491" s="178" t="s">
        <v>149</v>
      </c>
      <c r="D491" s="178" t="s">
        <v>149</v>
      </c>
      <c r="E491" s="178" t="str">
        <f t="shared" si="20"/>
        <v/>
      </c>
    </row>
    <row r="492" spans="3:5">
      <c r="C492" s="178" t="s">
        <v>149</v>
      </c>
      <c r="D492" s="178" t="s">
        <v>149</v>
      </c>
      <c r="E492" s="178" t="str">
        <f t="shared" si="20"/>
        <v/>
      </c>
    </row>
    <row r="493" spans="3:5">
      <c r="C493" s="178" t="s">
        <v>149</v>
      </c>
      <c r="D493" s="178" t="s">
        <v>149</v>
      </c>
      <c r="E493" s="178" t="str">
        <f t="shared" si="20"/>
        <v/>
      </c>
    </row>
    <row r="494" spans="3:5">
      <c r="C494" s="178" t="s">
        <v>149</v>
      </c>
      <c r="D494" s="178" t="s">
        <v>149</v>
      </c>
      <c r="E494" s="178" t="str">
        <f t="shared" si="20"/>
        <v/>
      </c>
    </row>
    <row r="495" spans="3:5">
      <c r="C495" s="178" t="s">
        <v>149</v>
      </c>
      <c r="D495" s="178" t="s">
        <v>149</v>
      </c>
      <c r="E495" s="178" t="str">
        <f t="shared" si="20"/>
        <v/>
      </c>
    </row>
    <row r="496" spans="3:5">
      <c r="C496" s="178" t="s">
        <v>149</v>
      </c>
      <c r="D496" s="178" t="s">
        <v>149</v>
      </c>
      <c r="E496" s="178" t="str">
        <f t="shared" si="20"/>
        <v/>
      </c>
    </row>
    <row r="497" spans="3:5">
      <c r="C497" s="178" t="s">
        <v>149</v>
      </c>
      <c r="D497" s="178" t="s">
        <v>149</v>
      </c>
      <c r="E497" s="178" t="str">
        <f t="shared" si="20"/>
        <v/>
      </c>
    </row>
    <row r="498" spans="3:5">
      <c r="C498" s="178" t="s">
        <v>149</v>
      </c>
      <c r="D498" s="178" t="s">
        <v>149</v>
      </c>
      <c r="E498" s="178" t="str">
        <f t="shared" si="20"/>
        <v/>
      </c>
    </row>
    <row r="499" spans="3:5">
      <c r="C499" s="178" t="s">
        <v>149</v>
      </c>
      <c r="D499" s="178" t="s">
        <v>149</v>
      </c>
      <c r="E499" s="178" t="str">
        <f t="shared" si="20"/>
        <v/>
      </c>
    </row>
    <row r="500" spans="3:5">
      <c r="C500" s="178" t="s">
        <v>149</v>
      </c>
      <c r="D500" s="178" t="s">
        <v>149</v>
      </c>
      <c r="E500" s="178" t="str">
        <f t="shared" si="20"/>
        <v/>
      </c>
    </row>
    <row r="501" spans="3:5">
      <c r="C501" s="178" t="s">
        <v>149</v>
      </c>
      <c r="D501" s="178" t="s">
        <v>149</v>
      </c>
      <c r="E501" s="178" t="str">
        <f t="shared" si="20"/>
        <v/>
      </c>
    </row>
    <row r="502" spans="3:5">
      <c r="C502" s="178" t="s">
        <v>149</v>
      </c>
      <c r="D502" s="178" t="s">
        <v>149</v>
      </c>
      <c r="E502" s="178" t="str">
        <f t="shared" si="20"/>
        <v/>
      </c>
    </row>
    <row r="503" spans="3:5">
      <c r="C503" s="178" t="s">
        <v>149</v>
      </c>
      <c r="D503" s="178" t="s">
        <v>149</v>
      </c>
      <c r="E503" s="178" t="str">
        <f t="shared" si="20"/>
        <v/>
      </c>
    </row>
    <row r="504" spans="3:5">
      <c r="C504" s="178" t="s">
        <v>149</v>
      </c>
      <c r="D504" s="178" t="s">
        <v>149</v>
      </c>
      <c r="E504" s="178" t="str">
        <f t="shared" si="20"/>
        <v/>
      </c>
    </row>
    <row r="505" spans="3:5">
      <c r="C505" s="178" t="s">
        <v>149</v>
      </c>
      <c r="D505" s="178" t="s">
        <v>149</v>
      </c>
      <c r="E505" s="178" t="str">
        <f t="shared" si="20"/>
        <v/>
      </c>
    </row>
    <row r="506" spans="3:5">
      <c r="C506" s="178" t="s">
        <v>149</v>
      </c>
      <c r="D506" s="178" t="s">
        <v>149</v>
      </c>
      <c r="E506" s="178" t="str">
        <f t="shared" si="20"/>
        <v/>
      </c>
    </row>
    <row r="507" spans="3:5">
      <c r="C507" s="178" t="s">
        <v>149</v>
      </c>
      <c r="D507" s="178" t="s">
        <v>149</v>
      </c>
      <c r="E507" s="178" t="str">
        <f t="shared" si="20"/>
        <v/>
      </c>
    </row>
    <row r="508" spans="3:5">
      <c r="C508" s="178" t="s">
        <v>149</v>
      </c>
      <c r="D508" s="178" t="s">
        <v>149</v>
      </c>
      <c r="E508" s="178" t="str">
        <f t="shared" si="20"/>
        <v/>
      </c>
    </row>
    <row r="509" spans="3:5">
      <c r="C509" s="178" t="s">
        <v>149</v>
      </c>
      <c r="D509" s="178" t="s">
        <v>149</v>
      </c>
      <c r="E509" s="178" t="str">
        <f t="shared" si="20"/>
        <v/>
      </c>
    </row>
    <row r="510" spans="3:5">
      <c r="C510" s="178" t="s">
        <v>149</v>
      </c>
      <c r="D510" s="178" t="s">
        <v>149</v>
      </c>
      <c r="E510" s="178" t="str">
        <f t="shared" si="20"/>
        <v/>
      </c>
    </row>
    <row r="511" spans="3:5">
      <c r="C511" s="178" t="s">
        <v>149</v>
      </c>
      <c r="D511" s="178" t="s">
        <v>149</v>
      </c>
      <c r="E511" s="178" t="str">
        <f t="shared" si="20"/>
        <v/>
      </c>
    </row>
    <row r="512" spans="3:5">
      <c r="C512" s="178" t="s">
        <v>149</v>
      </c>
      <c r="D512" s="178" t="s">
        <v>149</v>
      </c>
      <c r="E512" s="178" t="str">
        <f t="shared" si="20"/>
        <v/>
      </c>
    </row>
    <row r="513" spans="3:5">
      <c r="C513" s="178" t="s">
        <v>149</v>
      </c>
      <c r="D513" s="178" t="s">
        <v>149</v>
      </c>
      <c r="E513" s="178" t="str">
        <f t="shared" si="20"/>
        <v/>
      </c>
    </row>
    <row r="514" spans="3:5">
      <c r="C514" s="178" t="s">
        <v>149</v>
      </c>
      <c r="D514" s="178" t="s">
        <v>149</v>
      </c>
      <c r="E514" s="178" t="str">
        <f t="shared" si="20"/>
        <v/>
      </c>
    </row>
    <row r="515" spans="3:5">
      <c r="C515" s="178" t="s">
        <v>149</v>
      </c>
      <c r="D515" s="178" t="s">
        <v>149</v>
      </c>
      <c r="E515" s="178" t="str">
        <f t="shared" si="20"/>
        <v/>
      </c>
    </row>
    <row r="516" spans="3:5">
      <c r="C516" s="178" t="s">
        <v>149</v>
      </c>
      <c r="D516" s="178" t="s">
        <v>149</v>
      </c>
      <c r="E516" s="178" t="str">
        <f t="shared" ref="E516:E579" si="21">IF(C516&lt;D516,C516,D516)</f>
        <v/>
      </c>
    </row>
    <row r="517" spans="3:5">
      <c r="C517" s="178" t="s">
        <v>149</v>
      </c>
      <c r="D517" s="178" t="s">
        <v>149</v>
      </c>
      <c r="E517" s="178" t="str">
        <f t="shared" si="21"/>
        <v/>
      </c>
    </row>
    <row r="518" spans="3:5">
      <c r="C518" s="178" t="s">
        <v>149</v>
      </c>
      <c r="D518" s="178" t="s">
        <v>149</v>
      </c>
      <c r="E518" s="178" t="str">
        <f t="shared" si="21"/>
        <v/>
      </c>
    </row>
    <row r="519" spans="3:5">
      <c r="C519" s="178" t="s">
        <v>149</v>
      </c>
      <c r="D519" s="178" t="s">
        <v>149</v>
      </c>
      <c r="E519" s="178" t="str">
        <f t="shared" si="21"/>
        <v/>
      </c>
    </row>
    <row r="520" spans="3:5">
      <c r="C520" s="178" t="s">
        <v>149</v>
      </c>
      <c r="D520" s="178" t="s">
        <v>149</v>
      </c>
      <c r="E520" s="178" t="str">
        <f t="shared" si="21"/>
        <v/>
      </c>
    </row>
    <row r="521" spans="3:5">
      <c r="C521" s="178" t="s">
        <v>149</v>
      </c>
      <c r="D521" s="178" t="s">
        <v>149</v>
      </c>
      <c r="E521" s="178" t="str">
        <f t="shared" si="21"/>
        <v/>
      </c>
    </row>
    <row r="522" spans="3:5">
      <c r="C522" s="178" t="s">
        <v>149</v>
      </c>
      <c r="D522" s="178" t="s">
        <v>149</v>
      </c>
      <c r="E522" s="178" t="str">
        <f t="shared" si="21"/>
        <v/>
      </c>
    </row>
    <row r="523" spans="3:5">
      <c r="C523" s="178" t="s">
        <v>149</v>
      </c>
      <c r="D523" s="178" t="s">
        <v>149</v>
      </c>
      <c r="E523" s="178" t="str">
        <f t="shared" si="21"/>
        <v/>
      </c>
    </row>
    <row r="524" spans="3:5">
      <c r="C524" s="178" t="s">
        <v>149</v>
      </c>
      <c r="D524" s="178" t="s">
        <v>149</v>
      </c>
      <c r="E524" s="178" t="str">
        <f t="shared" si="21"/>
        <v/>
      </c>
    </row>
    <row r="525" spans="3:5">
      <c r="C525" s="178" t="s">
        <v>149</v>
      </c>
      <c r="D525" s="178" t="s">
        <v>149</v>
      </c>
      <c r="E525" s="178" t="str">
        <f t="shared" si="21"/>
        <v/>
      </c>
    </row>
    <row r="526" spans="3:5">
      <c r="C526" s="178" t="s">
        <v>149</v>
      </c>
      <c r="D526" s="178" t="s">
        <v>149</v>
      </c>
      <c r="E526" s="178" t="str">
        <f t="shared" si="21"/>
        <v/>
      </c>
    </row>
    <row r="527" spans="3:5">
      <c r="C527" s="178" t="s">
        <v>149</v>
      </c>
      <c r="D527" s="178" t="s">
        <v>149</v>
      </c>
      <c r="E527" s="178" t="str">
        <f t="shared" si="21"/>
        <v/>
      </c>
    </row>
    <row r="528" spans="3:5">
      <c r="C528" s="178" t="s">
        <v>149</v>
      </c>
      <c r="D528" s="178" t="s">
        <v>149</v>
      </c>
      <c r="E528" s="178" t="str">
        <f t="shared" si="21"/>
        <v/>
      </c>
    </row>
    <row r="529" spans="3:5">
      <c r="C529" s="178" t="s">
        <v>149</v>
      </c>
      <c r="D529" s="178" t="s">
        <v>149</v>
      </c>
      <c r="E529" s="178" t="str">
        <f t="shared" si="21"/>
        <v/>
      </c>
    </row>
    <row r="530" spans="3:5">
      <c r="C530" s="178" t="s">
        <v>149</v>
      </c>
      <c r="D530" s="178" t="s">
        <v>149</v>
      </c>
      <c r="E530" s="178" t="str">
        <f t="shared" si="21"/>
        <v/>
      </c>
    </row>
    <row r="531" spans="3:5">
      <c r="C531" s="178" t="s">
        <v>149</v>
      </c>
      <c r="D531" s="178" t="s">
        <v>149</v>
      </c>
      <c r="E531" s="178" t="str">
        <f t="shared" si="21"/>
        <v/>
      </c>
    </row>
    <row r="532" spans="3:5">
      <c r="C532" s="178" t="s">
        <v>149</v>
      </c>
      <c r="D532" s="178" t="s">
        <v>149</v>
      </c>
      <c r="E532" s="178" t="str">
        <f t="shared" si="21"/>
        <v/>
      </c>
    </row>
    <row r="533" spans="3:5">
      <c r="C533" s="178" t="s">
        <v>149</v>
      </c>
      <c r="D533" s="178" t="s">
        <v>149</v>
      </c>
      <c r="E533" s="178" t="str">
        <f t="shared" si="21"/>
        <v/>
      </c>
    </row>
    <row r="534" spans="3:5">
      <c r="C534" s="178" t="s">
        <v>149</v>
      </c>
      <c r="D534" s="178" t="s">
        <v>149</v>
      </c>
      <c r="E534" s="178" t="str">
        <f t="shared" si="21"/>
        <v/>
      </c>
    </row>
    <row r="535" spans="3:5">
      <c r="C535" s="178" t="s">
        <v>149</v>
      </c>
      <c r="D535" s="178" t="s">
        <v>149</v>
      </c>
      <c r="E535" s="178" t="str">
        <f t="shared" si="21"/>
        <v/>
      </c>
    </row>
    <row r="536" spans="3:5">
      <c r="C536" s="178" t="s">
        <v>149</v>
      </c>
      <c r="D536" s="178" t="s">
        <v>149</v>
      </c>
      <c r="E536" s="178" t="str">
        <f t="shared" si="21"/>
        <v/>
      </c>
    </row>
    <row r="537" spans="3:5">
      <c r="C537" s="178" t="s">
        <v>149</v>
      </c>
      <c r="D537" s="178" t="s">
        <v>149</v>
      </c>
      <c r="E537" s="178" t="str">
        <f t="shared" si="21"/>
        <v/>
      </c>
    </row>
    <row r="538" spans="3:5">
      <c r="C538" s="178" t="s">
        <v>149</v>
      </c>
      <c r="D538" s="178" t="s">
        <v>149</v>
      </c>
      <c r="E538" s="178" t="str">
        <f t="shared" si="21"/>
        <v/>
      </c>
    </row>
    <row r="539" spans="3:5">
      <c r="C539" s="178" t="s">
        <v>149</v>
      </c>
      <c r="D539" s="178" t="s">
        <v>149</v>
      </c>
      <c r="E539" s="178" t="str">
        <f t="shared" si="21"/>
        <v/>
      </c>
    </row>
    <row r="540" spans="3:5">
      <c r="C540" s="178" t="s">
        <v>149</v>
      </c>
      <c r="D540" s="178" t="s">
        <v>149</v>
      </c>
      <c r="E540" s="178" t="str">
        <f t="shared" si="21"/>
        <v/>
      </c>
    </row>
    <row r="541" spans="3:5">
      <c r="C541" s="178" t="s">
        <v>149</v>
      </c>
      <c r="D541" s="178" t="s">
        <v>149</v>
      </c>
      <c r="E541" s="178" t="str">
        <f t="shared" si="21"/>
        <v/>
      </c>
    </row>
    <row r="542" spans="3:5">
      <c r="C542" s="178" t="s">
        <v>149</v>
      </c>
      <c r="D542" s="178" t="s">
        <v>149</v>
      </c>
      <c r="E542" s="178" t="str">
        <f t="shared" si="21"/>
        <v/>
      </c>
    </row>
    <row r="543" spans="3:5">
      <c r="C543" s="178" t="s">
        <v>149</v>
      </c>
      <c r="D543" s="178" t="s">
        <v>149</v>
      </c>
      <c r="E543" s="178" t="str">
        <f t="shared" si="21"/>
        <v/>
      </c>
    </row>
    <row r="544" spans="3:5">
      <c r="C544" s="178" t="s">
        <v>149</v>
      </c>
      <c r="D544" s="178" t="s">
        <v>149</v>
      </c>
      <c r="E544" s="178" t="str">
        <f t="shared" si="21"/>
        <v/>
      </c>
    </row>
    <row r="545" spans="3:5">
      <c r="C545" s="178" t="s">
        <v>149</v>
      </c>
      <c r="D545" s="178" t="s">
        <v>149</v>
      </c>
      <c r="E545" s="178" t="str">
        <f t="shared" si="21"/>
        <v/>
      </c>
    </row>
    <row r="546" spans="3:5">
      <c r="C546" s="178" t="s">
        <v>149</v>
      </c>
      <c r="D546" s="178" t="s">
        <v>149</v>
      </c>
      <c r="E546" s="178" t="str">
        <f t="shared" si="21"/>
        <v/>
      </c>
    </row>
    <row r="547" spans="3:5">
      <c r="C547" s="178" t="s">
        <v>149</v>
      </c>
      <c r="D547" s="178" t="s">
        <v>149</v>
      </c>
      <c r="E547" s="178" t="str">
        <f t="shared" si="21"/>
        <v/>
      </c>
    </row>
    <row r="548" spans="3:5">
      <c r="C548" s="178" t="s">
        <v>149</v>
      </c>
      <c r="D548" s="178" t="s">
        <v>149</v>
      </c>
      <c r="E548" s="178" t="str">
        <f t="shared" si="21"/>
        <v/>
      </c>
    </row>
    <row r="549" spans="3:5">
      <c r="C549" s="178" t="s">
        <v>149</v>
      </c>
      <c r="D549" s="178" t="s">
        <v>149</v>
      </c>
      <c r="E549" s="178" t="str">
        <f t="shared" si="21"/>
        <v/>
      </c>
    </row>
    <row r="550" spans="3:5">
      <c r="C550" s="178" t="s">
        <v>149</v>
      </c>
      <c r="D550" s="178" t="s">
        <v>149</v>
      </c>
      <c r="E550" s="178" t="str">
        <f t="shared" si="21"/>
        <v/>
      </c>
    </row>
    <row r="551" spans="3:5">
      <c r="C551" s="178" t="s">
        <v>149</v>
      </c>
      <c r="D551" s="178" t="s">
        <v>149</v>
      </c>
      <c r="E551" s="178" t="str">
        <f t="shared" si="21"/>
        <v/>
      </c>
    </row>
    <row r="552" spans="3:5">
      <c r="C552" s="178" t="s">
        <v>149</v>
      </c>
      <c r="D552" s="178" t="s">
        <v>149</v>
      </c>
      <c r="E552" s="178" t="str">
        <f t="shared" si="21"/>
        <v/>
      </c>
    </row>
    <row r="553" spans="3:5">
      <c r="C553" s="178" t="s">
        <v>149</v>
      </c>
      <c r="D553" s="178" t="s">
        <v>149</v>
      </c>
      <c r="E553" s="178" t="str">
        <f t="shared" si="21"/>
        <v/>
      </c>
    </row>
    <row r="554" spans="3:5">
      <c r="C554" s="178" t="s">
        <v>149</v>
      </c>
      <c r="D554" s="178" t="s">
        <v>149</v>
      </c>
      <c r="E554" s="178" t="str">
        <f t="shared" si="21"/>
        <v/>
      </c>
    </row>
    <row r="555" spans="3:5">
      <c r="C555" s="178" t="s">
        <v>149</v>
      </c>
      <c r="D555" s="178" t="s">
        <v>149</v>
      </c>
      <c r="E555" s="178" t="str">
        <f t="shared" si="21"/>
        <v/>
      </c>
    </row>
    <row r="556" spans="3:5">
      <c r="C556" s="178" t="s">
        <v>149</v>
      </c>
      <c r="D556" s="178" t="s">
        <v>149</v>
      </c>
      <c r="E556" s="178" t="str">
        <f t="shared" si="21"/>
        <v/>
      </c>
    </row>
    <row r="557" spans="3:5">
      <c r="C557" s="178" t="s">
        <v>149</v>
      </c>
      <c r="D557" s="178" t="s">
        <v>149</v>
      </c>
      <c r="E557" s="178" t="str">
        <f t="shared" si="21"/>
        <v/>
      </c>
    </row>
    <row r="558" spans="3:5">
      <c r="C558" s="178" t="s">
        <v>149</v>
      </c>
      <c r="D558" s="178" t="s">
        <v>149</v>
      </c>
      <c r="E558" s="178" t="str">
        <f t="shared" si="21"/>
        <v/>
      </c>
    </row>
    <row r="559" spans="3:5">
      <c r="C559" s="178" t="s">
        <v>149</v>
      </c>
      <c r="D559" s="178" t="s">
        <v>149</v>
      </c>
      <c r="E559" s="178" t="str">
        <f t="shared" si="21"/>
        <v/>
      </c>
    </row>
    <row r="560" spans="3:5">
      <c r="C560" s="178" t="s">
        <v>149</v>
      </c>
      <c r="D560" s="178" t="s">
        <v>149</v>
      </c>
      <c r="E560" s="178" t="str">
        <f t="shared" si="21"/>
        <v/>
      </c>
    </row>
    <row r="561" spans="3:5">
      <c r="C561" s="178" t="s">
        <v>149</v>
      </c>
      <c r="D561" s="178" t="s">
        <v>149</v>
      </c>
      <c r="E561" s="178" t="str">
        <f t="shared" si="21"/>
        <v/>
      </c>
    </row>
    <row r="562" spans="3:5">
      <c r="C562" s="178" t="s">
        <v>149</v>
      </c>
      <c r="D562" s="178" t="s">
        <v>149</v>
      </c>
      <c r="E562" s="178" t="str">
        <f t="shared" si="21"/>
        <v/>
      </c>
    </row>
    <row r="563" spans="3:5">
      <c r="C563" s="178" t="s">
        <v>149</v>
      </c>
      <c r="D563" s="178" t="s">
        <v>149</v>
      </c>
      <c r="E563" s="178" t="str">
        <f t="shared" si="21"/>
        <v/>
      </c>
    </row>
    <row r="564" spans="3:5">
      <c r="C564" s="178" t="s">
        <v>149</v>
      </c>
      <c r="D564" s="178" t="s">
        <v>149</v>
      </c>
      <c r="E564" s="178" t="str">
        <f t="shared" si="21"/>
        <v/>
      </c>
    </row>
    <row r="565" spans="3:5">
      <c r="C565" s="178" t="s">
        <v>149</v>
      </c>
      <c r="D565" s="178" t="s">
        <v>149</v>
      </c>
      <c r="E565" s="178" t="str">
        <f t="shared" si="21"/>
        <v/>
      </c>
    </row>
    <row r="566" spans="3:5">
      <c r="C566" s="178" t="s">
        <v>149</v>
      </c>
      <c r="D566" s="178" t="s">
        <v>149</v>
      </c>
      <c r="E566" s="178" t="str">
        <f t="shared" si="21"/>
        <v/>
      </c>
    </row>
    <row r="567" spans="3:5">
      <c r="C567" s="178" t="s">
        <v>149</v>
      </c>
      <c r="D567" s="178" t="s">
        <v>149</v>
      </c>
      <c r="E567" s="178" t="str">
        <f t="shared" si="21"/>
        <v/>
      </c>
    </row>
    <row r="568" spans="3:5">
      <c r="C568" s="178" t="s">
        <v>149</v>
      </c>
      <c r="D568" s="178" t="s">
        <v>149</v>
      </c>
      <c r="E568" s="178" t="str">
        <f t="shared" si="21"/>
        <v/>
      </c>
    </row>
    <row r="569" spans="3:5">
      <c r="C569" s="178" t="s">
        <v>149</v>
      </c>
      <c r="D569" s="178" t="s">
        <v>149</v>
      </c>
      <c r="E569" s="178" t="str">
        <f t="shared" si="21"/>
        <v/>
      </c>
    </row>
    <row r="570" spans="3:5">
      <c r="C570" s="178" t="s">
        <v>149</v>
      </c>
      <c r="D570" s="178" t="s">
        <v>149</v>
      </c>
      <c r="E570" s="178" t="str">
        <f t="shared" si="21"/>
        <v/>
      </c>
    </row>
    <row r="571" spans="3:5">
      <c r="C571" s="178" t="s">
        <v>149</v>
      </c>
      <c r="D571" s="178" t="s">
        <v>149</v>
      </c>
      <c r="E571" s="178" t="str">
        <f t="shared" si="21"/>
        <v/>
      </c>
    </row>
    <row r="572" spans="3:5">
      <c r="C572" s="178" t="s">
        <v>149</v>
      </c>
      <c r="D572" s="178" t="s">
        <v>149</v>
      </c>
      <c r="E572" s="178" t="str">
        <f t="shared" si="21"/>
        <v/>
      </c>
    </row>
    <row r="573" spans="3:5">
      <c r="C573" s="178" t="s">
        <v>149</v>
      </c>
      <c r="D573" s="178" t="s">
        <v>149</v>
      </c>
      <c r="E573" s="178" t="str">
        <f t="shared" si="21"/>
        <v/>
      </c>
    </row>
    <row r="574" spans="3:5">
      <c r="C574" s="178" t="s">
        <v>149</v>
      </c>
      <c r="D574" s="178" t="s">
        <v>149</v>
      </c>
      <c r="E574" s="178" t="str">
        <f t="shared" si="21"/>
        <v/>
      </c>
    </row>
    <row r="575" spans="3:5">
      <c r="C575" s="178" t="s">
        <v>149</v>
      </c>
      <c r="D575" s="178" t="s">
        <v>149</v>
      </c>
      <c r="E575" s="178" t="str">
        <f t="shared" si="21"/>
        <v/>
      </c>
    </row>
    <row r="576" spans="3:5">
      <c r="C576" s="178" t="s">
        <v>149</v>
      </c>
      <c r="D576" s="178" t="s">
        <v>149</v>
      </c>
      <c r="E576" s="178" t="str">
        <f t="shared" si="21"/>
        <v/>
      </c>
    </row>
    <row r="577" spans="3:5">
      <c r="C577" s="178" t="s">
        <v>149</v>
      </c>
      <c r="D577" s="178" t="s">
        <v>149</v>
      </c>
      <c r="E577" s="178" t="str">
        <f t="shared" si="21"/>
        <v/>
      </c>
    </row>
    <row r="578" spans="3:5">
      <c r="C578" s="178" t="s">
        <v>149</v>
      </c>
      <c r="D578" s="178" t="s">
        <v>149</v>
      </c>
      <c r="E578" s="178" t="str">
        <f t="shared" si="21"/>
        <v/>
      </c>
    </row>
    <row r="579" spans="3:5">
      <c r="C579" s="178" t="s">
        <v>149</v>
      </c>
      <c r="D579" s="178" t="s">
        <v>149</v>
      </c>
      <c r="E579" s="178" t="str">
        <f t="shared" si="21"/>
        <v/>
      </c>
    </row>
    <row r="580" spans="3:5">
      <c r="C580" s="178" t="s">
        <v>149</v>
      </c>
      <c r="D580" s="178" t="s">
        <v>149</v>
      </c>
      <c r="E580" s="178" t="str">
        <f t="shared" ref="E580:E643" si="22">IF(C580&lt;D580,C580,D580)</f>
        <v/>
      </c>
    </row>
    <row r="581" spans="3:5">
      <c r="C581" s="178" t="s">
        <v>149</v>
      </c>
      <c r="D581" s="178" t="s">
        <v>149</v>
      </c>
      <c r="E581" s="178" t="str">
        <f t="shared" si="22"/>
        <v/>
      </c>
    </row>
    <row r="582" spans="3:5">
      <c r="C582" s="178" t="s">
        <v>149</v>
      </c>
      <c r="D582" s="178" t="s">
        <v>149</v>
      </c>
      <c r="E582" s="178" t="str">
        <f t="shared" si="22"/>
        <v/>
      </c>
    </row>
    <row r="583" spans="3:5">
      <c r="C583" s="178" t="s">
        <v>149</v>
      </c>
      <c r="D583" s="178" t="s">
        <v>149</v>
      </c>
      <c r="E583" s="178" t="str">
        <f t="shared" si="22"/>
        <v/>
      </c>
    </row>
    <row r="584" spans="3:5">
      <c r="C584" s="178" t="s">
        <v>149</v>
      </c>
      <c r="D584" s="178" t="s">
        <v>149</v>
      </c>
      <c r="E584" s="178" t="str">
        <f t="shared" si="22"/>
        <v/>
      </c>
    </row>
    <row r="585" spans="3:5">
      <c r="C585" s="178" t="s">
        <v>149</v>
      </c>
      <c r="D585" s="178" t="s">
        <v>149</v>
      </c>
      <c r="E585" s="178" t="str">
        <f t="shared" si="22"/>
        <v/>
      </c>
    </row>
    <row r="586" spans="3:5">
      <c r="C586" s="178" t="s">
        <v>149</v>
      </c>
      <c r="D586" s="178" t="s">
        <v>149</v>
      </c>
      <c r="E586" s="178" t="str">
        <f t="shared" si="22"/>
        <v/>
      </c>
    </row>
    <row r="587" spans="3:5">
      <c r="C587" s="178" t="s">
        <v>149</v>
      </c>
      <c r="D587" s="178" t="s">
        <v>149</v>
      </c>
      <c r="E587" s="178" t="str">
        <f t="shared" si="22"/>
        <v/>
      </c>
    </row>
    <row r="588" spans="3:5">
      <c r="C588" s="178" t="s">
        <v>149</v>
      </c>
      <c r="D588" s="178" t="s">
        <v>149</v>
      </c>
      <c r="E588" s="178" t="str">
        <f t="shared" si="22"/>
        <v/>
      </c>
    </row>
    <row r="589" spans="3:5">
      <c r="C589" s="178" t="s">
        <v>149</v>
      </c>
      <c r="D589" s="178" t="s">
        <v>149</v>
      </c>
      <c r="E589" s="178" t="str">
        <f t="shared" si="22"/>
        <v/>
      </c>
    </row>
    <row r="590" spans="3:5">
      <c r="C590" s="178" t="s">
        <v>149</v>
      </c>
      <c r="D590" s="178" t="s">
        <v>149</v>
      </c>
      <c r="E590" s="178" t="str">
        <f t="shared" si="22"/>
        <v/>
      </c>
    </row>
    <row r="591" spans="3:5">
      <c r="C591" s="178" t="s">
        <v>149</v>
      </c>
      <c r="D591" s="178" t="s">
        <v>149</v>
      </c>
      <c r="E591" s="178" t="str">
        <f t="shared" si="22"/>
        <v/>
      </c>
    </row>
    <row r="592" spans="3:5">
      <c r="C592" s="178" t="s">
        <v>149</v>
      </c>
      <c r="D592" s="178" t="s">
        <v>149</v>
      </c>
      <c r="E592" s="178" t="str">
        <f t="shared" si="22"/>
        <v/>
      </c>
    </row>
    <row r="593" spans="3:5">
      <c r="C593" s="178" t="s">
        <v>149</v>
      </c>
      <c r="D593" s="178" t="s">
        <v>149</v>
      </c>
      <c r="E593" s="178" t="str">
        <f t="shared" si="22"/>
        <v/>
      </c>
    </row>
    <row r="594" spans="3:5">
      <c r="C594" s="178" t="s">
        <v>149</v>
      </c>
      <c r="D594" s="178" t="s">
        <v>149</v>
      </c>
      <c r="E594" s="178" t="str">
        <f t="shared" si="22"/>
        <v/>
      </c>
    </row>
    <row r="595" spans="3:5">
      <c r="C595" s="178" t="s">
        <v>149</v>
      </c>
      <c r="D595" s="178" t="s">
        <v>149</v>
      </c>
      <c r="E595" s="178" t="str">
        <f t="shared" si="22"/>
        <v/>
      </c>
    </row>
    <row r="596" spans="3:5">
      <c r="C596" s="178" t="s">
        <v>149</v>
      </c>
      <c r="D596" s="178" t="s">
        <v>149</v>
      </c>
      <c r="E596" s="178" t="str">
        <f t="shared" si="22"/>
        <v/>
      </c>
    </row>
    <row r="597" spans="3:5">
      <c r="C597" s="178" t="s">
        <v>149</v>
      </c>
      <c r="D597" s="178" t="s">
        <v>149</v>
      </c>
      <c r="E597" s="178" t="str">
        <f t="shared" si="22"/>
        <v/>
      </c>
    </row>
    <row r="598" spans="3:5">
      <c r="C598" s="178" t="s">
        <v>149</v>
      </c>
      <c r="D598" s="178" t="s">
        <v>149</v>
      </c>
      <c r="E598" s="178" t="str">
        <f t="shared" si="22"/>
        <v/>
      </c>
    </row>
    <row r="599" spans="3:5">
      <c r="C599" s="178" t="s">
        <v>149</v>
      </c>
      <c r="D599" s="178" t="s">
        <v>149</v>
      </c>
      <c r="E599" s="178" t="str">
        <f t="shared" si="22"/>
        <v/>
      </c>
    </row>
    <row r="600" spans="3:5">
      <c r="C600" s="178" t="s">
        <v>149</v>
      </c>
      <c r="D600" s="178" t="s">
        <v>149</v>
      </c>
      <c r="E600" s="178" t="str">
        <f t="shared" si="22"/>
        <v/>
      </c>
    </row>
    <row r="601" spans="3:5">
      <c r="C601" s="178" t="s">
        <v>149</v>
      </c>
      <c r="D601" s="178" t="s">
        <v>149</v>
      </c>
      <c r="E601" s="178" t="str">
        <f t="shared" si="22"/>
        <v/>
      </c>
    </row>
    <row r="602" spans="3:5">
      <c r="C602" s="178" t="s">
        <v>149</v>
      </c>
      <c r="D602" s="178" t="s">
        <v>149</v>
      </c>
      <c r="E602" s="178" t="str">
        <f t="shared" si="22"/>
        <v/>
      </c>
    </row>
    <row r="603" spans="3:5">
      <c r="C603" s="178" t="s">
        <v>149</v>
      </c>
      <c r="D603" s="178" t="s">
        <v>149</v>
      </c>
      <c r="E603" s="178" t="str">
        <f t="shared" si="22"/>
        <v/>
      </c>
    </row>
    <row r="604" spans="3:5">
      <c r="C604" s="178" t="s">
        <v>149</v>
      </c>
      <c r="D604" s="178" t="s">
        <v>149</v>
      </c>
      <c r="E604" s="178" t="str">
        <f t="shared" si="22"/>
        <v/>
      </c>
    </row>
    <row r="605" spans="3:5">
      <c r="C605" s="178" t="s">
        <v>149</v>
      </c>
      <c r="D605" s="178" t="s">
        <v>149</v>
      </c>
      <c r="E605" s="178" t="str">
        <f t="shared" si="22"/>
        <v/>
      </c>
    </row>
    <row r="606" spans="3:5">
      <c r="C606" s="178" t="s">
        <v>149</v>
      </c>
      <c r="D606" s="178" t="s">
        <v>149</v>
      </c>
      <c r="E606" s="178" t="str">
        <f t="shared" si="22"/>
        <v/>
      </c>
    </row>
    <row r="607" spans="3:5">
      <c r="C607" s="178" t="s">
        <v>149</v>
      </c>
      <c r="D607" s="178" t="s">
        <v>149</v>
      </c>
      <c r="E607" s="178" t="str">
        <f t="shared" si="22"/>
        <v/>
      </c>
    </row>
    <row r="608" spans="3:5">
      <c r="C608" s="178" t="s">
        <v>149</v>
      </c>
      <c r="D608" s="178" t="s">
        <v>149</v>
      </c>
      <c r="E608" s="178" t="str">
        <f t="shared" si="22"/>
        <v/>
      </c>
    </row>
    <row r="609" spans="3:5">
      <c r="C609" s="178" t="s">
        <v>149</v>
      </c>
      <c r="D609" s="178" t="s">
        <v>149</v>
      </c>
      <c r="E609" s="178" t="str">
        <f t="shared" si="22"/>
        <v/>
      </c>
    </row>
    <row r="610" spans="3:5">
      <c r="C610" s="178" t="s">
        <v>149</v>
      </c>
      <c r="D610" s="178" t="s">
        <v>149</v>
      </c>
      <c r="E610" s="178" t="str">
        <f t="shared" si="22"/>
        <v/>
      </c>
    </row>
    <row r="611" spans="3:5">
      <c r="C611" s="178" t="s">
        <v>149</v>
      </c>
      <c r="D611" s="178" t="s">
        <v>149</v>
      </c>
      <c r="E611" s="178" t="str">
        <f t="shared" si="22"/>
        <v/>
      </c>
    </row>
    <row r="612" spans="3:5">
      <c r="C612" s="178" t="s">
        <v>149</v>
      </c>
      <c r="D612" s="178" t="s">
        <v>149</v>
      </c>
      <c r="E612" s="178" t="str">
        <f t="shared" si="22"/>
        <v/>
      </c>
    </row>
    <row r="613" spans="3:5">
      <c r="C613" s="178" t="s">
        <v>149</v>
      </c>
      <c r="D613" s="178" t="s">
        <v>149</v>
      </c>
      <c r="E613" s="178" t="str">
        <f t="shared" si="22"/>
        <v/>
      </c>
    </row>
    <row r="614" spans="3:5">
      <c r="C614" s="178" t="s">
        <v>149</v>
      </c>
      <c r="D614" s="178" t="s">
        <v>149</v>
      </c>
      <c r="E614" s="178" t="str">
        <f t="shared" si="22"/>
        <v/>
      </c>
    </row>
    <row r="615" spans="3:5">
      <c r="C615" s="178" t="s">
        <v>149</v>
      </c>
      <c r="D615" s="178" t="s">
        <v>149</v>
      </c>
      <c r="E615" s="178" t="str">
        <f t="shared" si="22"/>
        <v/>
      </c>
    </row>
    <row r="616" spans="3:5">
      <c r="C616" s="178" t="s">
        <v>149</v>
      </c>
      <c r="D616" s="178" t="s">
        <v>149</v>
      </c>
      <c r="E616" s="178" t="str">
        <f t="shared" si="22"/>
        <v/>
      </c>
    </row>
    <row r="617" spans="3:5">
      <c r="C617" s="178" t="s">
        <v>149</v>
      </c>
      <c r="D617" s="178" t="s">
        <v>149</v>
      </c>
      <c r="E617" s="178" t="str">
        <f t="shared" si="22"/>
        <v/>
      </c>
    </row>
    <row r="618" spans="3:5">
      <c r="C618" s="178" t="s">
        <v>149</v>
      </c>
      <c r="D618" s="178" t="s">
        <v>149</v>
      </c>
      <c r="E618" s="178" t="str">
        <f t="shared" si="22"/>
        <v/>
      </c>
    </row>
    <row r="619" spans="3:5">
      <c r="C619" s="178" t="s">
        <v>149</v>
      </c>
      <c r="D619" s="178" t="s">
        <v>149</v>
      </c>
      <c r="E619" s="178" t="str">
        <f t="shared" si="22"/>
        <v/>
      </c>
    </row>
    <row r="620" spans="3:5">
      <c r="C620" s="178" t="s">
        <v>149</v>
      </c>
      <c r="D620" s="178" t="s">
        <v>149</v>
      </c>
      <c r="E620" s="178" t="str">
        <f t="shared" si="22"/>
        <v/>
      </c>
    </row>
    <row r="621" spans="3:5">
      <c r="C621" s="178" t="s">
        <v>149</v>
      </c>
      <c r="D621" s="178" t="s">
        <v>149</v>
      </c>
      <c r="E621" s="178" t="str">
        <f t="shared" si="22"/>
        <v/>
      </c>
    </row>
    <row r="622" spans="3:5">
      <c r="C622" s="178" t="s">
        <v>149</v>
      </c>
      <c r="D622" s="178" t="s">
        <v>149</v>
      </c>
      <c r="E622" s="178" t="str">
        <f t="shared" si="22"/>
        <v/>
      </c>
    </row>
    <row r="623" spans="3:5">
      <c r="C623" s="178" t="s">
        <v>149</v>
      </c>
      <c r="D623" s="178" t="s">
        <v>149</v>
      </c>
      <c r="E623" s="178" t="str">
        <f t="shared" si="22"/>
        <v/>
      </c>
    </row>
    <row r="624" spans="3:5">
      <c r="C624" s="178" t="s">
        <v>149</v>
      </c>
      <c r="D624" s="178" t="s">
        <v>149</v>
      </c>
      <c r="E624" s="178" t="str">
        <f t="shared" si="22"/>
        <v/>
      </c>
    </row>
    <row r="625" spans="3:5">
      <c r="C625" s="178" t="s">
        <v>149</v>
      </c>
      <c r="D625" s="178" t="s">
        <v>149</v>
      </c>
      <c r="E625" s="178" t="str">
        <f t="shared" si="22"/>
        <v/>
      </c>
    </row>
    <row r="626" spans="3:5">
      <c r="C626" s="178" t="s">
        <v>149</v>
      </c>
      <c r="D626" s="178" t="s">
        <v>149</v>
      </c>
      <c r="E626" s="178" t="str">
        <f t="shared" si="22"/>
        <v/>
      </c>
    </row>
    <row r="627" spans="3:5">
      <c r="C627" s="178" t="s">
        <v>149</v>
      </c>
      <c r="D627" s="178" t="s">
        <v>149</v>
      </c>
      <c r="E627" s="178" t="str">
        <f t="shared" si="22"/>
        <v/>
      </c>
    </row>
    <row r="628" spans="3:5">
      <c r="C628" s="178" t="s">
        <v>149</v>
      </c>
      <c r="D628" s="178" t="s">
        <v>149</v>
      </c>
      <c r="E628" s="178" t="str">
        <f t="shared" si="22"/>
        <v/>
      </c>
    </row>
    <row r="629" spans="3:5">
      <c r="C629" s="178" t="s">
        <v>149</v>
      </c>
      <c r="D629" s="178" t="s">
        <v>149</v>
      </c>
      <c r="E629" s="178" t="str">
        <f t="shared" si="22"/>
        <v/>
      </c>
    </row>
    <row r="630" spans="3:5">
      <c r="C630" s="178" t="s">
        <v>149</v>
      </c>
      <c r="D630" s="178" t="s">
        <v>149</v>
      </c>
      <c r="E630" s="178" t="str">
        <f t="shared" si="22"/>
        <v/>
      </c>
    </row>
    <row r="631" spans="3:5">
      <c r="C631" s="178" t="s">
        <v>149</v>
      </c>
      <c r="D631" s="178" t="s">
        <v>149</v>
      </c>
      <c r="E631" s="178" t="str">
        <f t="shared" si="22"/>
        <v/>
      </c>
    </row>
    <row r="632" spans="3:5">
      <c r="C632" s="178" t="s">
        <v>149</v>
      </c>
      <c r="D632" s="178" t="s">
        <v>149</v>
      </c>
      <c r="E632" s="178" t="str">
        <f t="shared" si="22"/>
        <v/>
      </c>
    </row>
    <row r="633" spans="3:5">
      <c r="C633" s="178" t="s">
        <v>149</v>
      </c>
      <c r="D633" s="178" t="s">
        <v>149</v>
      </c>
      <c r="E633" s="178" t="str">
        <f t="shared" si="22"/>
        <v/>
      </c>
    </row>
    <row r="634" spans="3:5">
      <c r="C634" s="178" t="s">
        <v>149</v>
      </c>
      <c r="D634" s="178" t="s">
        <v>149</v>
      </c>
      <c r="E634" s="178" t="str">
        <f t="shared" si="22"/>
        <v/>
      </c>
    </row>
    <row r="635" spans="3:5">
      <c r="C635" s="178" t="s">
        <v>149</v>
      </c>
      <c r="D635" s="178" t="s">
        <v>149</v>
      </c>
      <c r="E635" s="178" t="str">
        <f t="shared" si="22"/>
        <v/>
      </c>
    </row>
    <row r="636" spans="3:5">
      <c r="C636" s="178" t="s">
        <v>149</v>
      </c>
      <c r="D636" s="178" t="s">
        <v>149</v>
      </c>
      <c r="E636" s="178" t="str">
        <f t="shared" si="22"/>
        <v/>
      </c>
    </row>
    <row r="637" spans="3:5">
      <c r="C637" s="178" t="s">
        <v>149</v>
      </c>
      <c r="D637" s="178" t="s">
        <v>149</v>
      </c>
      <c r="E637" s="178" t="str">
        <f t="shared" si="22"/>
        <v/>
      </c>
    </row>
    <row r="638" spans="3:5">
      <c r="C638" s="178" t="s">
        <v>149</v>
      </c>
      <c r="D638" s="178" t="s">
        <v>149</v>
      </c>
      <c r="E638" s="178" t="str">
        <f t="shared" si="22"/>
        <v/>
      </c>
    </row>
    <row r="639" spans="3:5">
      <c r="C639" s="178" t="s">
        <v>149</v>
      </c>
      <c r="D639" s="178" t="s">
        <v>149</v>
      </c>
      <c r="E639" s="178" t="str">
        <f t="shared" si="22"/>
        <v/>
      </c>
    </row>
    <row r="640" spans="3:5">
      <c r="C640" s="178" t="s">
        <v>149</v>
      </c>
      <c r="D640" s="178" t="s">
        <v>149</v>
      </c>
      <c r="E640" s="178" t="str">
        <f t="shared" si="22"/>
        <v/>
      </c>
    </row>
    <row r="641" spans="3:5">
      <c r="C641" s="178" t="s">
        <v>149</v>
      </c>
      <c r="D641" s="178" t="s">
        <v>149</v>
      </c>
      <c r="E641" s="178" t="str">
        <f t="shared" si="22"/>
        <v/>
      </c>
    </row>
    <row r="642" spans="3:5">
      <c r="C642" s="178" t="s">
        <v>149</v>
      </c>
      <c r="D642" s="178" t="s">
        <v>149</v>
      </c>
      <c r="E642" s="178" t="str">
        <f t="shared" si="22"/>
        <v/>
      </c>
    </row>
    <row r="643" spans="3:5">
      <c r="C643" s="178" t="s">
        <v>149</v>
      </c>
      <c r="D643" s="178" t="s">
        <v>149</v>
      </c>
      <c r="E643" s="178" t="str">
        <f t="shared" si="22"/>
        <v/>
      </c>
    </row>
    <row r="644" spans="3:5">
      <c r="C644" s="178" t="s">
        <v>149</v>
      </c>
      <c r="D644" s="178" t="s">
        <v>149</v>
      </c>
      <c r="E644" s="178" t="str">
        <f t="shared" ref="E644:E707" si="23">IF(C644&lt;D644,C644,D644)</f>
        <v/>
      </c>
    </row>
    <row r="645" spans="3:5">
      <c r="C645" s="178" t="s">
        <v>149</v>
      </c>
      <c r="D645" s="178" t="s">
        <v>149</v>
      </c>
      <c r="E645" s="178" t="str">
        <f t="shared" si="23"/>
        <v/>
      </c>
    </row>
    <row r="646" spans="3:5">
      <c r="C646" s="178" t="s">
        <v>149</v>
      </c>
      <c r="D646" s="178" t="s">
        <v>149</v>
      </c>
      <c r="E646" s="178" t="str">
        <f t="shared" si="23"/>
        <v/>
      </c>
    </row>
    <row r="647" spans="3:5">
      <c r="C647" s="178" t="s">
        <v>149</v>
      </c>
      <c r="D647" s="178" t="s">
        <v>149</v>
      </c>
      <c r="E647" s="178" t="str">
        <f t="shared" si="23"/>
        <v/>
      </c>
    </row>
    <row r="648" spans="3:5">
      <c r="C648" s="178" t="s">
        <v>149</v>
      </c>
      <c r="D648" s="178" t="s">
        <v>149</v>
      </c>
      <c r="E648" s="178" t="str">
        <f t="shared" si="23"/>
        <v/>
      </c>
    </row>
    <row r="649" spans="3:5">
      <c r="C649" s="178" t="s">
        <v>149</v>
      </c>
      <c r="D649" s="178" t="s">
        <v>149</v>
      </c>
      <c r="E649" s="178" t="str">
        <f t="shared" si="23"/>
        <v/>
      </c>
    </row>
    <row r="650" spans="3:5">
      <c r="C650" s="178" t="s">
        <v>149</v>
      </c>
      <c r="D650" s="178" t="s">
        <v>149</v>
      </c>
      <c r="E650" s="178" t="str">
        <f t="shared" si="23"/>
        <v/>
      </c>
    </row>
    <row r="651" spans="3:5">
      <c r="C651" s="178" t="s">
        <v>149</v>
      </c>
      <c r="D651" s="178" t="s">
        <v>149</v>
      </c>
      <c r="E651" s="178" t="str">
        <f t="shared" si="23"/>
        <v/>
      </c>
    </row>
    <row r="652" spans="3:5">
      <c r="C652" s="178" t="s">
        <v>149</v>
      </c>
      <c r="D652" s="178" t="s">
        <v>149</v>
      </c>
      <c r="E652" s="178" t="str">
        <f t="shared" si="23"/>
        <v/>
      </c>
    </row>
    <row r="653" spans="3:5">
      <c r="C653" s="178" t="s">
        <v>149</v>
      </c>
      <c r="D653" s="178" t="s">
        <v>149</v>
      </c>
      <c r="E653" s="178" t="str">
        <f t="shared" si="23"/>
        <v/>
      </c>
    </row>
    <row r="654" spans="3:5">
      <c r="C654" s="178" t="s">
        <v>149</v>
      </c>
      <c r="D654" s="178" t="s">
        <v>149</v>
      </c>
      <c r="E654" s="178" t="str">
        <f t="shared" si="23"/>
        <v/>
      </c>
    </row>
    <row r="655" spans="3:5">
      <c r="C655" s="178" t="s">
        <v>149</v>
      </c>
      <c r="D655" s="178" t="s">
        <v>149</v>
      </c>
      <c r="E655" s="178" t="str">
        <f t="shared" si="23"/>
        <v/>
      </c>
    </row>
    <row r="656" spans="3:5">
      <c r="C656" s="178" t="s">
        <v>149</v>
      </c>
      <c r="D656" s="178" t="s">
        <v>149</v>
      </c>
      <c r="E656" s="178" t="str">
        <f t="shared" si="23"/>
        <v/>
      </c>
    </row>
    <row r="657" spans="3:5">
      <c r="C657" s="178" t="s">
        <v>149</v>
      </c>
      <c r="D657" s="178" t="s">
        <v>149</v>
      </c>
      <c r="E657" s="178" t="str">
        <f t="shared" si="23"/>
        <v/>
      </c>
    </row>
    <row r="658" spans="3:5">
      <c r="C658" s="178" t="s">
        <v>149</v>
      </c>
      <c r="D658" s="178" t="s">
        <v>149</v>
      </c>
      <c r="E658" s="178" t="str">
        <f t="shared" si="23"/>
        <v/>
      </c>
    </row>
    <row r="659" spans="3:5">
      <c r="C659" s="178" t="s">
        <v>149</v>
      </c>
      <c r="D659" s="178" t="s">
        <v>149</v>
      </c>
      <c r="E659" s="178" t="str">
        <f t="shared" si="23"/>
        <v/>
      </c>
    </row>
    <row r="660" spans="3:5">
      <c r="C660" s="178" t="s">
        <v>149</v>
      </c>
      <c r="D660" s="178" t="s">
        <v>149</v>
      </c>
      <c r="E660" s="178" t="str">
        <f t="shared" si="23"/>
        <v/>
      </c>
    </row>
    <row r="661" spans="3:5">
      <c r="C661" s="178" t="s">
        <v>149</v>
      </c>
      <c r="D661" s="178" t="s">
        <v>149</v>
      </c>
      <c r="E661" s="178" t="str">
        <f t="shared" si="23"/>
        <v/>
      </c>
    </row>
    <row r="662" spans="3:5">
      <c r="C662" s="178" t="s">
        <v>149</v>
      </c>
      <c r="D662" s="178" t="s">
        <v>149</v>
      </c>
      <c r="E662" s="178" t="str">
        <f t="shared" si="23"/>
        <v/>
      </c>
    </row>
    <row r="663" spans="3:5">
      <c r="C663" s="178" t="s">
        <v>149</v>
      </c>
      <c r="D663" s="178" t="s">
        <v>149</v>
      </c>
      <c r="E663" s="178" t="str">
        <f t="shared" si="23"/>
        <v/>
      </c>
    </row>
    <row r="664" spans="3:5">
      <c r="C664" s="178" t="s">
        <v>149</v>
      </c>
      <c r="D664" s="178" t="s">
        <v>149</v>
      </c>
      <c r="E664" s="178" t="str">
        <f t="shared" si="23"/>
        <v/>
      </c>
    </row>
    <row r="665" spans="3:5">
      <c r="C665" s="178" t="s">
        <v>149</v>
      </c>
      <c r="D665" s="178" t="s">
        <v>149</v>
      </c>
      <c r="E665" s="178" t="str">
        <f t="shared" si="23"/>
        <v/>
      </c>
    </row>
    <row r="666" spans="3:5">
      <c r="C666" s="178" t="s">
        <v>149</v>
      </c>
      <c r="D666" s="178" t="s">
        <v>149</v>
      </c>
      <c r="E666" s="178" t="str">
        <f t="shared" si="23"/>
        <v/>
      </c>
    </row>
    <row r="667" spans="3:5">
      <c r="C667" s="178" t="s">
        <v>149</v>
      </c>
      <c r="D667" s="178" t="s">
        <v>149</v>
      </c>
      <c r="E667" s="178" t="str">
        <f t="shared" si="23"/>
        <v/>
      </c>
    </row>
    <row r="668" spans="3:5">
      <c r="C668" s="178" t="s">
        <v>149</v>
      </c>
      <c r="D668" s="178" t="s">
        <v>149</v>
      </c>
      <c r="E668" s="178" t="str">
        <f t="shared" si="23"/>
        <v/>
      </c>
    </row>
    <row r="669" spans="3:5">
      <c r="C669" s="178" t="s">
        <v>149</v>
      </c>
      <c r="D669" s="178" t="s">
        <v>149</v>
      </c>
      <c r="E669" s="178" t="str">
        <f t="shared" si="23"/>
        <v/>
      </c>
    </row>
    <row r="670" spans="3:5">
      <c r="C670" s="178" t="s">
        <v>149</v>
      </c>
      <c r="D670" s="178" t="s">
        <v>149</v>
      </c>
      <c r="E670" s="178" t="str">
        <f t="shared" si="23"/>
        <v/>
      </c>
    </row>
    <row r="671" spans="3:5">
      <c r="C671" s="178" t="s">
        <v>149</v>
      </c>
      <c r="D671" s="178" t="s">
        <v>149</v>
      </c>
      <c r="E671" s="178" t="str">
        <f t="shared" si="23"/>
        <v/>
      </c>
    </row>
    <row r="672" spans="3:5">
      <c r="C672" s="178" t="s">
        <v>149</v>
      </c>
      <c r="D672" s="178" t="s">
        <v>149</v>
      </c>
      <c r="E672" s="178" t="str">
        <f t="shared" si="23"/>
        <v/>
      </c>
    </row>
    <row r="673" spans="3:5">
      <c r="C673" s="178" t="s">
        <v>149</v>
      </c>
      <c r="D673" s="178" t="s">
        <v>149</v>
      </c>
      <c r="E673" s="178" t="str">
        <f t="shared" si="23"/>
        <v/>
      </c>
    </row>
    <row r="674" spans="3:5">
      <c r="C674" s="178" t="s">
        <v>149</v>
      </c>
      <c r="D674" s="178" t="s">
        <v>149</v>
      </c>
      <c r="E674" s="178" t="str">
        <f t="shared" si="23"/>
        <v/>
      </c>
    </row>
    <row r="675" spans="3:5">
      <c r="C675" s="178" t="s">
        <v>149</v>
      </c>
      <c r="D675" s="178" t="s">
        <v>149</v>
      </c>
      <c r="E675" s="178" t="str">
        <f t="shared" si="23"/>
        <v/>
      </c>
    </row>
    <row r="676" spans="3:5">
      <c r="C676" s="178" t="s">
        <v>149</v>
      </c>
      <c r="D676" s="178" t="s">
        <v>149</v>
      </c>
      <c r="E676" s="178" t="str">
        <f t="shared" si="23"/>
        <v/>
      </c>
    </row>
    <row r="677" spans="3:5">
      <c r="C677" s="178" t="s">
        <v>149</v>
      </c>
      <c r="D677" s="178" t="s">
        <v>149</v>
      </c>
      <c r="E677" s="178" t="str">
        <f t="shared" si="23"/>
        <v/>
      </c>
    </row>
    <row r="678" spans="3:5">
      <c r="C678" s="178" t="s">
        <v>149</v>
      </c>
      <c r="D678" s="178" t="s">
        <v>149</v>
      </c>
      <c r="E678" s="178" t="str">
        <f t="shared" si="23"/>
        <v/>
      </c>
    </row>
    <row r="679" spans="3:5">
      <c r="C679" s="178" t="s">
        <v>149</v>
      </c>
      <c r="D679" s="178" t="s">
        <v>149</v>
      </c>
      <c r="E679" s="178" t="str">
        <f t="shared" si="23"/>
        <v/>
      </c>
    </row>
    <row r="680" spans="3:5">
      <c r="C680" s="178" t="s">
        <v>149</v>
      </c>
      <c r="D680" s="178" t="s">
        <v>149</v>
      </c>
      <c r="E680" s="178" t="str">
        <f t="shared" si="23"/>
        <v/>
      </c>
    </row>
    <row r="681" spans="3:5">
      <c r="C681" s="178" t="s">
        <v>149</v>
      </c>
      <c r="D681" s="178" t="s">
        <v>149</v>
      </c>
      <c r="E681" s="178" t="str">
        <f t="shared" si="23"/>
        <v/>
      </c>
    </row>
    <row r="682" spans="3:5">
      <c r="C682" s="178" t="s">
        <v>149</v>
      </c>
      <c r="D682" s="178" t="s">
        <v>149</v>
      </c>
      <c r="E682" s="178" t="str">
        <f t="shared" si="23"/>
        <v/>
      </c>
    </row>
    <row r="683" spans="3:5">
      <c r="C683" s="178" t="s">
        <v>149</v>
      </c>
      <c r="D683" s="178" t="s">
        <v>149</v>
      </c>
      <c r="E683" s="178" t="str">
        <f t="shared" si="23"/>
        <v/>
      </c>
    </row>
    <row r="684" spans="3:5">
      <c r="C684" s="178" t="s">
        <v>149</v>
      </c>
      <c r="D684" s="178" t="s">
        <v>149</v>
      </c>
      <c r="E684" s="178" t="str">
        <f t="shared" si="23"/>
        <v/>
      </c>
    </row>
    <row r="685" spans="3:5">
      <c r="C685" s="178" t="s">
        <v>149</v>
      </c>
      <c r="D685" s="178" t="s">
        <v>149</v>
      </c>
      <c r="E685" s="178" t="str">
        <f t="shared" si="23"/>
        <v/>
      </c>
    </row>
    <row r="686" spans="3:5">
      <c r="C686" s="178" t="s">
        <v>149</v>
      </c>
      <c r="D686" s="178" t="s">
        <v>149</v>
      </c>
      <c r="E686" s="178" t="str">
        <f t="shared" si="23"/>
        <v/>
      </c>
    </row>
    <row r="687" spans="3:5">
      <c r="C687" s="178" t="s">
        <v>149</v>
      </c>
      <c r="D687" s="178" t="s">
        <v>149</v>
      </c>
      <c r="E687" s="178" t="str">
        <f t="shared" si="23"/>
        <v/>
      </c>
    </row>
    <row r="688" spans="3:5">
      <c r="C688" s="178" t="s">
        <v>149</v>
      </c>
      <c r="D688" s="178" t="s">
        <v>149</v>
      </c>
      <c r="E688" s="178" t="str">
        <f t="shared" si="23"/>
        <v/>
      </c>
    </row>
    <row r="689" spans="3:5">
      <c r="C689" s="178" t="s">
        <v>149</v>
      </c>
      <c r="D689" s="178" t="s">
        <v>149</v>
      </c>
      <c r="E689" s="178" t="str">
        <f t="shared" si="23"/>
        <v/>
      </c>
    </row>
    <row r="690" spans="3:5">
      <c r="C690" s="178" t="s">
        <v>149</v>
      </c>
      <c r="D690" s="178" t="s">
        <v>149</v>
      </c>
      <c r="E690" s="178" t="str">
        <f t="shared" si="23"/>
        <v/>
      </c>
    </row>
    <row r="691" spans="3:5">
      <c r="C691" s="178" t="s">
        <v>149</v>
      </c>
      <c r="D691" s="178" t="s">
        <v>149</v>
      </c>
      <c r="E691" s="178" t="str">
        <f t="shared" si="23"/>
        <v/>
      </c>
    </row>
    <row r="692" spans="3:5">
      <c r="C692" s="178" t="s">
        <v>149</v>
      </c>
      <c r="D692" s="178" t="s">
        <v>149</v>
      </c>
      <c r="E692" s="178" t="str">
        <f t="shared" si="23"/>
        <v/>
      </c>
    </row>
    <row r="693" spans="3:5">
      <c r="C693" s="178" t="s">
        <v>149</v>
      </c>
      <c r="D693" s="178" t="s">
        <v>149</v>
      </c>
      <c r="E693" s="178" t="str">
        <f t="shared" si="23"/>
        <v/>
      </c>
    </row>
    <row r="694" spans="3:5">
      <c r="C694" s="178" t="s">
        <v>149</v>
      </c>
      <c r="D694" s="178" t="s">
        <v>149</v>
      </c>
      <c r="E694" s="178" t="str">
        <f t="shared" si="23"/>
        <v/>
      </c>
    </row>
    <row r="695" spans="3:5">
      <c r="C695" s="178" t="s">
        <v>149</v>
      </c>
      <c r="D695" s="178" t="s">
        <v>149</v>
      </c>
      <c r="E695" s="178" t="str">
        <f t="shared" si="23"/>
        <v/>
      </c>
    </row>
    <row r="696" spans="3:5">
      <c r="C696" s="178" t="s">
        <v>149</v>
      </c>
      <c r="D696" s="178" t="s">
        <v>149</v>
      </c>
      <c r="E696" s="178" t="str">
        <f t="shared" si="23"/>
        <v/>
      </c>
    </row>
    <row r="697" spans="3:5">
      <c r="C697" s="178" t="s">
        <v>149</v>
      </c>
      <c r="D697" s="178" t="s">
        <v>149</v>
      </c>
      <c r="E697" s="178" t="str">
        <f t="shared" si="23"/>
        <v/>
      </c>
    </row>
    <row r="698" spans="3:5">
      <c r="C698" s="178" t="s">
        <v>149</v>
      </c>
      <c r="D698" s="178" t="s">
        <v>149</v>
      </c>
      <c r="E698" s="178" t="str">
        <f t="shared" si="23"/>
        <v/>
      </c>
    </row>
    <row r="699" spans="3:5">
      <c r="C699" s="178" t="s">
        <v>149</v>
      </c>
      <c r="D699" s="178" t="s">
        <v>149</v>
      </c>
      <c r="E699" s="178" t="str">
        <f t="shared" si="23"/>
        <v/>
      </c>
    </row>
    <row r="700" spans="3:5">
      <c r="C700" s="178" t="s">
        <v>149</v>
      </c>
      <c r="D700" s="178" t="s">
        <v>149</v>
      </c>
      <c r="E700" s="178" t="str">
        <f t="shared" si="23"/>
        <v/>
      </c>
    </row>
    <row r="701" spans="3:5">
      <c r="C701" s="178" t="s">
        <v>149</v>
      </c>
      <c r="D701" s="178" t="s">
        <v>149</v>
      </c>
      <c r="E701" s="178" t="str">
        <f t="shared" si="23"/>
        <v/>
      </c>
    </row>
    <row r="702" spans="3:5">
      <c r="C702" s="178" t="s">
        <v>149</v>
      </c>
      <c r="D702" s="178" t="s">
        <v>149</v>
      </c>
      <c r="E702" s="178" t="str">
        <f t="shared" si="23"/>
        <v/>
      </c>
    </row>
    <row r="703" spans="3:5">
      <c r="C703" s="178" t="s">
        <v>149</v>
      </c>
      <c r="D703" s="178" t="s">
        <v>149</v>
      </c>
      <c r="E703" s="178" t="str">
        <f t="shared" si="23"/>
        <v/>
      </c>
    </row>
    <row r="704" spans="3:5">
      <c r="C704" s="178" t="s">
        <v>149</v>
      </c>
      <c r="D704" s="178" t="s">
        <v>149</v>
      </c>
      <c r="E704" s="178" t="str">
        <f t="shared" si="23"/>
        <v/>
      </c>
    </row>
    <row r="705" spans="3:5">
      <c r="C705" s="178" t="s">
        <v>149</v>
      </c>
      <c r="D705" s="178" t="s">
        <v>149</v>
      </c>
      <c r="E705" s="178" t="str">
        <f t="shared" si="23"/>
        <v/>
      </c>
    </row>
    <row r="706" spans="3:5">
      <c r="C706" s="178" t="s">
        <v>149</v>
      </c>
      <c r="D706" s="178" t="s">
        <v>149</v>
      </c>
      <c r="E706" s="178" t="str">
        <f t="shared" si="23"/>
        <v/>
      </c>
    </row>
    <row r="707" spans="3:5">
      <c r="C707" s="178" t="s">
        <v>149</v>
      </c>
      <c r="D707" s="178" t="s">
        <v>149</v>
      </c>
      <c r="E707" s="178" t="str">
        <f t="shared" si="23"/>
        <v/>
      </c>
    </row>
    <row r="708" spans="3:5">
      <c r="C708" s="178" t="s">
        <v>149</v>
      </c>
      <c r="D708" s="178" t="s">
        <v>149</v>
      </c>
      <c r="E708" s="178" t="str">
        <f t="shared" ref="E708:E771" si="24">IF(C708&lt;D708,C708,D708)</f>
        <v/>
      </c>
    </row>
    <row r="709" spans="3:5">
      <c r="C709" s="178" t="s">
        <v>149</v>
      </c>
      <c r="D709" s="178" t="s">
        <v>149</v>
      </c>
      <c r="E709" s="178" t="str">
        <f t="shared" si="24"/>
        <v/>
      </c>
    </row>
    <row r="710" spans="3:5">
      <c r="C710" s="178" t="s">
        <v>149</v>
      </c>
      <c r="D710" s="178" t="s">
        <v>149</v>
      </c>
      <c r="E710" s="178" t="str">
        <f t="shared" si="24"/>
        <v/>
      </c>
    </row>
    <row r="711" spans="3:5">
      <c r="C711" s="178" t="s">
        <v>149</v>
      </c>
      <c r="D711" s="178" t="s">
        <v>149</v>
      </c>
      <c r="E711" s="178" t="str">
        <f t="shared" si="24"/>
        <v/>
      </c>
    </row>
    <row r="712" spans="3:5">
      <c r="C712" s="178" t="s">
        <v>149</v>
      </c>
      <c r="D712" s="178" t="s">
        <v>149</v>
      </c>
      <c r="E712" s="178" t="str">
        <f t="shared" si="24"/>
        <v/>
      </c>
    </row>
    <row r="713" spans="3:5">
      <c r="C713" s="178" t="s">
        <v>149</v>
      </c>
      <c r="D713" s="178" t="s">
        <v>149</v>
      </c>
      <c r="E713" s="178" t="str">
        <f t="shared" si="24"/>
        <v/>
      </c>
    </row>
    <row r="714" spans="3:5">
      <c r="C714" s="178" t="s">
        <v>149</v>
      </c>
      <c r="D714" s="178" t="s">
        <v>149</v>
      </c>
      <c r="E714" s="178" t="str">
        <f t="shared" si="24"/>
        <v/>
      </c>
    </row>
    <row r="715" spans="3:5">
      <c r="C715" s="178" t="s">
        <v>149</v>
      </c>
      <c r="D715" s="178" t="s">
        <v>149</v>
      </c>
      <c r="E715" s="178" t="str">
        <f t="shared" si="24"/>
        <v/>
      </c>
    </row>
    <row r="716" spans="3:5">
      <c r="C716" s="178" t="s">
        <v>149</v>
      </c>
      <c r="D716" s="178" t="s">
        <v>149</v>
      </c>
      <c r="E716" s="178" t="str">
        <f t="shared" si="24"/>
        <v/>
      </c>
    </row>
    <row r="717" spans="3:5">
      <c r="C717" s="178" t="s">
        <v>149</v>
      </c>
      <c r="D717" s="178" t="s">
        <v>149</v>
      </c>
      <c r="E717" s="178" t="str">
        <f t="shared" si="24"/>
        <v/>
      </c>
    </row>
    <row r="718" spans="3:5">
      <c r="C718" s="178" t="s">
        <v>149</v>
      </c>
      <c r="D718" s="178" t="s">
        <v>149</v>
      </c>
      <c r="E718" s="178" t="str">
        <f t="shared" si="24"/>
        <v/>
      </c>
    </row>
    <row r="719" spans="3:5">
      <c r="C719" s="178" t="s">
        <v>149</v>
      </c>
      <c r="D719" s="178" t="s">
        <v>149</v>
      </c>
      <c r="E719" s="178" t="str">
        <f t="shared" si="24"/>
        <v/>
      </c>
    </row>
    <row r="720" spans="3:5">
      <c r="C720" s="178" t="s">
        <v>149</v>
      </c>
      <c r="D720" s="178" t="s">
        <v>149</v>
      </c>
      <c r="E720" s="178" t="str">
        <f t="shared" si="24"/>
        <v/>
      </c>
    </row>
    <row r="721" spans="3:5">
      <c r="C721" s="178" t="s">
        <v>149</v>
      </c>
      <c r="D721" s="178" t="s">
        <v>149</v>
      </c>
      <c r="E721" s="178" t="str">
        <f t="shared" si="24"/>
        <v/>
      </c>
    </row>
    <row r="722" spans="3:5">
      <c r="C722" s="178" t="s">
        <v>149</v>
      </c>
      <c r="D722" s="178" t="s">
        <v>149</v>
      </c>
      <c r="E722" s="178" t="str">
        <f t="shared" si="24"/>
        <v/>
      </c>
    </row>
    <row r="723" spans="3:5">
      <c r="C723" s="178" t="s">
        <v>149</v>
      </c>
      <c r="D723" s="178" t="s">
        <v>149</v>
      </c>
      <c r="E723" s="178" t="str">
        <f t="shared" si="24"/>
        <v/>
      </c>
    </row>
    <row r="724" spans="3:5">
      <c r="C724" s="178" t="s">
        <v>149</v>
      </c>
      <c r="D724" s="178" t="s">
        <v>149</v>
      </c>
      <c r="E724" s="178" t="str">
        <f t="shared" si="24"/>
        <v/>
      </c>
    </row>
    <row r="725" spans="3:5">
      <c r="C725" s="178" t="s">
        <v>149</v>
      </c>
      <c r="D725" s="178" t="s">
        <v>149</v>
      </c>
      <c r="E725" s="178" t="str">
        <f t="shared" si="24"/>
        <v/>
      </c>
    </row>
    <row r="726" spans="3:5">
      <c r="C726" s="178" t="s">
        <v>149</v>
      </c>
      <c r="D726" s="178" t="s">
        <v>149</v>
      </c>
      <c r="E726" s="178" t="str">
        <f t="shared" si="24"/>
        <v/>
      </c>
    </row>
    <row r="727" spans="3:5">
      <c r="C727" s="178" t="s">
        <v>149</v>
      </c>
      <c r="D727" s="178" t="s">
        <v>149</v>
      </c>
      <c r="E727" s="178" t="str">
        <f t="shared" si="24"/>
        <v/>
      </c>
    </row>
    <row r="728" spans="3:5">
      <c r="C728" s="178" t="s">
        <v>149</v>
      </c>
      <c r="D728" s="178" t="s">
        <v>149</v>
      </c>
      <c r="E728" s="178" t="str">
        <f t="shared" si="24"/>
        <v/>
      </c>
    </row>
    <row r="729" spans="3:5">
      <c r="C729" s="178" t="s">
        <v>149</v>
      </c>
      <c r="D729" s="178" t="s">
        <v>149</v>
      </c>
      <c r="E729" s="178" t="str">
        <f t="shared" si="24"/>
        <v/>
      </c>
    </row>
    <row r="730" spans="3:5">
      <c r="C730" s="178" t="s">
        <v>149</v>
      </c>
      <c r="D730" s="178" t="s">
        <v>149</v>
      </c>
      <c r="E730" s="178" t="str">
        <f t="shared" si="24"/>
        <v/>
      </c>
    </row>
    <row r="731" spans="3:5">
      <c r="C731" s="178" t="s">
        <v>149</v>
      </c>
      <c r="D731" s="178" t="s">
        <v>149</v>
      </c>
      <c r="E731" s="178" t="str">
        <f t="shared" si="24"/>
        <v/>
      </c>
    </row>
    <row r="732" spans="3:5">
      <c r="C732" s="178" t="s">
        <v>149</v>
      </c>
      <c r="D732" s="178" t="s">
        <v>149</v>
      </c>
      <c r="E732" s="178" t="str">
        <f t="shared" si="24"/>
        <v/>
      </c>
    </row>
    <row r="733" spans="3:5">
      <c r="C733" s="178" t="s">
        <v>149</v>
      </c>
      <c r="D733" s="178" t="s">
        <v>149</v>
      </c>
      <c r="E733" s="178" t="str">
        <f t="shared" si="24"/>
        <v/>
      </c>
    </row>
    <row r="734" spans="3:5">
      <c r="C734" s="178" t="s">
        <v>149</v>
      </c>
      <c r="D734" s="178" t="s">
        <v>149</v>
      </c>
      <c r="E734" s="178" t="str">
        <f t="shared" si="24"/>
        <v/>
      </c>
    </row>
    <row r="735" spans="3:5">
      <c r="C735" s="178" t="s">
        <v>149</v>
      </c>
      <c r="D735" s="178" t="s">
        <v>149</v>
      </c>
      <c r="E735" s="178" t="str">
        <f t="shared" si="24"/>
        <v/>
      </c>
    </row>
    <row r="736" spans="3:5">
      <c r="C736" s="178" t="s">
        <v>149</v>
      </c>
      <c r="D736" s="178" t="s">
        <v>149</v>
      </c>
      <c r="E736" s="178" t="str">
        <f t="shared" si="24"/>
        <v/>
      </c>
    </row>
    <row r="737" spans="3:5">
      <c r="C737" s="178" t="s">
        <v>149</v>
      </c>
      <c r="D737" s="178" t="s">
        <v>149</v>
      </c>
      <c r="E737" s="178" t="str">
        <f t="shared" si="24"/>
        <v/>
      </c>
    </row>
    <row r="738" spans="3:5">
      <c r="C738" s="178" t="s">
        <v>149</v>
      </c>
      <c r="D738" s="178" t="s">
        <v>149</v>
      </c>
      <c r="E738" s="178" t="str">
        <f t="shared" si="24"/>
        <v/>
      </c>
    </row>
    <row r="739" spans="3:5">
      <c r="C739" s="178" t="s">
        <v>149</v>
      </c>
      <c r="D739" s="178" t="s">
        <v>149</v>
      </c>
      <c r="E739" s="178" t="str">
        <f t="shared" si="24"/>
        <v/>
      </c>
    </row>
    <row r="740" spans="3:5">
      <c r="C740" s="178" t="s">
        <v>149</v>
      </c>
      <c r="D740" s="178" t="s">
        <v>149</v>
      </c>
      <c r="E740" s="178" t="str">
        <f t="shared" si="24"/>
        <v/>
      </c>
    </row>
    <row r="741" spans="3:5">
      <c r="C741" s="178" t="s">
        <v>149</v>
      </c>
      <c r="D741" s="178" t="s">
        <v>149</v>
      </c>
      <c r="E741" s="178" t="str">
        <f t="shared" si="24"/>
        <v/>
      </c>
    </row>
    <row r="742" spans="3:5">
      <c r="C742" s="178" t="s">
        <v>149</v>
      </c>
      <c r="D742" s="178" t="s">
        <v>149</v>
      </c>
      <c r="E742" s="178" t="str">
        <f t="shared" si="24"/>
        <v/>
      </c>
    </row>
    <row r="743" spans="3:5">
      <c r="C743" s="178" t="s">
        <v>149</v>
      </c>
      <c r="D743" s="178" t="s">
        <v>149</v>
      </c>
      <c r="E743" s="178" t="str">
        <f t="shared" si="24"/>
        <v/>
      </c>
    </row>
    <row r="744" spans="3:5">
      <c r="C744" s="178" t="s">
        <v>149</v>
      </c>
      <c r="D744" s="178" t="s">
        <v>149</v>
      </c>
      <c r="E744" s="178" t="str">
        <f t="shared" si="24"/>
        <v/>
      </c>
    </row>
    <row r="745" spans="3:5">
      <c r="C745" s="178" t="s">
        <v>149</v>
      </c>
      <c r="D745" s="178" t="s">
        <v>149</v>
      </c>
      <c r="E745" s="178" t="str">
        <f t="shared" si="24"/>
        <v/>
      </c>
    </row>
    <row r="746" spans="3:5">
      <c r="C746" s="178" t="s">
        <v>149</v>
      </c>
      <c r="D746" s="178" t="s">
        <v>149</v>
      </c>
      <c r="E746" s="178" t="str">
        <f t="shared" si="24"/>
        <v/>
      </c>
    </row>
    <row r="747" spans="3:5">
      <c r="C747" s="178" t="s">
        <v>149</v>
      </c>
      <c r="D747" s="178" t="s">
        <v>149</v>
      </c>
      <c r="E747" s="178" t="str">
        <f t="shared" si="24"/>
        <v/>
      </c>
    </row>
    <row r="748" spans="3:5">
      <c r="C748" s="178" t="s">
        <v>149</v>
      </c>
      <c r="D748" s="178" t="s">
        <v>149</v>
      </c>
      <c r="E748" s="178" t="str">
        <f t="shared" si="24"/>
        <v/>
      </c>
    </row>
    <row r="749" spans="3:5">
      <c r="C749" s="178" t="s">
        <v>149</v>
      </c>
      <c r="D749" s="178" t="s">
        <v>149</v>
      </c>
      <c r="E749" s="178" t="str">
        <f t="shared" si="24"/>
        <v/>
      </c>
    </row>
    <row r="750" spans="3:5">
      <c r="C750" s="178" t="s">
        <v>149</v>
      </c>
      <c r="D750" s="178" t="s">
        <v>149</v>
      </c>
      <c r="E750" s="178" t="str">
        <f t="shared" si="24"/>
        <v/>
      </c>
    </row>
    <row r="751" spans="3:5">
      <c r="C751" s="178" t="s">
        <v>149</v>
      </c>
      <c r="D751" s="178" t="s">
        <v>149</v>
      </c>
      <c r="E751" s="178" t="str">
        <f t="shared" si="24"/>
        <v/>
      </c>
    </row>
    <row r="752" spans="3:5">
      <c r="C752" s="178" t="s">
        <v>149</v>
      </c>
      <c r="D752" s="178" t="s">
        <v>149</v>
      </c>
      <c r="E752" s="178" t="str">
        <f t="shared" si="24"/>
        <v/>
      </c>
    </row>
    <row r="753" spans="3:5">
      <c r="C753" s="178" t="s">
        <v>149</v>
      </c>
      <c r="D753" s="178" t="s">
        <v>149</v>
      </c>
      <c r="E753" s="178" t="str">
        <f t="shared" si="24"/>
        <v/>
      </c>
    </row>
    <row r="754" spans="3:5">
      <c r="C754" s="178" t="s">
        <v>149</v>
      </c>
      <c r="D754" s="178" t="s">
        <v>149</v>
      </c>
      <c r="E754" s="178" t="str">
        <f t="shared" si="24"/>
        <v/>
      </c>
    </row>
    <row r="755" spans="3:5">
      <c r="C755" s="178" t="s">
        <v>149</v>
      </c>
      <c r="D755" s="178" t="s">
        <v>149</v>
      </c>
      <c r="E755" s="178" t="str">
        <f t="shared" si="24"/>
        <v/>
      </c>
    </row>
    <row r="756" spans="3:5">
      <c r="C756" s="178" t="s">
        <v>149</v>
      </c>
      <c r="D756" s="178" t="s">
        <v>149</v>
      </c>
      <c r="E756" s="178" t="str">
        <f t="shared" si="24"/>
        <v/>
      </c>
    </row>
    <row r="757" spans="3:5">
      <c r="C757" s="178" t="s">
        <v>149</v>
      </c>
      <c r="D757" s="178" t="s">
        <v>149</v>
      </c>
      <c r="E757" s="178" t="str">
        <f t="shared" si="24"/>
        <v/>
      </c>
    </row>
    <row r="758" spans="3:5">
      <c r="C758" s="178" t="s">
        <v>149</v>
      </c>
      <c r="D758" s="178" t="s">
        <v>149</v>
      </c>
      <c r="E758" s="178" t="str">
        <f t="shared" si="24"/>
        <v/>
      </c>
    </row>
    <row r="759" spans="3:5">
      <c r="C759" s="178" t="s">
        <v>149</v>
      </c>
      <c r="D759" s="178" t="s">
        <v>149</v>
      </c>
      <c r="E759" s="178" t="str">
        <f t="shared" si="24"/>
        <v/>
      </c>
    </row>
    <row r="760" spans="3:5">
      <c r="C760" s="178" t="s">
        <v>149</v>
      </c>
      <c r="D760" s="178" t="s">
        <v>149</v>
      </c>
      <c r="E760" s="178" t="str">
        <f t="shared" si="24"/>
        <v/>
      </c>
    </row>
    <row r="761" spans="3:5">
      <c r="C761" s="178" t="s">
        <v>149</v>
      </c>
      <c r="D761" s="178" t="s">
        <v>149</v>
      </c>
      <c r="E761" s="178" t="str">
        <f t="shared" si="24"/>
        <v/>
      </c>
    </row>
    <row r="762" spans="3:5">
      <c r="C762" s="178" t="s">
        <v>149</v>
      </c>
      <c r="D762" s="178" t="s">
        <v>149</v>
      </c>
      <c r="E762" s="178" t="str">
        <f t="shared" si="24"/>
        <v/>
      </c>
    </row>
    <row r="763" spans="3:5">
      <c r="C763" s="178" t="s">
        <v>149</v>
      </c>
      <c r="D763" s="178" t="s">
        <v>149</v>
      </c>
      <c r="E763" s="178" t="str">
        <f t="shared" si="24"/>
        <v/>
      </c>
    </row>
    <row r="764" spans="3:5">
      <c r="C764" s="178" t="s">
        <v>149</v>
      </c>
      <c r="D764" s="178" t="s">
        <v>149</v>
      </c>
      <c r="E764" s="178" t="str">
        <f t="shared" si="24"/>
        <v/>
      </c>
    </row>
    <row r="765" spans="3:5">
      <c r="C765" s="178" t="s">
        <v>149</v>
      </c>
      <c r="D765" s="178" t="s">
        <v>149</v>
      </c>
      <c r="E765" s="178" t="str">
        <f t="shared" si="24"/>
        <v/>
      </c>
    </row>
    <row r="766" spans="3:5">
      <c r="C766" s="178" t="s">
        <v>149</v>
      </c>
      <c r="D766" s="178" t="s">
        <v>149</v>
      </c>
      <c r="E766" s="178" t="str">
        <f t="shared" si="24"/>
        <v/>
      </c>
    </row>
    <row r="767" spans="3:5">
      <c r="C767" s="178" t="s">
        <v>149</v>
      </c>
      <c r="D767" s="178" t="s">
        <v>149</v>
      </c>
      <c r="E767" s="178" t="str">
        <f t="shared" si="24"/>
        <v/>
      </c>
    </row>
    <row r="768" spans="3:5">
      <c r="C768" s="178" t="s">
        <v>149</v>
      </c>
      <c r="D768" s="178" t="s">
        <v>149</v>
      </c>
      <c r="E768" s="178" t="str">
        <f t="shared" si="24"/>
        <v/>
      </c>
    </row>
    <row r="769" spans="3:5">
      <c r="C769" s="178" t="s">
        <v>149</v>
      </c>
      <c r="D769" s="178" t="s">
        <v>149</v>
      </c>
      <c r="E769" s="178" t="str">
        <f t="shared" si="24"/>
        <v/>
      </c>
    </row>
    <row r="770" spans="3:5">
      <c r="C770" s="178" t="s">
        <v>149</v>
      </c>
      <c r="D770" s="178" t="s">
        <v>149</v>
      </c>
      <c r="E770" s="178" t="str">
        <f t="shared" si="24"/>
        <v/>
      </c>
    </row>
    <row r="771" spans="3:5">
      <c r="C771" s="178" t="s">
        <v>149</v>
      </c>
      <c r="D771" s="178" t="s">
        <v>149</v>
      </c>
      <c r="E771" s="178" t="str">
        <f t="shared" si="24"/>
        <v/>
      </c>
    </row>
    <row r="772" spans="3:5">
      <c r="C772" s="178" t="s">
        <v>149</v>
      </c>
      <c r="D772" s="178" t="s">
        <v>149</v>
      </c>
      <c r="E772" s="178" t="str">
        <f t="shared" ref="E772:E835" si="25">IF(C772&lt;D772,C772,D772)</f>
        <v/>
      </c>
    </row>
    <row r="773" spans="3:5">
      <c r="C773" s="178" t="s">
        <v>149</v>
      </c>
      <c r="D773" s="178" t="s">
        <v>149</v>
      </c>
      <c r="E773" s="178" t="str">
        <f t="shared" si="25"/>
        <v/>
      </c>
    </row>
    <row r="774" spans="3:5">
      <c r="C774" s="178" t="s">
        <v>149</v>
      </c>
      <c r="D774" s="178" t="s">
        <v>149</v>
      </c>
      <c r="E774" s="178" t="str">
        <f t="shared" si="25"/>
        <v/>
      </c>
    </row>
    <row r="775" spans="3:5">
      <c r="C775" s="178" t="s">
        <v>149</v>
      </c>
      <c r="D775" s="178" t="s">
        <v>149</v>
      </c>
      <c r="E775" s="178" t="str">
        <f t="shared" si="25"/>
        <v/>
      </c>
    </row>
    <row r="776" spans="3:5">
      <c r="C776" s="178" t="s">
        <v>149</v>
      </c>
      <c r="D776" s="178" t="s">
        <v>149</v>
      </c>
      <c r="E776" s="178" t="str">
        <f t="shared" si="25"/>
        <v/>
      </c>
    </row>
    <row r="777" spans="3:5">
      <c r="C777" s="178" t="s">
        <v>149</v>
      </c>
      <c r="D777" s="178" t="s">
        <v>149</v>
      </c>
      <c r="E777" s="178" t="str">
        <f t="shared" si="25"/>
        <v/>
      </c>
    </row>
    <row r="778" spans="3:5">
      <c r="C778" s="178" t="s">
        <v>149</v>
      </c>
      <c r="D778" s="178" t="s">
        <v>149</v>
      </c>
      <c r="E778" s="178" t="str">
        <f t="shared" si="25"/>
        <v/>
      </c>
    </row>
    <row r="779" spans="3:5">
      <c r="C779" s="178" t="s">
        <v>149</v>
      </c>
      <c r="D779" s="178" t="s">
        <v>149</v>
      </c>
      <c r="E779" s="178" t="str">
        <f t="shared" si="25"/>
        <v/>
      </c>
    </row>
    <row r="780" spans="3:5">
      <c r="C780" s="178" t="s">
        <v>149</v>
      </c>
      <c r="D780" s="178" t="s">
        <v>149</v>
      </c>
      <c r="E780" s="178" t="str">
        <f t="shared" si="25"/>
        <v/>
      </c>
    </row>
    <row r="781" spans="3:5">
      <c r="C781" s="178" t="s">
        <v>149</v>
      </c>
      <c r="D781" s="178" t="s">
        <v>149</v>
      </c>
      <c r="E781" s="178" t="str">
        <f t="shared" si="25"/>
        <v/>
      </c>
    </row>
    <row r="782" spans="3:5">
      <c r="C782" s="178" t="s">
        <v>149</v>
      </c>
      <c r="D782" s="178" t="s">
        <v>149</v>
      </c>
      <c r="E782" s="178" t="str">
        <f t="shared" si="25"/>
        <v/>
      </c>
    </row>
    <row r="783" spans="3:5">
      <c r="C783" s="178" t="s">
        <v>149</v>
      </c>
      <c r="D783" s="178" t="s">
        <v>149</v>
      </c>
      <c r="E783" s="178" t="str">
        <f t="shared" si="25"/>
        <v/>
      </c>
    </row>
    <row r="784" spans="3:5">
      <c r="C784" s="178" t="s">
        <v>149</v>
      </c>
      <c r="D784" s="178" t="s">
        <v>149</v>
      </c>
      <c r="E784" s="178" t="str">
        <f t="shared" si="25"/>
        <v/>
      </c>
    </row>
    <row r="785" spans="3:5">
      <c r="C785" s="178" t="s">
        <v>149</v>
      </c>
      <c r="D785" s="178" t="s">
        <v>149</v>
      </c>
      <c r="E785" s="178" t="str">
        <f t="shared" si="25"/>
        <v/>
      </c>
    </row>
    <row r="786" spans="3:5">
      <c r="C786" s="178" t="s">
        <v>149</v>
      </c>
      <c r="D786" s="178" t="s">
        <v>149</v>
      </c>
      <c r="E786" s="178" t="str">
        <f t="shared" si="25"/>
        <v/>
      </c>
    </row>
    <row r="787" spans="3:5">
      <c r="C787" s="178" t="s">
        <v>149</v>
      </c>
      <c r="D787" s="178" t="s">
        <v>149</v>
      </c>
      <c r="E787" s="178" t="str">
        <f t="shared" si="25"/>
        <v/>
      </c>
    </row>
    <row r="788" spans="3:5">
      <c r="C788" s="178" t="s">
        <v>149</v>
      </c>
      <c r="D788" s="178" t="s">
        <v>149</v>
      </c>
      <c r="E788" s="178" t="str">
        <f t="shared" si="25"/>
        <v/>
      </c>
    </row>
    <row r="789" spans="3:5">
      <c r="C789" s="178" t="s">
        <v>149</v>
      </c>
      <c r="D789" s="178" t="s">
        <v>149</v>
      </c>
      <c r="E789" s="178" t="str">
        <f t="shared" si="25"/>
        <v/>
      </c>
    </row>
    <row r="790" spans="3:5">
      <c r="C790" s="178" t="s">
        <v>149</v>
      </c>
      <c r="D790" s="178" t="s">
        <v>149</v>
      </c>
      <c r="E790" s="178" t="str">
        <f t="shared" si="25"/>
        <v/>
      </c>
    </row>
    <row r="791" spans="3:5">
      <c r="C791" s="178" t="s">
        <v>149</v>
      </c>
      <c r="D791" s="178" t="s">
        <v>149</v>
      </c>
      <c r="E791" s="178" t="str">
        <f t="shared" si="25"/>
        <v/>
      </c>
    </row>
    <row r="792" spans="3:5">
      <c r="C792" s="178" t="s">
        <v>149</v>
      </c>
      <c r="D792" s="178" t="s">
        <v>149</v>
      </c>
      <c r="E792" s="178" t="str">
        <f t="shared" si="25"/>
        <v/>
      </c>
    </row>
    <row r="793" spans="3:5">
      <c r="C793" s="178" t="s">
        <v>149</v>
      </c>
      <c r="D793" s="178" t="s">
        <v>149</v>
      </c>
      <c r="E793" s="178" t="str">
        <f t="shared" si="25"/>
        <v/>
      </c>
    </row>
    <row r="794" spans="3:5">
      <c r="C794" s="178" t="s">
        <v>149</v>
      </c>
      <c r="D794" s="178" t="s">
        <v>149</v>
      </c>
      <c r="E794" s="178" t="str">
        <f t="shared" si="25"/>
        <v/>
      </c>
    </row>
    <row r="795" spans="3:5">
      <c r="C795" s="178" t="s">
        <v>149</v>
      </c>
      <c r="D795" s="178" t="s">
        <v>149</v>
      </c>
      <c r="E795" s="178" t="str">
        <f t="shared" si="25"/>
        <v/>
      </c>
    </row>
    <row r="796" spans="3:5">
      <c r="C796" s="178" t="s">
        <v>149</v>
      </c>
      <c r="D796" s="178" t="s">
        <v>149</v>
      </c>
      <c r="E796" s="178" t="str">
        <f t="shared" si="25"/>
        <v/>
      </c>
    </row>
    <row r="797" spans="3:5">
      <c r="C797" s="178" t="s">
        <v>149</v>
      </c>
      <c r="D797" s="178" t="s">
        <v>149</v>
      </c>
      <c r="E797" s="178" t="str">
        <f t="shared" si="25"/>
        <v/>
      </c>
    </row>
    <row r="798" spans="3:5">
      <c r="C798" s="178" t="s">
        <v>149</v>
      </c>
      <c r="D798" s="178" t="s">
        <v>149</v>
      </c>
      <c r="E798" s="178" t="str">
        <f t="shared" si="25"/>
        <v/>
      </c>
    </row>
    <row r="799" spans="3:5">
      <c r="C799" s="178" t="s">
        <v>149</v>
      </c>
      <c r="D799" s="178" t="s">
        <v>149</v>
      </c>
      <c r="E799" s="178" t="str">
        <f t="shared" si="25"/>
        <v/>
      </c>
    </row>
    <row r="800" spans="3:5">
      <c r="C800" s="178" t="s">
        <v>149</v>
      </c>
      <c r="D800" s="178" t="s">
        <v>149</v>
      </c>
      <c r="E800" s="178" t="str">
        <f t="shared" si="25"/>
        <v/>
      </c>
    </row>
    <row r="801" spans="3:5">
      <c r="C801" s="178" t="s">
        <v>149</v>
      </c>
      <c r="D801" s="178" t="s">
        <v>149</v>
      </c>
      <c r="E801" s="178" t="str">
        <f t="shared" si="25"/>
        <v/>
      </c>
    </row>
    <row r="802" spans="3:5">
      <c r="C802" s="178" t="s">
        <v>149</v>
      </c>
      <c r="D802" s="178" t="s">
        <v>149</v>
      </c>
      <c r="E802" s="178" t="str">
        <f t="shared" si="25"/>
        <v/>
      </c>
    </row>
    <row r="803" spans="3:5">
      <c r="C803" s="178" t="s">
        <v>149</v>
      </c>
      <c r="D803" s="178" t="s">
        <v>149</v>
      </c>
      <c r="E803" s="178" t="str">
        <f t="shared" si="25"/>
        <v/>
      </c>
    </row>
    <row r="804" spans="3:5">
      <c r="C804" s="178" t="s">
        <v>149</v>
      </c>
      <c r="D804" s="178" t="s">
        <v>149</v>
      </c>
      <c r="E804" s="178" t="str">
        <f t="shared" si="25"/>
        <v/>
      </c>
    </row>
    <row r="805" spans="3:5">
      <c r="C805" s="178" t="s">
        <v>149</v>
      </c>
      <c r="D805" s="178" t="s">
        <v>149</v>
      </c>
      <c r="E805" s="178" t="str">
        <f t="shared" si="25"/>
        <v/>
      </c>
    </row>
    <row r="806" spans="3:5">
      <c r="C806" s="178" t="s">
        <v>149</v>
      </c>
      <c r="D806" s="178" t="s">
        <v>149</v>
      </c>
      <c r="E806" s="178" t="str">
        <f t="shared" si="25"/>
        <v/>
      </c>
    </row>
    <row r="807" spans="3:5">
      <c r="C807" s="178" t="s">
        <v>149</v>
      </c>
      <c r="D807" s="178" t="s">
        <v>149</v>
      </c>
      <c r="E807" s="178" t="str">
        <f t="shared" si="25"/>
        <v/>
      </c>
    </row>
    <row r="808" spans="3:5">
      <c r="C808" s="178" t="s">
        <v>149</v>
      </c>
      <c r="D808" s="178" t="s">
        <v>149</v>
      </c>
      <c r="E808" s="178" t="str">
        <f t="shared" si="25"/>
        <v/>
      </c>
    </row>
    <row r="809" spans="3:5">
      <c r="C809" s="178" t="s">
        <v>149</v>
      </c>
      <c r="D809" s="178" t="s">
        <v>149</v>
      </c>
      <c r="E809" s="178" t="str">
        <f t="shared" si="25"/>
        <v/>
      </c>
    </row>
    <row r="810" spans="3:5">
      <c r="C810" s="178" t="s">
        <v>149</v>
      </c>
      <c r="D810" s="178" t="s">
        <v>149</v>
      </c>
      <c r="E810" s="178" t="str">
        <f t="shared" si="25"/>
        <v/>
      </c>
    </row>
    <row r="811" spans="3:5">
      <c r="C811" s="178" t="s">
        <v>149</v>
      </c>
      <c r="D811" s="178" t="s">
        <v>149</v>
      </c>
      <c r="E811" s="178" t="str">
        <f t="shared" si="25"/>
        <v/>
      </c>
    </row>
    <row r="812" spans="3:5">
      <c r="C812" s="178" t="s">
        <v>149</v>
      </c>
      <c r="D812" s="178" t="s">
        <v>149</v>
      </c>
      <c r="E812" s="178" t="str">
        <f t="shared" si="25"/>
        <v/>
      </c>
    </row>
    <row r="813" spans="3:5">
      <c r="C813" s="178" t="s">
        <v>149</v>
      </c>
      <c r="D813" s="178" t="s">
        <v>149</v>
      </c>
      <c r="E813" s="178" t="str">
        <f t="shared" si="25"/>
        <v/>
      </c>
    </row>
    <row r="814" spans="3:5">
      <c r="C814" s="178" t="s">
        <v>149</v>
      </c>
      <c r="D814" s="178" t="s">
        <v>149</v>
      </c>
      <c r="E814" s="178" t="str">
        <f t="shared" si="25"/>
        <v/>
      </c>
    </row>
    <row r="815" spans="3:5">
      <c r="C815" s="178" t="s">
        <v>149</v>
      </c>
      <c r="D815" s="178" t="s">
        <v>149</v>
      </c>
      <c r="E815" s="178" t="str">
        <f t="shared" si="25"/>
        <v/>
      </c>
    </row>
    <row r="816" spans="3:5">
      <c r="C816" s="178" t="s">
        <v>149</v>
      </c>
      <c r="D816" s="178" t="s">
        <v>149</v>
      </c>
      <c r="E816" s="178" t="str">
        <f t="shared" si="25"/>
        <v/>
      </c>
    </row>
    <row r="817" spans="3:5">
      <c r="C817" s="178" t="s">
        <v>149</v>
      </c>
      <c r="D817" s="178" t="s">
        <v>149</v>
      </c>
      <c r="E817" s="178" t="str">
        <f t="shared" si="25"/>
        <v/>
      </c>
    </row>
    <row r="818" spans="3:5">
      <c r="C818" s="178" t="s">
        <v>149</v>
      </c>
      <c r="D818" s="178" t="s">
        <v>149</v>
      </c>
      <c r="E818" s="178" t="str">
        <f t="shared" si="25"/>
        <v/>
      </c>
    </row>
    <row r="819" spans="3:5">
      <c r="C819" s="178" t="s">
        <v>149</v>
      </c>
      <c r="D819" s="178" t="s">
        <v>149</v>
      </c>
      <c r="E819" s="178" t="str">
        <f t="shared" si="25"/>
        <v/>
      </c>
    </row>
    <row r="820" spans="3:5">
      <c r="C820" s="178" t="s">
        <v>149</v>
      </c>
      <c r="D820" s="178" t="s">
        <v>149</v>
      </c>
      <c r="E820" s="178" t="str">
        <f t="shared" si="25"/>
        <v/>
      </c>
    </row>
    <row r="821" spans="3:5">
      <c r="C821" s="178" t="s">
        <v>149</v>
      </c>
      <c r="D821" s="178" t="s">
        <v>149</v>
      </c>
      <c r="E821" s="178" t="str">
        <f t="shared" si="25"/>
        <v/>
      </c>
    </row>
    <row r="822" spans="3:5">
      <c r="C822" s="178" t="s">
        <v>149</v>
      </c>
      <c r="D822" s="178" t="s">
        <v>149</v>
      </c>
      <c r="E822" s="178" t="str">
        <f t="shared" si="25"/>
        <v/>
      </c>
    </row>
    <row r="823" spans="3:5">
      <c r="C823" s="178" t="s">
        <v>149</v>
      </c>
      <c r="D823" s="178" t="s">
        <v>149</v>
      </c>
      <c r="E823" s="178" t="str">
        <f t="shared" si="25"/>
        <v/>
      </c>
    </row>
    <row r="824" spans="3:5">
      <c r="C824" s="178" t="s">
        <v>149</v>
      </c>
      <c r="D824" s="178" t="s">
        <v>149</v>
      </c>
      <c r="E824" s="178" t="str">
        <f t="shared" si="25"/>
        <v/>
      </c>
    </row>
    <row r="825" spans="3:5">
      <c r="C825" s="178" t="s">
        <v>149</v>
      </c>
      <c r="D825" s="178" t="s">
        <v>149</v>
      </c>
      <c r="E825" s="178" t="str">
        <f t="shared" si="25"/>
        <v/>
      </c>
    </row>
    <row r="826" spans="3:5">
      <c r="C826" s="178" t="s">
        <v>149</v>
      </c>
      <c r="D826" s="178" t="s">
        <v>149</v>
      </c>
      <c r="E826" s="178" t="str">
        <f t="shared" si="25"/>
        <v/>
      </c>
    </row>
    <row r="827" spans="3:5">
      <c r="C827" s="178" t="s">
        <v>149</v>
      </c>
      <c r="D827" s="178" t="s">
        <v>149</v>
      </c>
      <c r="E827" s="178" t="str">
        <f t="shared" si="25"/>
        <v/>
      </c>
    </row>
    <row r="828" spans="3:5">
      <c r="C828" s="178" t="s">
        <v>149</v>
      </c>
      <c r="D828" s="178" t="s">
        <v>149</v>
      </c>
      <c r="E828" s="178" t="str">
        <f t="shared" si="25"/>
        <v/>
      </c>
    </row>
    <row r="829" spans="3:5">
      <c r="C829" s="178" t="s">
        <v>149</v>
      </c>
      <c r="D829" s="178" t="s">
        <v>149</v>
      </c>
      <c r="E829" s="178" t="str">
        <f t="shared" si="25"/>
        <v/>
      </c>
    </row>
    <row r="830" spans="3:5">
      <c r="C830" s="178" t="s">
        <v>149</v>
      </c>
      <c r="D830" s="178" t="s">
        <v>149</v>
      </c>
      <c r="E830" s="178" t="str">
        <f t="shared" si="25"/>
        <v/>
      </c>
    </row>
    <row r="831" spans="3:5">
      <c r="C831" s="178" t="s">
        <v>149</v>
      </c>
      <c r="D831" s="178" t="s">
        <v>149</v>
      </c>
      <c r="E831" s="178" t="str">
        <f t="shared" si="25"/>
        <v/>
      </c>
    </row>
    <row r="832" spans="3:5">
      <c r="C832" s="178" t="s">
        <v>149</v>
      </c>
      <c r="D832" s="178" t="s">
        <v>149</v>
      </c>
      <c r="E832" s="178" t="str">
        <f t="shared" si="25"/>
        <v/>
      </c>
    </row>
    <row r="833" spans="3:5">
      <c r="C833" s="178" t="s">
        <v>149</v>
      </c>
      <c r="D833" s="178" t="s">
        <v>149</v>
      </c>
      <c r="E833" s="178" t="str">
        <f t="shared" si="25"/>
        <v/>
      </c>
    </row>
    <row r="834" spans="3:5">
      <c r="C834" s="178" t="s">
        <v>149</v>
      </c>
      <c r="D834" s="178" t="s">
        <v>149</v>
      </c>
      <c r="E834" s="178" t="str">
        <f t="shared" si="25"/>
        <v/>
      </c>
    </row>
    <row r="835" spans="3:5">
      <c r="C835" s="178" t="s">
        <v>149</v>
      </c>
      <c r="D835" s="178" t="s">
        <v>149</v>
      </c>
      <c r="E835" s="178" t="str">
        <f t="shared" si="25"/>
        <v/>
      </c>
    </row>
    <row r="836" spans="3:5">
      <c r="C836" s="178" t="s">
        <v>149</v>
      </c>
      <c r="D836" s="178" t="s">
        <v>149</v>
      </c>
      <c r="E836" s="178" t="str">
        <f t="shared" ref="E836:E899" si="26">IF(C836&lt;D836,C836,D836)</f>
        <v/>
      </c>
    </row>
    <row r="837" spans="3:5">
      <c r="C837" s="178" t="s">
        <v>149</v>
      </c>
      <c r="D837" s="178" t="s">
        <v>149</v>
      </c>
      <c r="E837" s="178" t="str">
        <f t="shared" si="26"/>
        <v/>
      </c>
    </row>
    <row r="838" spans="3:5">
      <c r="C838" s="178" t="s">
        <v>149</v>
      </c>
      <c r="D838" s="178" t="s">
        <v>149</v>
      </c>
      <c r="E838" s="178" t="str">
        <f t="shared" si="26"/>
        <v/>
      </c>
    </row>
    <row r="839" spans="3:5">
      <c r="C839" s="178" t="s">
        <v>149</v>
      </c>
      <c r="D839" s="178" t="s">
        <v>149</v>
      </c>
      <c r="E839" s="178" t="str">
        <f t="shared" si="26"/>
        <v/>
      </c>
    </row>
    <row r="840" spans="3:5">
      <c r="C840" s="178" t="s">
        <v>149</v>
      </c>
      <c r="D840" s="178" t="s">
        <v>149</v>
      </c>
      <c r="E840" s="178" t="str">
        <f t="shared" si="26"/>
        <v/>
      </c>
    </row>
    <row r="841" spans="3:5">
      <c r="C841" s="178" t="s">
        <v>149</v>
      </c>
      <c r="D841" s="178" t="s">
        <v>149</v>
      </c>
      <c r="E841" s="178" t="str">
        <f t="shared" si="26"/>
        <v/>
      </c>
    </row>
    <row r="842" spans="3:5">
      <c r="C842" s="178" t="s">
        <v>149</v>
      </c>
      <c r="D842" s="178" t="s">
        <v>149</v>
      </c>
      <c r="E842" s="178" t="str">
        <f t="shared" si="26"/>
        <v/>
      </c>
    </row>
    <row r="843" spans="3:5">
      <c r="C843" s="178" t="s">
        <v>149</v>
      </c>
      <c r="D843" s="178" t="s">
        <v>149</v>
      </c>
      <c r="E843" s="178" t="str">
        <f t="shared" si="26"/>
        <v/>
      </c>
    </row>
    <row r="844" spans="3:5">
      <c r="C844" s="178" t="s">
        <v>149</v>
      </c>
      <c r="D844" s="178" t="s">
        <v>149</v>
      </c>
      <c r="E844" s="178" t="str">
        <f t="shared" si="26"/>
        <v/>
      </c>
    </row>
    <row r="845" spans="3:5">
      <c r="C845" s="178" t="s">
        <v>149</v>
      </c>
      <c r="D845" s="178" t="s">
        <v>149</v>
      </c>
      <c r="E845" s="178" t="str">
        <f t="shared" si="26"/>
        <v/>
      </c>
    </row>
    <row r="846" spans="3:5">
      <c r="C846" s="178" t="s">
        <v>149</v>
      </c>
      <c r="D846" s="178" t="s">
        <v>149</v>
      </c>
      <c r="E846" s="178" t="str">
        <f t="shared" si="26"/>
        <v/>
      </c>
    </row>
    <row r="847" spans="3:5">
      <c r="C847" s="178" t="s">
        <v>149</v>
      </c>
      <c r="D847" s="178" t="s">
        <v>149</v>
      </c>
      <c r="E847" s="178" t="str">
        <f t="shared" si="26"/>
        <v/>
      </c>
    </row>
    <row r="848" spans="3:5">
      <c r="C848" s="178" t="s">
        <v>149</v>
      </c>
      <c r="D848" s="178" t="s">
        <v>149</v>
      </c>
      <c r="E848" s="178" t="str">
        <f t="shared" si="26"/>
        <v/>
      </c>
    </row>
    <row r="849" spans="3:5">
      <c r="C849" s="178" t="s">
        <v>149</v>
      </c>
      <c r="D849" s="178" t="s">
        <v>149</v>
      </c>
      <c r="E849" s="178" t="str">
        <f t="shared" si="26"/>
        <v/>
      </c>
    </row>
    <row r="850" spans="3:5">
      <c r="C850" s="178" t="s">
        <v>149</v>
      </c>
      <c r="D850" s="178" t="s">
        <v>149</v>
      </c>
      <c r="E850" s="178" t="str">
        <f t="shared" si="26"/>
        <v/>
      </c>
    </row>
    <row r="851" spans="3:5">
      <c r="C851" s="178" t="s">
        <v>149</v>
      </c>
      <c r="D851" s="178" t="s">
        <v>149</v>
      </c>
      <c r="E851" s="178" t="str">
        <f t="shared" si="26"/>
        <v/>
      </c>
    </row>
    <row r="852" spans="3:5">
      <c r="C852" s="178" t="s">
        <v>149</v>
      </c>
      <c r="D852" s="178" t="s">
        <v>149</v>
      </c>
      <c r="E852" s="178" t="str">
        <f t="shared" si="26"/>
        <v/>
      </c>
    </row>
    <row r="853" spans="3:5">
      <c r="C853" s="178" t="s">
        <v>149</v>
      </c>
      <c r="D853" s="178" t="s">
        <v>149</v>
      </c>
      <c r="E853" s="178" t="str">
        <f t="shared" si="26"/>
        <v/>
      </c>
    </row>
    <row r="854" spans="3:5">
      <c r="C854" s="178" t="s">
        <v>149</v>
      </c>
      <c r="D854" s="178" t="s">
        <v>149</v>
      </c>
      <c r="E854" s="178" t="str">
        <f t="shared" si="26"/>
        <v/>
      </c>
    </row>
    <row r="855" spans="3:5">
      <c r="C855" s="178" t="s">
        <v>149</v>
      </c>
      <c r="D855" s="178" t="s">
        <v>149</v>
      </c>
      <c r="E855" s="178" t="str">
        <f t="shared" si="26"/>
        <v/>
      </c>
    </row>
    <row r="856" spans="3:5">
      <c r="C856" s="178" t="s">
        <v>149</v>
      </c>
      <c r="D856" s="178" t="s">
        <v>149</v>
      </c>
      <c r="E856" s="178" t="str">
        <f t="shared" si="26"/>
        <v/>
      </c>
    </row>
    <row r="857" spans="3:5">
      <c r="C857" s="178" t="s">
        <v>149</v>
      </c>
      <c r="D857" s="178" t="s">
        <v>149</v>
      </c>
      <c r="E857" s="178" t="str">
        <f t="shared" si="26"/>
        <v/>
      </c>
    </row>
    <row r="858" spans="3:5">
      <c r="C858" s="178" t="s">
        <v>149</v>
      </c>
      <c r="D858" s="178" t="s">
        <v>149</v>
      </c>
      <c r="E858" s="178" t="str">
        <f t="shared" si="26"/>
        <v/>
      </c>
    </row>
    <row r="859" spans="3:5">
      <c r="C859" s="178" t="s">
        <v>149</v>
      </c>
      <c r="D859" s="178" t="s">
        <v>149</v>
      </c>
      <c r="E859" s="178" t="str">
        <f t="shared" si="26"/>
        <v/>
      </c>
    </row>
    <row r="860" spans="3:5">
      <c r="C860" s="178" t="s">
        <v>149</v>
      </c>
      <c r="D860" s="178" t="s">
        <v>149</v>
      </c>
      <c r="E860" s="178" t="str">
        <f t="shared" si="26"/>
        <v/>
      </c>
    </row>
    <row r="861" spans="3:5">
      <c r="C861" s="178" t="s">
        <v>149</v>
      </c>
      <c r="D861" s="178" t="s">
        <v>149</v>
      </c>
      <c r="E861" s="178" t="str">
        <f t="shared" si="26"/>
        <v/>
      </c>
    </row>
    <row r="862" spans="3:5">
      <c r="C862" s="178" t="s">
        <v>149</v>
      </c>
      <c r="D862" s="178" t="s">
        <v>149</v>
      </c>
      <c r="E862" s="178" t="str">
        <f t="shared" si="26"/>
        <v/>
      </c>
    </row>
    <row r="863" spans="3:5">
      <c r="C863" s="178" t="s">
        <v>149</v>
      </c>
      <c r="D863" s="178" t="s">
        <v>149</v>
      </c>
      <c r="E863" s="178" t="str">
        <f t="shared" si="26"/>
        <v/>
      </c>
    </row>
    <row r="864" spans="3:5">
      <c r="C864" s="178" t="s">
        <v>149</v>
      </c>
      <c r="D864" s="178" t="s">
        <v>149</v>
      </c>
      <c r="E864" s="178" t="str">
        <f t="shared" si="26"/>
        <v/>
      </c>
    </row>
    <row r="865" spans="3:5">
      <c r="C865" s="178" t="s">
        <v>149</v>
      </c>
      <c r="D865" s="178" t="s">
        <v>149</v>
      </c>
      <c r="E865" s="178" t="str">
        <f t="shared" si="26"/>
        <v/>
      </c>
    </row>
    <row r="866" spans="3:5">
      <c r="C866" s="178" t="s">
        <v>149</v>
      </c>
      <c r="D866" s="178" t="s">
        <v>149</v>
      </c>
      <c r="E866" s="178" t="str">
        <f t="shared" si="26"/>
        <v/>
      </c>
    </row>
    <row r="867" spans="3:5">
      <c r="C867" s="178" t="s">
        <v>149</v>
      </c>
      <c r="D867" s="178" t="s">
        <v>149</v>
      </c>
      <c r="E867" s="178" t="str">
        <f t="shared" si="26"/>
        <v/>
      </c>
    </row>
    <row r="868" spans="3:5">
      <c r="C868" s="178" t="s">
        <v>149</v>
      </c>
      <c r="D868" s="178" t="s">
        <v>149</v>
      </c>
      <c r="E868" s="178" t="str">
        <f t="shared" si="26"/>
        <v/>
      </c>
    </row>
    <row r="869" spans="3:5">
      <c r="C869" s="178" t="s">
        <v>149</v>
      </c>
      <c r="D869" s="178" t="s">
        <v>149</v>
      </c>
      <c r="E869" s="178" t="str">
        <f t="shared" si="26"/>
        <v/>
      </c>
    </row>
    <row r="870" spans="3:5">
      <c r="C870" s="178" t="s">
        <v>149</v>
      </c>
      <c r="D870" s="178" t="s">
        <v>149</v>
      </c>
      <c r="E870" s="178" t="str">
        <f t="shared" si="26"/>
        <v/>
      </c>
    </row>
    <row r="871" spans="3:5">
      <c r="C871" s="178" t="s">
        <v>149</v>
      </c>
      <c r="D871" s="178" t="s">
        <v>149</v>
      </c>
      <c r="E871" s="178" t="str">
        <f t="shared" si="26"/>
        <v/>
      </c>
    </row>
    <row r="872" spans="3:5">
      <c r="C872" s="178" t="s">
        <v>149</v>
      </c>
      <c r="D872" s="178" t="s">
        <v>149</v>
      </c>
      <c r="E872" s="178" t="str">
        <f t="shared" si="26"/>
        <v/>
      </c>
    </row>
    <row r="873" spans="3:5">
      <c r="C873" s="178" t="s">
        <v>149</v>
      </c>
      <c r="D873" s="178" t="s">
        <v>149</v>
      </c>
      <c r="E873" s="178" t="str">
        <f t="shared" si="26"/>
        <v/>
      </c>
    </row>
    <row r="874" spans="3:5">
      <c r="C874" s="178" t="s">
        <v>149</v>
      </c>
      <c r="D874" s="178" t="s">
        <v>149</v>
      </c>
      <c r="E874" s="178" t="str">
        <f t="shared" si="26"/>
        <v/>
      </c>
    </row>
    <row r="875" spans="3:5">
      <c r="C875" s="178" t="s">
        <v>149</v>
      </c>
      <c r="D875" s="178" t="s">
        <v>149</v>
      </c>
      <c r="E875" s="178" t="str">
        <f t="shared" si="26"/>
        <v/>
      </c>
    </row>
    <row r="876" spans="3:5">
      <c r="C876" s="178" t="s">
        <v>149</v>
      </c>
      <c r="D876" s="178" t="s">
        <v>149</v>
      </c>
      <c r="E876" s="178" t="str">
        <f t="shared" si="26"/>
        <v/>
      </c>
    </row>
    <row r="877" spans="3:5">
      <c r="C877" s="178" t="s">
        <v>149</v>
      </c>
      <c r="D877" s="178" t="s">
        <v>149</v>
      </c>
      <c r="E877" s="178" t="str">
        <f t="shared" si="26"/>
        <v/>
      </c>
    </row>
    <row r="878" spans="3:5">
      <c r="C878" s="178" t="s">
        <v>149</v>
      </c>
      <c r="D878" s="178" t="s">
        <v>149</v>
      </c>
      <c r="E878" s="178" t="str">
        <f t="shared" si="26"/>
        <v/>
      </c>
    </row>
    <row r="879" spans="3:5">
      <c r="C879" s="178" t="s">
        <v>149</v>
      </c>
      <c r="D879" s="178" t="s">
        <v>149</v>
      </c>
      <c r="E879" s="178" t="str">
        <f t="shared" si="26"/>
        <v/>
      </c>
    </row>
    <row r="880" spans="3:5">
      <c r="C880" s="178" t="s">
        <v>149</v>
      </c>
      <c r="D880" s="178" t="s">
        <v>149</v>
      </c>
      <c r="E880" s="178" t="str">
        <f t="shared" si="26"/>
        <v/>
      </c>
    </row>
    <row r="881" spans="3:5">
      <c r="C881" s="178" t="s">
        <v>149</v>
      </c>
      <c r="D881" s="178" t="s">
        <v>149</v>
      </c>
      <c r="E881" s="178" t="str">
        <f t="shared" si="26"/>
        <v/>
      </c>
    </row>
    <row r="882" spans="3:5">
      <c r="C882" s="178" t="s">
        <v>149</v>
      </c>
      <c r="D882" s="178" t="s">
        <v>149</v>
      </c>
      <c r="E882" s="178" t="str">
        <f t="shared" si="26"/>
        <v/>
      </c>
    </row>
    <row r="883" spans="3:5">
      <c r="C883" s="178" t="s">
        <v>149</v>
      </c>
      <c r="D883" s="178" t="s">
        <v>149</v>
      </c>
      <c r="E883" s="178" t="str">
        <f t="shared" si="26"/>
        <v/>
      </c>
    </row>
    <row r="884" spans="3:5">
      <c r="C884" s="178" t="s">
        <v>149</v>
      </c>
      <c r="D884" s="178" t="s">
        <v>149</v>
      </c>
      <c r="E884" s="178" t="str">
        <f t="shared" si="26"/>
        <v/>
      </c>
    </row>
    <row r="885" spans="3:5">
      <c r="C885" s="178" t="s">
        <v>149</v>
      </c>
      <c r="D885" s="178" t="s">
        <v>149</v>
      </c>
      <c r="E885" s="178" t="str">
        <f t="shared" si="26"/>
        <v/>
      </c>
    </row>
    <row r="886" spans="3:5">
      <c r="C886" s="178" t="s">
        <v>149</v>
      </c>
      <c r="D886" s="178" t="s">
        <v>149</v>
      </c>
      <c r="E886" s="178" t="str">
        <f t="shared" si="26"/>
        <v/>
      </c>
    </row>
    <row r="887" spans="3:5">
      <c r="C887" s="178" t="s">
        <v>149</v>
      </c>
      <c r="D887" s="178" t="s">
        <v>149</v>
      </c>
      <c r="E887" s="178" t="str">
        <f t="shared" si="26"/>
        <v/>
      </c>
    </row>
    <row r="888" spans="3:5">
      <c r="C888" s="178" t="s">
        <v>149</v>
      </c>
      <c r="D888" s="178" t="s">
        <v>149</v>
      </c>
      <c r="E888" s="178" t="str">
        <f t="shared" si="26"/>
        <v/>
      </c>
    </row>
    <row r="889" spans="3:5">
      <c r="C889" s="178" t="s">
        <v>149</v>
      </c>
      <c r="D889" s="178" t="s">
        <v>149</v>
      </c>
      <c r="E889" s="178" t="str">
        <f t="shared" si="26"/>
        <v/>
      </c>
    </row>
    <row r="890" spans="3:5">
      <c r="C890" s="178" t="s">
        <v>149</v>
      </c>
      <c r="D890" s="178" t="s">
        <v>149</v>
      </c>
      <c r="E890" s="178" t="str">
        <f t="shared" si="26"/>
        <v/>
      </c>
    </row>
    <row r="891" spans="3:5">
      <c r="C891" s="178" t="s">
        <v>149</v>
      </c>
      <c r="D891" s="178" t="s">
        <v>149</v>
      </c>
      <c r="E891" s="178" t="str">
        <f t="shared" si="26"/>
        <v/>
      </c>
    </row>
    <row r="892" spans="3:5">
      <c r="C892" s="178" t="s">
        <v>149</v>
      </c>
      <c r="D892" s="178" t="s">
        <v>149</v>
      </c>
      <c r="E892" s="178" t="str">
        <f t="shared" si="26"/>
        <v/>
      </c>
    </row>
    <row r="893" spans="3:5">
      <c r="C893" s="178" t="s">
        <v>149</v>
      </c>
      <c r="D893" s="178" t="s">
        <v>149</v>
      </c>
      <c r="E893" s="178" t="str">
        <f t="shared" si="26"/>
        <v/>
      </c>
    </row>
    <row r="894" spans="3:5">
      <c r="C894" s="178" t="s">
        <v>149</v>
      </c>
      <c r="D894" s="178" t="s">
        <v>149</v>
      </c>
      <c r="E894" s="178" t="str">
        <f t="shared" si="26"/>
        <v/>
      </c>
    </row>
    <row r="895" spans="3:5">
      <c r="C895" s="178" t="s">
        <v>149</v>
      </c>
      <c r="D895" s="178" t="s">
        <v>149</v>
      </c>
      <c r="E895" s="178" t="str">
        <f t="shared" si="26"/>
        <v/>
      </c>
    </row>
    <row r="896" spans="3:5">
      <c r="C896" s="178" t="s">
        <v>149</v>
      </c>
      <c r="D896" s="178" t="s">
        <v>149</v>
      </c>
      <c r="E896" s="178" t="str">
        <f t="shared" si="26"/>
        <v/>
      </c>
    </row>
    <row r="897" spans="3:5">
      <c r="C897" s="178" t="s">
        <v>149</v>
      </c>
      <c r="D897" s="178" t="s">
        <v>149</v>
      </c>
      <c r="E897" s="178" t="str">
        <f t="shared" si="26"/>
        <v/>
      </c>
    </row>
    <row r="898" spans="3:5">
      <c r="C898" s="178" t="s">
        <v>149</v>
      </c>
      <c r="D898" s="178" t="s">
        <v>149</v>
      </c>
      <c r="E898" s="178" t="str">
        <f t="shared" si="26"/>
        <v/>
      </c>
    </row>
    <row r="899" spans="3:5">
      <c r="C899" s="178" t="s">
        <v>149</v>
      </c>
      <c r="D899" s="178" t="s">
        <v>149</v>
      </c>
      <c r="E899" s="178" t="str">
        <f t="shared" si="26"/>
        <v/>
      </c>
    </row>
    <row r="900" spans="3:5">
      <c r="C900" s="178" t="s">
        <v>149</v>
      </c>
      <c r="D900" s="178" t="s">
        <v>149</v>
      </c>
      <c r="E900" s="178" t="str">
        <f t="shared" ref="E900:E963" si="27">IF(C900&lt;D900,C900,D900)</f>
        <v/>
      </c>
    </row>
    <row r="901" spans="3:5">
      <c r="C901" s="178" t="s">
        <v>149</v>
      </c>
      <c r="D901" s="178" t="s">
        <v>149</v>
      </c>
      <c r="E901" s="178" t="str">
        <f t="shared" si="27"/>
        <v/>
      </c>
    </row>
    <row r="902" spans="3:5">
      <c r="C902" s="178" t="s">
        <v>149</v>
      </c>
      <c r="D902" s="178" t="s">
        <v>149</v>
      </c>
      <c r="E902" s="178" t="str">
        <f t="shared" si="27"/>
        <v/>
      </c>
    </row>
    <row r="903" spans="3:5">
      <c r="C903" s="178" t="s">
        <v>149</v>
      </c>
      <c r="D903" s="178" t="s">
        <v>149</v>
      </c>
      <c r="E903" s="178" t="str">
        <f t="shared" si="27"/>
        <v/>
      </c>
    </row>
    <row r="904" spans="3:5">
      <c r="C904" s="178" t="s">
        <v>149</v>
      </c>
      <c r="D904" s="178" t="s">
        <v>149</v>
      </c>
      <c r="E904" s="178" t="str">
        <f t="shared" si="27"/>
        <v/>
      </c>
    </row>
    <row r="905" spans="3:5">
      <c r="C905" s="178" t="s">
        <v>149</v>
      </c>
      <c r="D905" s="178" t="s">
        <v>149</v>
      </c>
      <c r="E905" s="178" t="str">
        <f t="shared" si="27"/>
        <v/>
      </c>
    </row>
    <row r="906" spans="3:5">
      <c r="C906" s="178" t="s">
        <v>149</v>
      </c>
      <c r="D906" s="178" t="s">
        <v>149</v>
      </c>
      <c r="E906" s="178" t="str">
        <f t="shared" si="27"/>
        <v/>
      </c>
    </row>
    <row r="907" spans="3:5">
      <c r="C907" s="178" t="s">
        <v>149</v>
      </c>
      <c r="D907" s="178" t="s">
        <v>149</v>
      </c>
      <c r="E907" s="178" t="str">
        <f t="shared" si="27"/>
        <v/>
      </c>
    </row>
    <row r="908" spans="3:5">
      <c r="C908" s="178" t="s">
        <v>149</v>
      </c>
      <c r="D908" s="178" t="s">
        <v>149</v>
      </c>
      <c r="E908" s="178" t="str">
        <f t="shared" si="27"/>
        <v/>
      </c>
    </row>
    <row r="909" spans="3:5">
      <c r="C909" s="178" t="s">
        <v>149</v>
      </c>
      <c r="D909" s="178" t="s">
        <v>149</v>
      </c>
      <c r="E909" s="178" t="str">
        <f t="shared" si="27"/>
        <v/>
      </c>
    </row>
    <row r="910" spans="3:5">
      <c r="C910" s="178" t="s">
        <v>149</v>
      </c>
      <c r="D910" s="178" t="s">
        <v>149</v>
      </c>
      <c r="E910" s="178" t="str">
        <f t="shared" si="27"/>
        <v/>
      </c>
    </row>
    <row r="911" spans="3:5">
      <c r="C911" s="178" t="s">
        <v>149</v>
      </c>
      <c r="D911" s="178" t="s">
        <v>149</v>
      </c>
      <c r="E911" s="178" t="str">
        <f t="shared" si="27"/>
        <v/>
      </c>
    </row>
    <row r="912" spans="3:5">
      <c r="C912" s="178" t="s">
        <v>149</v>
      </c>
      <c r="D912" s="178" t="s">
        <v>149</v>
      </c>
      <c r="E912" s="178" t="str">
        <f t="shared" si="27"/>
        <v/>
      </c>
    </row>
    <row r="913" spans="3:5">
      <c r="C913" s="178" t="s">
        <v>149</v>
      </c>
      <c r="D913" s="178" t="s">
        <v>149</v>
      </c>
      <c r="E913" s="178" t="str">
        <f t="shared" si="27"/>
        <v/>
      </c>
    </row>
    <row r="914" spans="3:5">
      <c r="C914" s="178" t="s">
        <v>149</v>
      </c>
      <c r="D914" s="178" t="s">
        <v>149</v>
      </c>
      <c r="E914" s="178" t="str">
        <f t="shared" si="27"/>
        <v/>
      </c>
    </row>
    <row r="915" spans="3:5">
      <c r="C915" s="178" t="s">
        <v>149</v>
      </c>
      <c r="D915" s="178" t="s">
        <v>149</v>
      </c>
      <c r="E915" s="178" t="str">
        <f t="shared" si="27"/>
        <v/>
      </c>
    </row>
    <row r="916" spans="3:5">
      <c r="C916" s="178" t="s">
        <v>149</v>
      </c>
      <c r="D916" s="178" t="s">
        <v>149</v>
      </c>
      <c r="E916" s="178" t="str">
        <f t="shared" si="27"/>
        <v/>
      </c>
    </row>
    <row r="917" spans="3:5">
      <c r="C917" s="178" t="s">
        <v>149</v>
      </c>
      <c r="D917" s="178" t="s">
        <v>149</v>
      </c>
      <c r="E917" s="178" t="str">
        <f t="shared" si="27"/>
        <v/>
      </c>
    </row>
    <row r="918" spans="3:5">
      <c r="C918" s="178" t="s">
        <v>149</v>
      </c>
      <c r="D918" s="178" t="s">
        <v>149</v>
      </c>
      <c r="E918" s="178" t="str">
        <f t="shared" si="27"/>
        <v/>
      </c>
    </row>
    <row r="919" spans="3:5">
      <c r="C919" s="178" t="s">
        <v>149</v>
      </c>
      <c r="D919" s="178" t="s">
        <v>149</v>
      </c>
      <c r="E919" s="178" t="str">
        <f t="shared" si="27"/>
        <v/>
      </c>
    </row>
    <row r="920" spans="3:5">
      <c r="C920" s="178" t="s">
        <v>149</v>
      </c>
      <c r="D920" s="178" t="s">
        <v>149</v>
      </c>
      <c r="E920" s="178" t="str">
        <f t="shared" si="27"/>
        <v/>
      </c>
    </row>
    <row r="921" spans="3:5">
      <c r="C921" s="178" t="s">
        <v>149</v>
      </c>
      <c r="D921" s="178" t="s">
        <v>149</v>
      </c>
      <c r="E921" s="178" t="str">
        <f t="shared" si="27"/>
        <v/>
      </c>
    </row>
    <row r="922" spans="3:5">
      <c r="C922" s="178" t="s">
        <v>149</v>
      </c>
      <c r="D922" s="178" t="s">
        <v>149</v>
      </c>
      <c r="E922" s="178" t="str">
        <f t="shared" si="27"/>
        <v/>
      </c>
    </row>
    <row r="923" spans="3:5">
      <c r="C923" s="178" t="s">
        <v>149</v>
      </c>
      <c r="D923" s="178" t="s">
        <v>149</v>
      </c>
      <c r="E923" s="178" t="str">
        <f t="shared" si="27"/>
        <v/>
      </c>
    </row>
    <row r="924" spans="3:5">
      <c r="C924" s="178" t="s">
        <v>149</v>
      </c>
      <c r="D924" s="178" t="s">
        <v>149</v>
      </c>
      <c r="E924" s="178" t="str">
        <f t="shared" si="27"/>
        <v/>
      </c>
    </row>
    <row r="925" spans="3:5">
      <c r="C925" s="178" t="s">
        <v>149</v>
      </c>
      <c r="D925" s="178" t="s">
        <v>149</v>
      </c>
      <c r="E925" s="178" t="str">
        <f t="shared" si="27"/>
        <v/>
      </c>
    </row>
    <row r="926" spans="3:5">
      <c r="C926" s="178" t="s">
        <v>149</v>
      </c>
      <c r="D926" s="178" t="s">
        <v>149</v>
      </c>
      <c r="E926" s="178" t="str">
        <f t="shared" si="27"/>
        <v/>
      </c>
    </row>
    <row r="927" spans="3:5">
      <c r="C927" s="178" t="s">
        <v>149</v>
      </c>
      <c r="D927" s="178" t="s">
        <v>149</v>
      </c>
      <c r="E927" s="178" t="str">
        <f t="shared" si="27"/>
        <v/>
      </c>
    </row>
    <row r="928" spans="3:5">
      <c r="C928" s="178" t="s">
        <v>149</v>
      </c>
      <c r="D928" s="178" t="s">
        <v>149</v>
      </c>
      <c r="E928" s="178" t="str">
        <f t="shared" si="27"/>
        <v/>
      </c>
    </row>
    <row r="929" spans="3:5">
      <c r="C929" s="178" t="s">
        <v>149</v>
      </c>
      <c r="D929" s="178" t="s">
        <v>149</v>
      </c>
      <c r="E929" s="178" t="str">
        <f t="shared" si="27"/>
        <v/>
      </c>
    </row>
    <row r="930" spans="3:5">
      <c r="C930" s="178" t="s">
        <v>149</v>
      </c>
      <c r="D930" s="178" t="s">
        <v>149</v>
      </c>
      <c r="E930" s="178" t="str">
        <f t="shared" si="27"/>
        <v/>
      </c>
    </row>
    <row r="931" spans="3:5">
      <c r="C931" s="178" t="s">
        <v>149</v>
      </c>
      <c r="D931" s="178" t="s">
        <v>149</v>
      </c>
      <c r="E931" s="178" t="str">
        <f t="shared" si="27"/>
        <v/>
      </c>
    </row>
    <row r="932" spans="3:5">
      <c r="C932" s="178" t="s">
        <v>149</v>
      </c>
      <c r="D932" s="178" t="s">
        <v>149</v>
      </c>
      <c r="E932" s="178" t="str">
        <f t="shared" si="27"/>
        <v/>
      </c>
    </row>
    <row r="933" spans="3:5">
      <c r="C933" s="178" t="s">
        <v>149</v>
      </c>
      <c r="D933" s="178" t="s">
        <v>149</v>
      </c>
      <c r="E933" s="178" t="str">
        <f t="shared" si="27"/>
        <v/>
      </c>
    </row>
    <row r="934" spans="3:5">
      <c r="C934" s="178" t="s">
        <v>149</v>
      </c>
      <c r="D934" s="178" t="s">
        <v>149</v>
      </c>
      <c r="E934" s="178" t="str">
        <f t="shared" si="27"/>
        <v/>
      </c>
    </row>
    <row r="935" spans="3:5">
      <c r="C935" s="178" t="s">
        <v>149</v>
      </c>
      <c r="D935" s="178" t="s">
        <v>149</v>
      </c>
      <c r="E935" s="178" t="str">
        <f t="shared" si="27"/>
        <v/>
      </c>
    </row>
    <row r="936" spans="3:5">
      <c r="C936" s="178" t="s">
        <v>149</v>
      </c>
      <c r="D936" s="178" t="s">
        <v>149</v>
      </c>
      <c r="E936" s="178" t="str">
        <f t="shared" si="27"/>
        <v/>
      </c>
    </row>
    <row r="937" spans="3:5">
      <c r="C937" s="178" t="s">
        <v>149</v>
      </c>
      <c r="D937" s="178" t="s">
        <v>149</v>
      </c>
      <c r="E937" s="178" t="str">
        <f t="shared" si="27"/>
        <v/>
      </c>
    </row>
    <row r="938" spans="3:5">
      <c r="C938" s="178" t="s">
        <v>149</v>
      </c>
      <c r="D938" s="178" t="s">
        <v>149</v>
      </c>
      <c r="E938" s="178" t="str">
        <f t="shared" si="27"/>
        <v/>
      </c>
    </row>
    <row r="939" spans="3:5">
      <c r="C939" s="178" t="s">
        <v>149</v>
      </c>
      <c r="D939" s="178" t="s">
        <v>149</v>
      </c>
      <c r="E939" s="178" t="str">
        <f t="shared" si="27"/>
        <v/>
      </c>
    </row>
    <row r="940" spans="3:5">
      <c r="C940" s="178" t="s">
        <v>149</v>
      </c>
      <c r="D940" s="178" t="s">
        <v>149</v>
      </c>
      <c r="E940" s="178" t="str">
        <f t="shared" si="27"/>
        <v/>
      </c>
    </row>
    <row r="941" spans="3:5">
      <c r="C941" s="178" t="s">
        <v>149</v>
      </c>
      <c r="D941" s="178" t="s">
        <v>149</v>
      </c>
      <c r="E941" s="178" t="str">
        <f t="shared" si="27"/>
        <v/>
      </c>
    </row>
    <row r="942" spans="3:5">
      <c r="C942" s="178" t="s">
        <v>149</v>
      </c>
      <c r="D942" s="178" t="s">
        <v>149</v>
      </c>
      <c r="E942" s="178" t="str">
        <f t="shared" si="27"/>
        <v/>
      </c>
    </row>
    <row r="943" spans="3:5">
      <c r="C943" s="178" t="s">
        <v>149</v>
      </c>
      <c r="D943" s="178" t="s">
        <v>149</v>
      </c>
      <c r="E943" s="178" t="str">
        <f t="shared" si="27"/>
        <v/>
      </c>
    </row>
    <row r="944" spans="3:5">
      <c r="C944" s="178" t="s">
        <v>149</v>
      </c>
      <c r="D944" s="178" t="s">
        <v>149</v>
      </c>
      <c r="E944" s="178" t="str">
        <f t="shared" si="27"/>
        <v/>
      </c>
    </row>
    <row r="945" spans="3:5">
      <c r="C945" s="178" t="s">
        <v>149</v>
      </c>
      <c r="D945" s="178" t="s">
        <v>149</v>
      </c>
      <c r="E945" s="178" t="str">
        <f t="shared" si="27"/>
        <v/>
      </c>
    </row>
    <row r="946" spans="3:5">
      <c r="C946" s="178" t="s">
        <v>149</v>
      </c>
      <c r="D946" s="178" t="s">
        <v>149</v>
      </c>
      <c r="E946" s="178" t="str">
        <f t="shared" si="27"/>
        <v/>
      </c>
    </row>
    <row r="947" spans="3:5">
      <c r="C947" s="178" t="s">
        <v>149</v>
      </c>
      <c r="D947" s="178" t="s">
        <v>149</v>
      </c>
      <c r="E947" s="178" t="str">
        <f t="shared" si="27"/>
        <v/>
      </c>
    </row>
    <row r="948" spans="3:5">
      <c r="C948" s="178" t="s">
        <v>149</v>
      </c>
      <c r="D948" s="178" t="s">
        <v>149</v>
      </c>
      <c r="E948" s="178" t="str">
        <f t="shared" si="27"/>
        <v/>
      </c>
    </row>
    <row r="949" spans="3:5">
      <c r="C949" s="178" t="s">
        <v>149</v>
      </c>
      <c r="D949" s="178" t="s">
        <v>149</v>
      </c>
      <c r="E949" s="178" t="str">
        <f t="shared" si="27"/>
        <v/>
      </c>
    </row>
    <row r="950" spans="3:5">
      <c r="C950" s="178" t="s">
        <v>149</v>
      </c>
      <c r="D950" s="178" t="s">
        <v>149</v>
      </c>
      <c r="E950" s="178" t="str">
        <f t="shared" si="27"/>
        <v/>
      </c>
    </row>
    <row r="951" spans="3:5">
      <c r="C951" s="178" t="s">
        <v>149</v>
      </c>
      <c r="D951" s="178" t="s">
        <v>149</v>
      </c>
      <c r="E951" s="178" t="str">
        <f t="shared" si="27"/>
        <v/>
      </c>
    </row>
    <row r="952" spans="3:5">
      <c r="C952" s="178" t="s">
        <v>149</v>
      </c>
      <c r="D952" s="178" t="s">
        <v>149</v>
      </c>
      <c r="E952" s="178" t="str">
        <f t="shared" si="27"/>
        <v/>
      </c>
    </row>
    <row r="953" spans="3:5">
      <c r="C953" s="178" t="s">
        <v>149</v>
      </c>
      <c r="D953" s="178" t="s">
        <v>149</v>
      </c>
      <c r="E953" s="178" t="str">
        <f t="shared" si="27"/>
        <v/>
      </c>
    </row>
    <row r="954" spans="3:5">
      <c r="C954" s="178" t="s">
        <v>149</v>
      </c>
      <c r="D954" s="178" t="s">
        <v>149</v>
      </c>
      <c r="E954" s="178" t="str">
        <f t="shared" si="27"/>
        <v/>
      </c>
    </row>
    <row r="955" spans="3:5">
      <c r="C955" s="178" t="s">
        <v>149</v>
      </c>
      <c r="D955" s="178" t="s">
        <v>149</v>
      </c>
      <c r="E955" s="178" t="str">
        <f t="shared" si="27"/>
        <v/>
      </c>
    </row>
    <row r="956" spans="3:5">
      <c r="C956" s="178" t="s">
        <v>149</v>
      </c>
      <c r="D956" s="178" t="s">
        <v>149</v>
      </c>
      <c r="E956" s="178" t="str">
        <f t="shared" si="27"/>
        <v/>
      </c>
    </row>
    <row r="957" spans="3:5">
      <c r="C957" s="178" t="s">
        <v>149</v>
      </c>
      <c r="D957" s="178" t="s">
        <v>149</v>
      </c>
      <c r="E957" s="178" t="str">
        <f t="shared" si="27"/>
        <v/>
      </c>
    </row>
    <row r="958" spans="3:5">
      <c r="C958" s="178" t="s">
        <v>149</v>
      </c>
      <c r="D958" s="178" t="s">
        <v>149</v>
      </c>
      <c r="E958" s="178" t="str">
        <f t="shared" si="27"/>
        <v/>
      </c>
    </row>
    <row r="959" spans="3:5">
      <c r="C959" s="178" t="s">
        <v>149</v>
      </c>
      <c r="D959" s="178" t="s">
        <v>149</v>
      </c>
      <c r="E959" s="178" t="str">
        <f t="shared" si="27"/>
        <v/>
      </c>
    </row>
    <row r="960" spans="3:5">
      <c r="C960" s="178" t="s">
        <v>149</v>
      </c>
      <c r="D960" s="178" t="s">
        <v>149</v>
      </c>
      <c r="E960" s="178" t="str">
        <f t="shared" si="27"/>
        <v/>
      </c>
    </row>
    <row r="961" spans="3:5">
      <c r="C961" s="178" t="s">
        <v>149</v>
      </c>
      <c r="D961" s="178" t="s">
        <v>149</v>
      </c>
      <c r="E961" s="178" t="str">
        <f t="shared" si="27"/>
        <v/>
      </c>
    </row>
    <row r="962" spans="3:5">
      <c r="C962" s="178" t="s">
        <v>149</v>
      </c>
      <c r="D962" s="178" t="s">
        <v>149</v>
      </c>
      <c r="E962" s="178" t="str">
        <f t="shared" si="27"/>
        <v/>
      </c>
    </row>
    <row r="963" spans="3:5">
      <c r="C963" s="178" t="s">
        <v>149</v>
      </c>
      <c r="D963" s="178" t="s">
        <v>149</v>
      </c>
      <c r="E963" s="178" t="str">
        <f t="shared" si="27"/>
        <v/>
      </c>
    </row>
    <row r="964" spans="3:5">
      <c r="C964" s="178" t="s">
        <v>149</v>
      </c>
      <c r="D964" s="178" t="s">
        <v>149</v>
      </c>
      <c r="E964" s="178" t="str">
        <f t="shared" ref="E964:E1027" si="28">IF(C964&lt;D964,C964,D964)</f>
        <v/>
      </c>
    </row>
    <row r="965" spans="3:5">
      <c r="C965" s="178" t="s">
        <v>149</v>
      </c>
      <c r="D965" s="178" t="s">
        <v>149</v>
      </c>
      <c r="E965" s="178" t="str">
        <f t="shared" si="28"/>
        <v/>
      </c>
    </row>
    <row r="966" spans="3:5">
      <c r="C966" s="178" t="s">
        <v>149</v>
      </c>
      <c r="D966" s="178" t="s">
        <v>149</v>
      </c>
      <c r="E966" s="178" t="str">
        <f t="shared" si="28"/>
        <v/>
      </c>
    </row>
    <row r="967" spans="3:5">
      <c r="C967" s="178" t="s">
        <v>149</v>
      </c>
      <c r="D967" s="178" t="s">
        <v>149</v>
      </c>
      <c r="E967" s="178" t="str">
        <f t="shared" si="28"/>
        <v/>
      </c>
    </row>
    <row r="968" spans="3:5">
      <c r="C968" s="178" t="s">
        <v>149</v>
      </c>
      <c r="D968" s="178" t="s">
        <v>149</v>
      </c>
      <c r="E968" s="178" t="str">
        <f t="shared" si="28"/>
        <v/>
      </c>
    </row>
    <row r="969" spans="3:5">
      <c r="C969" s="178" t="s">
        <v>149</v>
      </c>
      <c r="D969" s="178" t="s">
        <v>149</v>
      </c>
      <c r="E969" s="178" t="str">
        <f t="shared" si="28"/>
        <v/>
      </c>
    </row>
    <row r="970" spans="3:5">
      <c r="C970" s="178" t="s">
        <v>149</v>
      </c>
      <c r="D970" s="178" t="s">
        <v>149</v>
      </c>
      <c r="E970" s="178" t="str">
        <f t="shared" si="28"/>
        <v/>
      </c>
    </row>
    <row r="971" spans="3:5">
      <c r="C971" s="178" t="s">
        <v>149</v>
      </c>
      <c r="D971" s="178" t="s">
        <v>149</v>
      </c>
      <c r="E971" s="178" t="str">
        <f t="shared" si="28"/>
        <v/>
      </c>
    </row>
    <row r="972" spans="3:5">
      <c r="C972" s="178" t="s">
        <v>149</v>
      </c>
      <c r="D972" s="178" t="s">
        <v>149</v>
      </c>
      <c r="E972" s="178" t="str">
        <f t="shared" si="28"/>
        <v/>
      </c>
    </row>
    <row r="973" spans="3:5">
      <c r="C973" s="178" t="s">
        <v>149</v>
      </c>
      <c r="D973" s="178" t="s">
        <v>149</v>
      </c>
      <c r="E973" s="178" t="str">
        <f t="shared" si="28"/>
        <v/>
      </c>
    </row>
    <row r="974" spans="3:5">
      <c r="C974" s="178" t="s">
        <v>149</v>
      </c>
      <c r="D974" s="178" t="s">
        <v>149</v>
      </c>
      <c r="E974" s="178" t="str">
        <f t="shared" si="28"/>
        <v/>
      </c>
    </row>
    <row r="975" spans="3:5">
      <c r="C975" s="178" t="s">
        <v>149</v>
      </c>
      <c r="D975" s="178" t="s">
        <v>149</v>
      </c>
      <c r="E975" s="178" t="str">
        <f t="shared" si="28"/>
        <v/>
      </c>
    </row>
    <row r="976" spans="3:5">
      <c r="C976" s="178" t="s">
        <v>149</v>
      </c>
      <c r="D976" s="178" t="s">
        <v>149</v>
      </c>
      <c r="E976" s="178" t="str">
        <f t="shared" si="28"/>
        <v/>
      </c>
    </row>
    <row r="977" spans="3:5">
      <c r="C977" s="178" t="s">
        <v>149</v>
      </c>
      <c r="D977" s="178" t="s">
        <v>149</v>
      </c>
      <c r="E977" s="178" t="str">
        <f t="shared" si="28"/>
        <v/>
      </c>
    </row>
    <row r="978" spans="3:5">
      <c r="C978" s="178" t="s">
        <v>149</v>
      </c>
      <c r="D978" s="178" t="s">
        <v>149</v>
      </c>
      <c r="E978" s="178" t="str">
        <f t="shared" si="28"/>
        <v/>
      </c>
    </row>
    <row r="979" spans="3:5">
      <c r="C979" s="178" t="s">
        <v>149</v>
      </c>
      <c r="D979" s="178" t="s">
        <v>149</v>
      </c>
      <c r="E979" s="178" t="str">
        <f t="shared" si="28"/>
        <v/>
      </c>
    </row>
    <row r="980" spans="3:5">
      <c r="C980" s="178" t="s">
        <v>149</v>
      </c>
      <c r="D980" s="178" t="s">
        <v>149</v>
      </c>
      <c r="E980" s="178" t="str">
        <f t="shared" si="28"/>
        <v/>
      </c>
    </row>
    <row r="981" spans="3:5">
      <c r="C981" s="178" t="s">
        <v>149</v>
      </c>
      <c r="D981" s="178" t="s">
        <v>149</v>
      </c>
      <c r="E981" s="178" t="str">
        <f t="shared" si="28"/>
        <v/>
      </c>
    </row>
    <row r="982" spans="3:5">
      <c r="C982" s="178" t="s">
        <v>149</v>
      </c>
      <c r="D982" s="178" t="s">
        <v>149</v>
      </c>
      <c r="E982" s="178" t="str">
        <f t="shared" si="28"/>
        <v/>
      </c>
    </row>
    <row r="983" spans="3:5">
      <c r="C983" s="178" t="s">
        <v>149</v>
      </c>
      <c r="D983" s="178" t="s">
        <v>149</v>
      </c>
      <c r="E983" s="178" t="str">
        <f t="shared" si="28"/>
        <v/>
      </c>
    </row>
    <row r="984" spans="3:5">
      <c r="C984" s="178" t="s">
        <v>149</v>
      </c>
      <c r="D984" s="178" t="s">
        <v>149</v>
      </c>
      <c r="E984" s="178" t="str">
        <f t="shared" si="28"/>
        <v/>
      </c>
    </row>
    <row r="985" spans="3:5">
      <c r="C985" s="178" t="s">
        <v>149</v>
      </c>
      <c r="D985" s="178" t="s">
        <v>149</v>
      </c>
      <c r="E985" s="178" t="str">
        <f t="shared" si="28"/>
        <v/>
      </c>
    </row>
    <row r="986" spans="3:5">
      <c r="C986" s="178" t="s">
        <v>149</v>
      </c>
      <c r="D986" s="178" t="s">
        <v>149</v>
      </c>
      <c r="E986" s="178" t="str">
        <f t="shared" si="28"/>
        <v/>
      </c>
    </row>
    <row r="987" spans="3:5">
      <c r="C987" s="178" t="s">
        <v>149</v>
      </c>
      <c r="D987" s="178" t="s">
        <v>149</v>
      </c>
      <c r="E987" s="178" t="str">
        <f t="shared" si="28"/>
        <v/>
      </c>
    </row>
    <row r="988" spans="3:5">
      <c r="C988" s="178" t="s">
        <v>149</v>
      </c>
      <c r="D988" s="178" t="s">
        <v>149</v>
      </c>
      <c r="E988" s="178" t="str">
        <f t="shared" si="28"/>
        <v/>
      </c>
    </row>
    <row r="989" spans="3:5">
      <c r="C989" s="178" t="s">
        <v>149</v>
      </c>
      <c r="D989" s="178" t="s">
        <v>149</v>
      </c>
      <c r="E989" s="178" t="str">
        <f t="shared" si="28"/>
        <v/>
      </c>
    </row>
    <row r="990" spans="3:5">
      <c r="C990" s="178" t="s">
        <v>149</v>
      </c>
      <c r="D990" s="178" t="s">
        <v>149</v>
      </c>
      <c r="E990" s="178" t="str">
        <f t="shared" si="28"/>
        <v/>
      </c>
    </row>
    <row r="991" spans="3:5">
      <c r="C991" s="178" t="s">
        <v>149</v>
      </c>
      <c r="D991" s="178" t="s">
        <v>149</v>
      </c>
      <c r="E991" s="178" t="str">
        <f t="shared" si="28"/>
        <v/>
      </c>
    </row>
    <row r="992" spans="3:5">
      <c r="C992" s="178" t="s">
        <v>149</v>
      </c>
      <c r="D992" s="178" t="s">
        <v>149</v>
      </c>
      <c r="E992" s="178" t="str">
        <f t="shared" si="28"/>
        <v/>
      </c>
    </row>
    <row r="993" spans="3:5">
      <c r="C993" s="178" t="s">
        <v>149</v>
      </c>
      <c r="D993" s="178" t="s">
        <v>149</v>
      </c>
      <c r="E993" s="178" t="str">
        <f t="shared" si="28"/>
        <v/>
      </c>
    </row>
    <row r="994" spans="3:5">
      <c r="C994" s="178" t="s">
        <v>149</v>
      </c>
      <c r="D994" s="178" t="s">
        <v>149</v>
      </c>
      <c r="E994" s="178" t="str">
        <f t="shared" si="28"/>
        <v/>
      </c>
    </row>
    <row r="995" spans="3:5">
      <c r="C995" s="178" t="s">
        <v>149</v>
      </c>
      <c r="D995" s="178" t="s">
        <v>149</v>
      </c>
      <c r="E995" s="178" t="str">
        <f t="shared" si="28"/>
        <v/>
      </c>
    </row>
    <row r="996" spans="3:5">
      <c r="C996" s="178" t="s">
        <v>149</v>
      </c>
      <c r="D996" s="178" t="s">
        <v>149</v>
      </c>
      <c r="E996" s="178" t="str">
        <f t="shared" si="28"/>
        <v/>
      </c>
    </row>
    <row r="997" spans="3:5">
      <c r="C997" s="178" t="s">
        <v>149</v>
      </c>
      <c r="D997" s="178" t="s">
        <v>149</v>
      </c>
      <c r="E997" s="178" t="str">
        <f t="shared" si="28"/>
        <v/>
      </c>
    </row>
    <row r="998" spans="3:5">
      <c r="C998" s="178" t="s">
        <v>149</v>
      </c>
      <c r="D998" s="178" t="s">
        <v>149</v>
      </c>
      <c r="E998" s="178" t="str">
        <f t="shared" si="28"/>
        <v/>
      </c>
    </row>
    <row r="999" spans="3:5">
      <c r="C999" s="178" t="s">
        <v>149</v>
      </c>
      <c r="D999" s="178" t="s">
        <v>149</v>
      </c>
      <c r="E999" s="178" t="str">
        <f t="shared" si="28"/>
        <v/>
      </c>
    </row>
    <row r="1000" spans="3:5">
      <c r="C1000" s="178" t="s">
        <v>149</v>
      </c>
      <c r="D1000" s="178" t="s">
        <v>149</v>
      </c>
      <c r="E1000" s="178" t="str">
        <f t="shared" si="28"/>
        <v/>
      </c>
    </row>
    <row r="1001" spans="3:5">
      <c r="C1001" s="178" t="s">
        <v>149</v>
      </c>
      <c r="D1001" s="178" t="s">
        <v>149</v>
      </c>
      <c r="E1001" s="178" t="str">
        <f t="shared" si="28"/>
        <v/>
      </c>
    </row>
    <row r="1002" spans="3:5">
      <c r="C1002" s="178" t="s">
        <v>149</v>
      </c>
      <c r="D1002" s="178" t="s">
        <v>149</v>
      </c>
      <c r="E1002" s="178" t="str">
        <f t="shared" si="28"/>
        <v/>
      </c>
    </row>
    <row r="1003" spans="3:5">
      <c r="C1003" s="178" t="s">
        <v>149</v>
      </c>
      <c r="D1003" s="178" t="s">
        <v>149</v>
      </c>
      <c r="E1003" s="178" t="str">
        <f t="shared" si="28"/>
        <v/>
      </c>
    </row>
    <row r="1004" spans="3:5">
      <c r="C1004" s="178" t="s">
        <v>149</v>
      </c>
      <c r="D1004" s="178" t="s">
        <v>149</v>
      </c>
      <c r="E1004" s="178" t="str">
        <f t="shared" si="28"/>
        <v/>
      </c>
    </row>
    <row r="1005" spans="3:5">
      <c r="C1005" s="178" t="s">
        <v>149</v>
      </c>
      <c r="D1005" s="178" t="s">
        <v>149</v>
      </c>
      <c r="E1005" s="178" t="str">
        <f t="shared" si="28"/>
        <v/>
      </c>
    </row>
    <row r="1006" spans="3:5">
      <c r="C1006" s="178" t="s">
        <v>149</v>
      </c>
      <c r="D1006" s="178" t="s">
        <v>149</v>
      </c>
      <c r="E1006" s="178" t="str">
        <f t="shared" si="28"/>
        <v/>
      </c>
    </row>
    <row r="1007" spans="3:5">
      <c r="C1007" s="178" t="s">
        <v>149</v>
      </c>
      <c r="D1007" s="178" t="s">
        <v>149</v>
      </c>
      <c r="E1007" s="178" t="str">
        <f t="shared" si="28"/>
        <v/>
      </c>
    </row>
    <row r="1008" spans="3:5">
      <c r="C1008" s="178" t="s">
        <v>149</v>
      </c>
      <c r="D1008" s="178" t="s">
        <v>149</v>
      </c>
      <c r="E1008" s="178" t="str">
        <f t="shared" si="28"/>
        <v/>
      </c>
    </row>
    <row r="1009" spans="3:5">
      <c r="C1009" s="178" t="s">
        <v>149</v>
      </c>
      <c r="D1009" s="178" t="s">
        <v>149</v>
      </c>
      <c r="E1009" s="178" t="str">
        <f t="shared" si="28"/>
        <v/>
      </c>
    </row>
    <row r="1010" spans="3:5">
      <c r="C1010" s="178" t="s">
        <v>149</v>
      </c>
      <c r="D1010" s="178" t="s">
        <v>149</v>
      </c>
      <c r="E1010" s="178" t="str">
        <f t="shared" si="28"/>
        <v/>
      </c>
    </row>
    <row r="1011" spans="3:5">
      <c r="C1011" s="178" t="s">
        <v>149</v>
      </c>
      <c r="D1011" s="178" t="s">
        <v>149</v>
      </c>
      <c r="E1011" s="178" t="str">
        <f t="shared" si="28"/>
        <v/>
      </c>
    </row>
    <row r="1012" spans="3:5">
      <c r="C1012" s="178" t="s">
        <v>149</v>
      </c>
      <c r="D1012" s="178" t="s">
        <v>149</v>
      </c>
      <c r="E1012" s="178" t="str">
        <f t="shared" si="28"/>
        <v/>
      </c>
    </row>
    <row r="1013" spans="3:5">
      <c r="C1013" s="178" t="s">
        <v>149</v>
      </c>
      <c r="D1013" s="178" t="s">
        <v>149</v>
      </c>
      <c r="E1013" s="178" t="str">
        <f t="shared" si="28"/>
        <v/>
      </c>
    </row>
    <row r="1014" spans="3:5">
      <c r="C1014" s="178" t="s">
        <v>149</v>
      </c>
      <c r="D1014" s="178" t="s">
        <v>149</v>
      </c>
      <c r="E1014" s="178" t="str">
        <f t="shared" si="28"/>
        <v/>
      </c>
    </row>
    <row r="1015" spans="3:5">
      <c r="C1015" s="178" t="s">
        <v>149</v>
      </c>
      <c r="D1015" s="178" t="s">
        <v>149</v>
      </c>
      <c r="E1015" s="178" t="str">
        <f t="shared" si="28"/>
        <v/>
      </c>
    </row>
    <row r="1016" spans="3:5">
      <c r="C1016" s="178" t="s">
        <v>149</v>
      </c>
      <c r="D1016" s="178" t="s">
        <v>149</v>
      </c>
      <c r="E1016" s="178" t="str">
        <f t="shared" si="28"/>
        <v/>
      </c>
    </row>
    <row r="1017" spans="3:5">
      <c r="C1017" s="178" t="s">
        <v>149</v>
      </c>
      <c r="D1017" s="178" t="s">
        <v>149</v>
      </c>
      <c r="E1017" s="178" t="str">
        <f t="shared" si="28"/>
        <v/>
      </c>
    </row>
    <row r="1018" spans="3:5">
      <c r="C1018" s="178" t="s">
        <v>149</v>
      </c>
      <c r="D1018" s="178" t="s">
        <v>149</v>
      </c>
      <c r="E1018" s="178" t="str">
        <f t="shared" si="28"/>
        <v/>
      </c>
    </row>
    <row r="1019" spans="3:5">
      <c r="C1019" s="178" t="s">
        <v>149</v>
      </c>
      <c r="D1019" s="178" t="s">
        <v>149</v>
      </c>
      <c r="E1019" s="178" t="str">
        <f t="shared" si="28"/>
        <v/>
      </c>
    </row>
    <row r="1020" spans="3:5">
      <c r="C1020" s="178" t="s">
        <v>149</v>
      </c>
      <c r="D1020" s="178" t="s">
        <v>149</v>
      </c>
      <c r="E1020" s="178" t="str">
        <f t="shared" si="28"/>
        <v/>
      </c>
    </row>
    <row r="1021" spans="3:5">
      <c r="C1021" s="178" t="s">
        <v>149</v>
      </c>
      <c r="D1021" s="178" t="s">
        <v>149</v>
      </c>
      <c r="E1021" s="178" t="str">
        <f t="shared" si="28"/>
        <v/>
      </c>
    </row>
    <row r="1022" spans="3:5">
      <c r="C1022" s="178" t="s">
        <v>149</v>
      </c>
      <c r="D1022" s="178" t="s">
        <v>149</v>
      </c>
      <c r="E1022" s="178" t="str">
        <f t="shared" si="28"/>
        <v/>
      </c>
    </row>
    <row r="1023" spans="3:5">
      <c r="C1023" s="178" t="s">
        <v>149</v>
      </c>
      <c r="D1023" s="178" t="s">
        <v>149</v>
      </c>
      <c r="E1023" s="178" t="str">
        <f t="shared" si="28"/>
        <v/>
      </c>
    </row>
    <row r="1024" spans="3:5">
      <c r="C1024" s="178" t="s">
        <v>149</v>
      </c>
      <c r="D1024" s="178" t="s">
        <v>149</v>
      </c>
      <c r="E1024" s="178" t="str">
        <f t="shared" si="28"/>
        <v/>
      </c>
    </row>
    <row r="1025" spans="3:5">
      <c r="C1025" s="178" t="s">
        <v>149</v>
      </c>
      <c r="D1025" s="178" t="s">
        <v>149</v>
      </c>
      <c r="E1025" s="178" t="str">
        <f t="shared" si="28"/>
        <v/>
      </c>
    </row>
    <row r="1026" spans="3:5">
      <c r="C1026" s="178" t="s">
        <v>149</v>
      </c>
      <c r="D1026" s="178" t="s">
        <v>149</v>
      </c>
      <c r="E1026" s="178" t="str">
        <f t="shared" si="28"/>
        <v/>
      </c>
    </row>
    <row r="1027" spans="3:5">
      <c r="C1027" s="178" t="s">
        <v>149</v>
      </c>
      <c r="D1027" s="178" t="s">
        <v>149</v>
      </c>
      <c r="E1027" s="178" t="str">
        <f t="shared" si="28"/>
        <v/>
      </c>
    </row>
    <row r="1028" spans="3:5">
      <c r="C1028" s="178" t="s">
        <v>149</v>
      </c>
      <c r="D1028" s="178" t="s">
        <v>149</v>
      </c>
      <c r="E1028" s="178" t="str">
        <f t="shared" ref="E1028:E1091" si="29">IF(C1028&lt;D1028,C1028,D1028)</f>
        <v/>
      </c>
    </row>
    <row r="1029" spans="3:5">
      <c r="C1029" s="178" t="s">
        <v>149</v>
      </c>
      <c r="D1029" s="178" t="s">
        <v>149</v>
      </c>
      <c r="E1029" s="178" t="str">
        <f t="shared" si="29"/>
        <v/>
      </c>
    </row>
    <row r="1030" spans="3:5">
      <c r="C1030" s="178" t="s">
        <v>149</v>
      </c>
      <c r="D1030" s="178" t="s">
        <v>149</v>
      </c>
      <c r="E1030" s="178" t="str">
        <f t="shared" si="29"/>
        <v/>
      </c>
    </row>
    <row r="1031" spans="3:5">
      <c r="C1031" s="178" t="s">
        <v>149</v>
      </c>
      <c r="D1031" s="178" t="s">
        <v>149</v>
      </c>
      <c r="E1031" s="178" t="str">
        <f t="shared" si="29"/>
        <v/>
      </c>
    </row>
    <row r="1032" spans="3:5">
      <c r="C1032" s="178" t="s">
        <v>149</v>
      </c>
      <c r="D1032" s="178" t="s">
        <v>149</v>
      </c>
      <c r="E1032" s="178" t="str">
        <f t="shared" si="29"/>
        <v/>
      </c>
    </row>
    <row r="1033" spans="3:5">
      <c r="C1033" s="178" t="s">
        <v>149</v>
      </c>
      <c r="D1033" s="178" t="s">
        <v>149</v>
      </c>
      <c r="E1033" s="178" t="str">
        <f t="shared" si="29"/>
        <v/>
      </c>
    </row>
    <row r="1034" spans="3:5">
      <c r="C1034" s="178" t="s">
        <v>149</v>
      </c>
      <c r="D1034" s="178" t="s">
        <v>149</v>
      </c>
      <c r="E1034" s="178" t="str">
        <f t="shared" si="29"/>
        <v/>
      </c>
    </row>
    <row r="1035" spans="3:5">
      <c r="C1035" s="178" t="s">
        <v>149</v>
      </c>
      <c r="D1035" s="178" t="s">
        <v>149</v>
      </c>
      <c r="E1035" s="178" t="str">
        <f t="shared" si="29"/>
        <v/>
      </c>
    </row>
    <row r="1036" spans="3:5">
      <c r="C1036" s="178" t="s">
        <v>149</v>
      </c>
      <c r="D1036" s="178" t="s">
        <v>149</v>
      </c>
      <c r="E1036" s="178" t="str">
        <f t="shared" si="29"/>
        <v/>
      </c>
    </row>
    <row r="1037" spans="3:5">
      <c r="C1037" s="178" t="s">
        <v>149</v>
      </c>
      <c r="D1037" s="178" t="s">
        <v>149</v>
      </c>
      <c r="E1037" s="178" t="str">
        <f t="shared" si="29"/>
        <v/>
      </c>
    </row>
    <row r="1038" spans="3:5">
      <c r="C1038" s="178" t="s">
        <v>149</v>
      </c>
      <c r="D1038" s="178" t="s">
        <v>149</v>
      </c>
      <c r="E1038" s="178" t="str">
        <f t="shared" si="29"/>
        <v/>
      </c>
    </row>
    <row r="1039" spans="3:5">
      <c r="C1039" s="178" t="s">
        <v>149</v>
      </c>
      <c r="D1039" s="178" t="s">
        <v>149</v>
      </c>
      <c r="E1039" s="178" t="str">
        <f t="shared" si="29"/>
        <v/>
      </c>
    </row>
    <row r="1040" spans="3:5">
      <c r="C1040" s="178" t="s">
        <v>149</v>
      </c>
      <c r="D1040" s="178" t="s">
        <v>149</v>
      </c>
      <c r="E1040" s="178" t="str">
        <f t="shared" si="29"/>
        <v/>
      </c>
    </row>
    <row r="1041" spans="3:5">
      <c r="C1041" s="178" t="s">
        <v>149</v>
      </c>
      <c r="D1041" s="178" t="s">
        <v>149</v>
      </c>
      <c r="E1041" s="178" t="str">
        <f t="shared" si="29"/>
        <v/>
      </c>
    </row>
    <row r="1042" spans="3:5">
      <c r="C1042" s="178" t="s">
        <v>149</v>
      </c>
      <c r="D1042" s="178" t="s">
        <v>149</v>
      </c>
      <c r="E1042" s="178" t="str">
        <f t="shared" si="29"/>
        <v/>
      </c>
    </row>
    <row r="1043" spans="3:5">
      <c r="C1043" s="178" t="s">
        <v>149</v>
      </c>
      <c r="D1043" s="178" t="s">
        <v>149</v>
      </c>
      <c r="E1043" s="178" t="str">
        <f t="shared" si="29"/>
        <v/>
      </c>
    </row>
    <row r="1044" spans="3:5">
      <c r="C1044" s="178" t="s">
        <v>149</v>
      </c>
      <c r="D1044" s="178" t="s">
        <v>149</v>
      </c>
      <c r="E1044" s="178" t="str">
        <f t="shared" si="29"/>
        <v/>
      </c>
    </row>
    <row r="1045" spans="3:5">
      <c r="C1045" s="178" t="s">
        <v>149</v>
      </c>
      <c r="D1045" s="178" t="s">
        <v>149</v>
      </c>
      <c r="E1045" s="178" t="str">
        <f t="shared" si="29"/>
        <v/>
      </c>
    </row>
    <row r="1046" spans="3:5">
      <c r="C1046" s="178" t="s">
        <v>149</v>
      </c>
      <c r="D1046" s="178" t="s">
        <v>149</v>
      </c>
      <c r="E1046" s="178" t="str">
        <f t="shared" si="29"/>
        <v/>
      </c>
    </row>
    <row r="1047" spans="3:5">
      <c r="C1047" s="178" t="s">
        <v>149</v>
      </c>
      <c r="D1047" s="178" t="s">
        <v>149</v>
      </c>
      <c r="E1047" s="178" t="str">
        <f t="shared" si="29"/>
        <v/>
      </c>
    </row>
    <row r="1048" spans="3:5">
      <c r="C1048" s="178" t="s">
        <v>149</v>
      </c>
      <c r="D1048" s="178" t="s">
        <v>149</v>
      </c>
      <c r="E1048" s="178" t="str">
        <f t="shared" si="29"/>
        <v/>
      </c>
    </row>
    <row r="1049" spans="3:5">
      <c r="C1049" s="178" t="s">
        <v>149</v>
      </c>
      <c r="D1049" s="178" t="s">
        <v>149</v>
      </c>
      <c r="E1049" s="178" t="str">
        <f t="shared" si="29"/>
        <v/>
      </c>
    </row>
    <row r="1050" spans="3:5">
      <c r="C1050" s="178" t="s">
        <v>149</v>
      </c>
      <c r="D1050" s="178" t="s">
        <v>149</v>
      </c>
      <c r="E1050" s="178" t="str">
        <f t="shared" si="29"/>
        <v/>
      </c>
    </row>
    <row r="1051" spans="3:5">
      <c r="C1051" s="178" t="s">
        <v>149</v>
      </c>
      <c r="D1051" s="178" t="s">
        <v>149</v>
      </c>
      <c r="E1051" s="178" t="str">
        <f t="shared" si="29"/>
        <v/>
      </c>
    </row>
    <row r="1052" spans="3:5">
      <c r="C1052" s="178" t="s">
        <v>149</v>
      </c>
      <c r="D1052" s="178" t="s">
        <v>149</v>
      </c>
      <c r="E1052" s="178" t="str">
        <f t="shared" si="29"/>
        <v/>
      </c>
    </row>
    <row r="1053" spans="3:5">
      <c r="C1053" s="178" t="s">
        <v>149</v>
      </c>
      <c r="D1053" s="178" t="s">
        <v>149</v>
      </c>
      <c r="E1053" s="178" t="str">
        <f t="shared" si="29"/>
        <v/>
      </c>
    </row>
    <row r="1054" spans="3:5">
      <c r="C1054" s="178" t="s">
        <v>149</v>
      </c>
      <c r="D1054" s="178" t="s">
        <v>149</v>
      </c>
      <c r="E1054" s="178" t="str">
        <f t="shared" si="29"/>
        <v/>
      </c>
    </row>
    <row r="1055" spans="3:5">
      <c r="C1055" s="178" t="s">
        <v>149</v>
      </c>
      <c r="D1055" s="178" t="s">
        <v>149</v>
      </c>
      <c r="E1055" s="178" t="str">
        <f t="shared" si="29"/>
        <v/>
      </c>
    </row>
    <row r="1056" spans="3:5">
      <c r="C1056" s="178" t="s">
        <v>149</v>
      </c>
      <c r="D1056" s="178" t="s">
        <v>149</v>
      </c>
      <c r="E1056" s="178" t="str">
        <f t="shared" si="29"/>
        <v/>
      </c>
    </row>
    <row r="1057" spans="3:5">
      <c r="C1057" s="178" t="s">
        <v>149</v>
      </c>
      <c r="D1057" s="178" t="s">
        <v>149</v>
      </c>
      <c r="E1057" s="178" t="str">
        <f t="shared" si="29"/>
        <v/>
      </c>
    </row>
    <row r="1058" spans="3:5">
      <c r="C1058" s="178" t="s">
        <v>149</v>
      </c>
      <c r="D1058" s="178" t="s">
        <v>149</v>
      </c>
      <c r="E1058" s="178" t="str">
        <f t="shared" si="29"/>
        <v/>
      </c>
    </row>
    <row r="1059" spans="3:5">
      <c r="C1059" s="178" t="s">
        <v>149</v>
      </c>
      <c r="D1059" s="178" t="s">
        <v>149</v>
      </c>
      <c r="E1059" s="178" t="str">
        <f t="shared" si="29"/>
        <v/>
      </c>
    </row>
    <row r="1060" spans="3:5">
      <c r="C1060" s="178" t="s">
        <v>149</v>
      </c>
      <c r="D1060" s="178" t="s">
        <v>149</v>
      </c>
      <c r="E1060" s="178" t="str">
        <f t="shared" si="29"/>
        <v/>
      </c>
    </row>
    <row r="1061" spans="3:5">
      <c r="C1061" s="178" t="s">
        <v>149</v>
      </c>
      <c r="D1061" s="178" t="s">
        <v>149</v>
      </c>
      <c r="E1061" s="178" t="str">
        <f t="shared" si="29"/>
        <v/>
      </c>
    </row>
    <row r="1062" spans="3:5">
      <c r="C1062" s="178" t="s">
        <v>149</v>
      </c>
      <c r="D1062" s="178" t="s">
        <v>149</v>
      </c>
      <c r="E1062" s="178" t="str">
        <f t="shared" si="29"/>
        <v/>
      </c>
    </row>
    <row r="1063" spans="3:5">
      <c r="C1063" s="178" t="s">
        <v>149</v>
      </c>
      <c r="D1063" s="178" t="s">
        <v>149</v>
      </c>
      <c r="E1063" s="178" t="str">
        <f t="shared" si="29"/>
        <v/>
      </c>
    </row>
    <row r="1064" spans="3:5">
      <c r="C1064" s="178" t="s">
        <v>149</v>
      </c>
      <c r="D1064" s="178" t="s">
        <v>149</v>
      </c>
      <c r="E1064" s="178" t="str">
        <f t="shared" si="29"/>
        <v/>
      </c>
    </row>
    <row r="1065" spans="3:5">
      <c r="C1065" s="178" t="s">
        <v>149</v>
      </c>
      <c r="D1065" s="178" t="s">
        <v>149</v>
      </c>
      <c r="E1065" s="178" t="str">
        <f t="shared" si="29"/>
        <v/>
      </c>
    </row>
    <row r="1066" spans="3:5">
      <c r="C1066" s="178" t="s">
        <v>149</v>
      </c>
      <c r="D1066" s="178" t="s">
        <v>149</v>
      </c>
      <c r="E1066" s="178" t="str">
        <f t="shared" si="29"/>
        <v/>
      </c>
    </row>
    <row r="1067" spans="3:5">
      <c r="C1067" s="178" t="s">
        <v>149</v>
      </c>
      <c r="D1067" s="178" t="s">
        <v>149</v>
      </c>
      <c r="E1067" s="178" t="str">
        <f t="shared" si="29"/>
        <v/>
      </c>
    </row>
    <row r="1068" spans="3:5">
      <c r="C1068" s="178" t="s">
        <v>149</v>
      </c>
      <c r="D1068" s="178" t="s">
        <v>149</v>
      </c>
      <c r="E1068" s="178" t="str">
        <f t="shared" si="29"/>
        <v/>
      </c>
    </row>
    <row r="1069" spans="3:5">
      <c r="C1069" s="178" t="s">
        <v>149</v>
      </c>
      <c r="D1069" s="178" t="s">
        <v>149</v>
      </c>
      <c r="E1069" s="178" t="str">
        <f t="shared" si="29"/>
        <v/>
      </c>
    </row>
    <row r="1070" spans="3:5">
      <c r="C1070" s="178" t="s">
        <v>149</v>
      </c>
      <c r="D1070" s="178" t="s">
        <v>149</v>
      </c>
      <c r="E1070" s="178" t="str">
        <f t="shared" si="29"/>
        <v/>
      </c>
    </row>
    <row r="1071" spans="3:5">
      <c r="C1071" s="178" t="s">
        <v>149</v>
      </c>
      <c r="D1071" s="178" t="s">
        <v>149</v>
      </c>
      <c r="E1071" s="178" t="str">
        <f t="shared" si="29"/>
        <v/>
      </c>
    </row>
    <row r="1072" spans="3:5">
      <c r="C1072" s="178" t="s">
        <v>149</v>
      </c>
      <c r="D1072" s="178" t="s">
        <v>149</v>
      </c>
      <c r="E1072" s="178" t="str">
        <f t="shared" si="29"/>
        <v/>
      </c>
    </row>
    <row r="1073" spans="3:5">
      <c r="C1073" s="178" t="s">
        <v>149</v>
      </c>
      <c r="D1073" s="178" t="s">
        <v>149</v>
      </c>
      <c r="E1073" s="178" t="str">
        <f t="shared" si="29"/>
        <v/>
      </c>
    </row>
    <row r="1074" spans="3:5">
      <c r="C1074" s="178" t="s">
        <v>149</v>
      </c>
      <c r="D1074" s="178" t="s">
        <v>149</v>
      </c>
      <c r="E1074" s="178" t="str">
        <f t="shared" si="29"/>
        <v/>
      </c>
    </row>
    <row r="1075" spans="3:5">
      <c r="C1075" s="178" t="s">
        <v>149</v>
      </c>
      <c r="D1075" s="178" t="s">
        <v>149</v>
      </c>
      <c r="E1075" s="178" t="str">
        <f t="shared" si="29"/>
        <v/>
      </c>
    </row>
    <row r="1076" spans="3:5">
      <c r="C1076" s="178" t="s">
        <v>149</v>
      </c>
      <c r="D1076" s="178" t="s">
        <v>149</v>
      </c>
      <c r="E1076" s="178" t="str">
        <f t="shared" si="29"/>
        <v/>
      </c>
    </row>
    <row r="1077" spans="3:5">
      <c r="C1077" s="178" t="s">
        <v>149</v>
      </c>
      <c r="D1077" s="178" t="s">
        <v>149</v>
      </c>
      <c r="E1077" s="178" t="str">
        <f t="shared" si="29"/>
        <v/>
      </c>
    </row>
    <row r="1078" spans="3:5">
      <c r="C1078" s="178" t="s">
        <v>149</v>
      </c>
      <c r="D1078" s="178" t="s">
        <v>149</v>
      </c>
      <c r="E1078" s="178" t="str">
        <f t="shared" si="29"/>
        <v/>
      </c>
    </row>
    <row r="1079" spans="3:5">
      <c r="C1079" s="178" t="s">
        <v>149</v>
      </c>
      <c r="D1079" s="178" t="s">
        <v>149</v>
      </c>
      <c r="E1079" s="178" t="str">
        <f t="shared" si="29"/>
        <v/>
      </c>
    </row>
    <row r="1080" spans="3:5">
      <c r="C1080" s="178" t="s">
        <v>149</v>
      </c>
      <c r="D1080" s="178" t="s">
        <v>149</v>
      </c>
      <c r="E1080" s="178" t="str">
        <f t="shared" si="29"/>
        <v/>
      </c>
    </row>
    <row r="1081" spans="3:5">
      <c r="C1081" s="178" t="s">
        <v>149</v>
      </c>
      <c r="D1081" s="178" t="s">
        <v>149</v>
      </c>
      <c r="E1081" s="178" t="str">
        <f t="shared" si="29"/>
        <v/>
      </c>
    </row>
    <row r="1082" spans="3:5">
      <c r="C1082" s="178" t="s">
        <v>149</v>
      </c>
      <c r="D1082" s="178" t="s">
        <v>149</v>
      </c>
      <c r="E1082" s="178" t="str">
        <f t="shared" si="29"/>
        <v/>
      </c>
    </row>
    <row r="1083" spans="3:5">
      <c r="C1083" s="178" t="s">
        <v>149</v>
      </c>
      <c r="D1083" s="178" t="s">
        <v>149</v>
      </c>
      <c r="E1083" s="178" t="str">
        <f t="shared" si="29"/>
        <v/>
      </c>
    </row>
    <row r="1084" spans="3:5">
      <c r="C1084" s="178" t="s">
        <v>149</v>
      </c>
      <c r="D1084" s="178" t="s">
        <v>149</v>
      </c>
      <c r="E1084" s="178" t="str">
        <f t="shared" si="29"/>
        <v/>
      </c>
    </row>
    <row r="1085" spans="3:5">
      <c r="C1085" s="178" t="s">
        <v>149</v>
      </c>
      <c r="D1085" s="178" t="s">
        <v>149</v>
      </c>
      <c r="E1085" s="178" t="str">
        <f t="shared" si="29"/>
        <v/>
      </c>
    </row>
    <row r="1086" spans="3:5">
      <c r="C1086" s="178" t="s">
        <v>149</v>
      </c>
      <c r="D1086" s="178" t="s">
        <v>149</v>
      </c>
      <c r="E1086" s="178" t="str">
        <f t="shared" si="29"/>
        <v/>
      </c>
    </row>
    <row r="1087" spans="3:5">
      <c r="C1087" s="178" t="s">
        <v>149</v>
      </c>
      <c r="D1087" s="178" t="s">
        <v>149</v>
      </c>
      <c r="E1087" s="178" t="str">
        <f t="shared" si="29"/>
        <v/>
      </c>
    </row>
    <row r="1088" spans="3:5">
      <c r="C1088" s="178" t="s">
        <v>149</v>
      </c>
      <c r="D1088" s="178" t="s">
        <v>149</v>
      </c>
      <c r="E1088" s="178" t="str">
        <f t="shared" si="29"/>
        <v/>
      </c>
    </row>
    <row r="1089" spans="3:5">
      <c r="C1089" s="178" t="s">
        <v>149</v>
      </c>
      <c r="D1089" s="178" t="s">
        <v>149</v>
      </c>
      <c r="E1089" s="178" t="str">
        <f t="shared" si="29"/>
        <v/>
      </c>
    </row>
    <row r="1090" spans="3:5">
      <c r="C1090" s="178" t="s">
        <v>149</v>
      </c>
      <c r="D1090" s="178" t="s">
        <v>149</v>
      </c>
      <c r="E1090" s="178" t="str">
        <f t="shared" si="29"/>
        <v/>
      </c>
    </row>
    <row r="1091" spans="3:5">
      <c r="C1091" s="178" t="s">
        <v>149</v>
      </c>
      <c r="D1091" s="178" t="s">
        <v>149</v>
      </c>
      <c r="E1091" s="178" t="str">
        <f t="shared" si="29"/>
        <v/>
      </c>
    </row>
    <row r="1092" spans="3:5">
      <c r="C1092" s="178" t="s">
        <v>149</v>
      </c>
      <c r="D1092" s="178" t="s">
        <v>149</v>
      </c>
      <c r="E1092" s="178" t="str">
        <f t="shared" ref="E1092:E1155" si="30">IF(C1092&lt;D1092,C1092,D1092)</f>
        <v/>
      </c>
    </row>
    <row r="1093" spans="3:5">
      <c r="C1093" s="178" t="s">
        <v>149</v>
      </c>
      <c r="D1093" s="178" t="s">
        <v>149</v>
      </c>
      <c r="E1093" s="178" t="str">
        <f t="shared" si="30"/>
        <v/>
      </c>
    </row>
    <row r="1094" spans="3:5">
      <c r="C1094" s="178" t="s">
        <v>149</v>
      </c>
      <c r="D1094" s="178" t="s">
        <v>149</v>
      </c>
      <c r="E1094" s="178" t="str">
        <f t="shared" si="30"/>
        <v/>
      </c>
    </row>
    <row r="1095" spans="3:5">
      <c r="C1095" s="178" t="s">
        <v>149</v>
      </c>
      <c r="D1095" s="178" t="s">
        <v>149</v>
      </c>
      <c r="E1095" s="178" t="str">
        <f t="shared" si="30"/>
        <v/>
      </c>
    </row>
    <row r="1096" spans="3:5">
      <c r="C1096" s="178" t="s">
        <v>149</v>
      </c>
      <c r="D1096" s="178" t="s">
        <v>149</v>
      </c>
      <c r="E1096" s="178" t="str">
        <f t="shared" si="30"/>
        <v/>
      </c>
    </row>
    <row r="1097" spans="3:5">
      <c r="C1097" s="178" t="s">
        <v>149</v>
      </c>
      <c r="D1097" s="178" t="s">
        <v>149</v>
      </c>
      <c r="E1097" s="178" t="str">
        <f t="shared" si="30"/>
        <v/>
      </c>
    </row>
    <row r="1098" spans="3:5">
      <c r="C1098" s="178" t="s">
        <v>149</v>
      </c>
      <c r="D1098" s="178" t="s">
        <v>149</v>
      </c>
      <c r="E1098" s="178" t="str">
        <f t="shared" si="30"/>
        <v/>
      </c>
    </row>
    <row r="1099" spans="3:5">
      <c r="C1099" s="178" t="s">
        <v>149</v>
      </c>
      <c r="D1099" s="178" t="s">
        <v>149</v>
      </c>
      <c r="E1099" s="178" t="str">
        <f t="shared" si="30"/>
        <v/>
      </c>
    </row>
    <row r="1100" spans="3:5">
      <c r="C1100" s="178" t="s">
        <v>149</v>
      </c>
      <c r="D1100" s="178" t="s">
        <v>149</v>
      </c>
      <c r="E1100" s="178" t="str">
        <f t="shared" si="30"/>
        <v/>
      </c>
    </row>
    <row r="1101" spans="3:5">
      <c r="C1101" s="178" t="s">
        <v>149</v>
      </c>
      <c r="D1101" s="178" t="s">
        <v>149</v>
      </c>
      <c r="E1101" s="178" t="str">
        <f t="shared" si="30"/>
        <v/>
      </c>
    </row>
    <row r="1102" spans="3:5">
      <c r="C1102" s="178" t="s">
        <v>149</v>
      </c>
      <c r="D1102" s="178" t="s">
        <v>149</v>
      </c>
      <c r="E1102" s="178" t="str">
        <f t="shared" si="30"/>
        <v/>
      </c>
    </row>
    <row r="1103" spans="3:5">
      <c r="C1103" s="178" t="s">
        <v>149</v>
      </c>
      <c r="D1103" s="178" t="s">
        <v>149</v>
      </c>
      <c r="E1103" s="178" t="str">
        <f t="shared" si="30"/>
        <v/>
      </c>
    </row>
    <row r="1104" spans="3:5">
      <c r="C1104" s="178" t="s">
        <v>149</v>
      </c>
      <c r="D1104" s="178" t="s">
        <v>149</v>
      </c>
      <c r="E1104" s="178" t="str">
        <f t="shared" si="30"/>
        <v/>
      </c>
    </row>
    <row r="1105" spans="3:5">
      <c r="C1105" s="178" t="s">
        <v>149</v>
      </c>
      <c r="D1105" s="178" t="s">
        <v>149</v>
      </c>
      <c r="E1105" s="178" t="str">
        <f t="shared" si="30"/>
        <v/>
      </c>
    </row>
    <row r="1106" spans="3:5">
      <c r="C1106" s="178" t="s">
        <v>149</v>
      </c>
      <c r="D1106" s="178" t="s">
        <v>149</v>
      </c>
      <c r="E1106" s="178" t="str">
        <f t="shared" si="30"/>
        <v/>
      </c>
    </row>
    <row r="1107" spans="3:5">
      <c r="C1107" s="178" t="s">
        <v>149</v>
      </c>
      <c r="D1107" s="178" t="s">
        <v>149</v>
      </c>
      <c r="E1107" s="178" t="str">
        <f t="shared" si="30"/>
        <v/>
      </c>
    </row>
    <row r="1108" spans="3:5">
      <c r="C1108" s="178" t="s">
        <v>149</v>
      </c>
      <c r="D1108" s="178" t="s">
        <v>149</v>
      </c>
      <c r="E1108" s="178" t="str">
        <f t="shared" si="30"/>
        <v/>
      </c>
    </row>
    <row r="1109" spans="3:5">
      <c r="C1109" s="178" t="s">
        <v>149</v>
      </c>
      <c r="D1109" s="178" t="s">
        <v>149</v>
      </c>
      <c r="E1109" s="178" t="str">
        <f t="shared" si="30"/>
        <v/>
      </c>
    </row>
    <row r="1110" spans="3:5">
      <c r="C1110" s="178" t="s">
        <v>149</v>
      </c>
      <c r="D1110" s="178" t="s">
        <v>149</v>
      </c>
      <c r="E1110" s="178" t="str">
        <f t="shared" si="30"/>
        <v/>
      </c>
    </row>
    <row r="1111" spans="3:5">
      <c r="C1111" s="178" t="s">
        <v>149</v>
      </c>
      <c r="D1111" s="178" t="s">
        <v>149</v>
      </c>
      <c r="E1111" s="178" t="str">
        <f t="shared" si="30"/>
        <v/>
      </c>
    </row>
    <row r="1112" spans="3:5">
      <c r="C1112" s="178" t="s">
        <v>149</v>
      </c>
      <c r="D1112" s="178" t="s">
        <v>149</v>
      </c>
      <c r="E1112" s="178" t="str">
        <f t="shared" si="30"/>
        <v/>
      </c>
    </row>
    <row r="1113" spans="3:5">
      <c r="C1113" s="178" t="s">
        <v>149</v>
      </c>
      <c r="D1113" s="178" t="s">
        <v>149</v>
      </c>
      <c r="E1113" s="178" t="str">
        <f t="shared" si="30"/>
        <v/>
      </c>
    </row>
    <row r="1114" spans="3:5">
      <c r="C1114" s="178" t="s">
        <v>149</v>
      </c>
      <c r="D1114" s="178" t="s">
        <v>149</v>
      </c>
      <c r="E1114" s="178" t="str">
        <f t="shared" si="30"/>
        <v/>
      </c>
    </row>
    <row r="1115" spans="3:5">
      <c r="C1115" s="178" t="s">
        <v>149</v>
      </c>
      <c r="D1115" s="178" t="s">
        <v>149</v>
      </c>
      <c r="E1115" s="178" t="str">
        <f t="shared" si="30"/>
        <v/>
      </c>
    </row>
    <row r="1116" spans="3:5">
      <c r="C1116" s="178" t="s">
        <v>149</v>
      </c>
      <c r="D1116" s="178" t="s">
        <v>149</v>
      </c>
      <c r="E1116" s="178" t="str">
        <f t="shared" si="30"/>
        <v/>
      </c>
    </row>
    <row r="1117" spans="3:5">
      <c r="C1117" s="178" t="s">
        <v>149</v>
      </c>
      <c r="D1117" s="178" t="s">
        <v>149</v>
      </c>
      <c r="E1117" s="178" t="str">
        <f t="shared" si="30"/>
        <v/>
      </c>
    </row>
    <row r="1118" spans="3:5">
      <c r="C1118" s="178" t="s">
        <v>149</v>
      </c>
      <c r="D1118" s="178" t="s">
        <v>149</v>
      </c>
      <c r="E1118" s="178" t="str">
        <f t="shared" si="30"/>
        <v/>
      </c>
    </row>
    <row r="1119" spans="3:5">
      <c r="C1119" s="178" t="s">
        <v>149</v>
      </c>
      <c r="D1119" s="178" t="s">
        <v>149</v>
      </c>
      <c r="E1119" s="178" t="str">
        <f t="shared" si="30"/>
        <v/>
      </c>
    </row>
    <row r="1120" spans="3:5">
      <c r="C1120" s="178" t="s">
        <v>149</v>
      </c>
      <c r="D1120" s="178" t="s">
        <v>149</v>
      </c>
      <c r="E1120" s="178" t="str">
        <f t="shared" si="30"/>
        <v/>
      </c>
    </row>
    <row r="1121" spans="3:5">
      <c r="C1121" s="178" t="s">
        <v>149</v>
      </c>
      <c r="D1121" s="178" t="s">
        <v>149</v>
      </c>
      <c r="E1121" s="178" t="str">
        <f t="shared" si="30"/>
        <v/>
      </c>
    </row>
    <row r="1122" spans="3:5">
      <c r="C1122" s="178" t="s">
        <v>149</v>
      </c>
      <c r="D1122" s="178" t="s">
        <v>149</v>
      </c>
      <c r="E1122" s="178" t="str">
        <f t="shared" si="30"/>
        <v/>
      </c>
    </row>
    <row r="1123" spans="3:5">
      <c r="C1123" s="178" t="s">
        <v>149</v>
      </c>
      <c r="D1123" s="178" t="s">
        <v>149</v>
      </c>
      <c r="E1123" s="178" t="str">
        <f t="shared" si="30"/>
        <v/>
      </c>
    </row>
    <row r="1124" spans="3:5">
      <c r="C1124" s="178" t="s">
        <v>149</v>
      </c>
      <c r="D1124" s="178" t="s">
        <v>149</v>
      </c>
      <c r="E1124" s="178" t="str">
        <f t="shared" si="30"/>
        <v/>
      </c>
    </row>
    <row r="1125" spans="3:5">
      <c r="C1125" s="178" t="s">
        <v>149</v>
      </c>
      <c r="D1125" s="178" t="s">
        <v>149</v>
      </c>
      <c r="E1125" s="178" t="str">
        <f t="shared" si="30"/>
        <v/>
      </c>
    </row>
    <row r="1126" spans="3:5">
      <c r="C1126" s="178" t="s">
        <v>149</v>
      </c>
      <c r="D1126" s="178" t="s">
        <v>149</v>
      </c>
      <c r="E1126" s="178" t="str">
        <f t="shared" si="30"/>
        <v/>
      </c>
    </row>
    <row r="1127" spans="3:5">
      <c r="C1127" s="178" t="s">
        <v>149</v>
      </c>
      <c r="D1127" s="178" t="s">
        <v>149</v>
      </c>
      <c r="E1127" s="178" t="str">
        <f t="shared" si="30"/>
        <v/>
      </c>
    </row>
    <row r="1128" spans="3:5">
      <c r="C1128" s="178" t="s">
        <v>149</v>
      </c>
      <c r="D1128" s="178" t="s">
        <v>149</v>
      </c>
      <c r="E1128" s="178" t="str">
        <f t="shared" si="30"/>
        <v/>
      </c>
    </row>
    <row r="1129" spans="3:5">
      <c r="C1129" s="178" t="s">
        <v>149</v>
      </c>
      <c r="D1129" s="178" t="s">
        <v>149</v>
      </c>
      <c r="E1129" s="178" t="str">
        <f t="shared" si="30"/>
        <v/>
      </c>
    </row>
    <row r="1130" spans="3:5">
      <c r="C1130" s="178" t="s">
        <v>149</v>
      </c>
      <c r="D1130" s="178" t="s">
        <v>149</v>
      </c>
      <c r="E1130" s="178" t="str">
        <f t="shared" si="30"/>
        <v/>
      </c>
    </row>
    <row r="1131" spans="3:5">
      <c r="C1131" s="178" t="s">
        <v>149</v>
      </c>
      <c r="D1131" s="178" t="s">
        <v>149</v>
      </c>
      <c r="E1131" s="178" t="str">
        <f t="shared" si="30"/>
        <v/>
      </c>
    </row>
    <row r="1132" spans="3:5">
      <c r="C1132" s="178" t="s">
        <v>149</v>
      </c>
      <c r="D1132" s="178" t="s">
        <v>149</v>
      </c>
      <c r="E1132" s="178" t="str">
        <f t="shared" si="30"/>
        <v/>
      </c>
    </row>
    <row r="1133" spans="3:5">
      <c r="C1133" s="178" t="s">
        <v>149</v>
      </c>
      <c r="D1133" s="178" t="s">
        <v>149</v>
      </c>
      <c r="E1133" s="178" t="str">
        <f t="shared" si="30"/>
        <v/>
      </c>
    </row>
    <row r="1134" spans="3:5">
      <c r="C1134" s="178" t="s">
        <v>149</v>
      </c>
      <c r="D1134" s="178" t="s">
        <v>149</v>
      </c>
      <c r="E1134" s="178" t="str">
        <f t="shared" si="30"/>
        <v/>
      </c>
    </row>
    <row r="1135" spans="3:5">
      <c r="C1135" s="178" t="s">
        <v>149</v>
      </c>
      <c r="D1135" s="178" t="s">
        <v>149</v>
      </c>
      <c r="E1135" s="178" t="str">
        <f t="shared" si="30"/>
        <v/>
      </c>
    </row>
    <row r="1136" spans="3:5">
      <c r="C1136" s="178" t="s">
        <v>149</v>
      </c>
      <c r="D1136" s="178" t="s">
        <v>149</v>
      </c>
      <c r="E1136" s="178" t="str">
        <f t="shared" si="30"/>
        <v/>
      </c>
    </row>
    <row r="1137" spans="3:5">
      <c r="C1137" s="178" t="s">
        <v>149</v>
      </c>
      <c r="D1137" s="178" t="s">
        <v>149</v>
      </c>
      <c r="E1137" s="178" t="str">
        <f t="shared" si="30"/>
        <v/>
      </c>
    </row>
    <row r="1138" spans="3:5">
      <c r="C1138" s="178" t="s">
        <v>149</v>
      </c>
      <c r="D1138" s="178" t="s">
        <v>149</v>
      </c>
      <c r="E1138" s="178" t="str">
        <f t="shared" si="30"/>
        <v/>
      </c>
    </row>
    <row r="1139" spans="3:5">
      <c r="C1139" s="178" t="s">
        <v>149</v>
      </c>
      <c r="D1139" s="178" t="s">
        <v>149</v>
      </c>
      <c r="E1139" s="178" t="str">
        <f t="shared" si="30"/>
        <v/>
      </c>
    </row>
    <row r="1140" spans="3:5">
      <c r="C1140" s="178" t="s">
        <v>149</v>
      </c>
      <c r="D1140" s="178" t="s">
        <v>149</v>
      </c>
      <c r="E1140" s="178" t="str">
        <f t="shared" si="30"/>
        <v/>
      </c>
    </row>
    <row r="1141" spans="3:5">
      <c r="C1141" s="178" t="s">
        <v>149</v>
      </c>
      <c r="D1141" s="178" t="s">
        <v>149</v>
      </c>
      <c r="E1141" s="178" t="str">
        <f t="shared" si="30"/>
        <v/>
      </c>
    </row>
    <row r="1142" spans="3:5">
      <c r="C1142" s="178" t="s">
        <v>149</v>
      </c>
      <c r="D1142" s="178" t="s">
        <v>149</v>
      </c>
      <c r="E1142" s="178" t="str">
        <f t="shared" si="30"/>
        <v/>
      </c>
    </row>
    <row r="1143" spans="3:5">
      <c r="C1143" s="178" t="s">
        <v>149</v>
      </c>
      <c r="D1143" s="178" t="s">
        <v>149</v>
      </c>
      <c r="E1143" s="178" t="str">
        <f t="shared" si="30"/>
        <v/>
      </c>
    </row>
    <row r="1144" spans="3:5">
      <c r="C1144" s="178" t="s">
        <v>149</v>
      </c>
      <c r="D1144" s="178" t="s">
        <v>149</v>
      </c>
      <c r="E1144" s="178" t="str">
        <f t="shared" si="30"/>
        <v/>
      </c>
    </row>
    <row r="1145" spans="3:5">
      <c r="C1145" s="178" t="s">
        <v>149</v>
      </c>
      <c r="D1145" s="178" t="s">
        <v>149</v>
      </c>
      <c r="E1145" s="178" t="str">
        <f t="shared" si="30"/>
        <v/>
      </c>
    </row>
    <row r="1146" spans="3:5">
      <c r="C1146" s="178" t="s">
        <v>149</v>
      </c>
      <c r="D1146" s="178" t="s">
        <v>149</v>
      </c>
      <c r="E1146" s="178" t="str">
        <f t="shared" si="30"/>
        <v/>
      </c>
    </row>
    <row r="1147" spans="3:5">
      <c r="C1147" s="178" t="s">
        <v>149</v>
      </c>
      <c r="D1147" s="178" t="s">
        <v>149</v>
      </c>
      <c r="E1147" s="178" t="str">
        <f t="shared" si="30"/>
        <v/>
      </c>
    </row>
    <row r="1148" spans="3:5">
      <c r="C1148" s="178" t="s">
        <v>149</v>
      </c>
      <c r="D1148" s="178" t="s">
        <v>149</v>
      </c>
      <c r="E1148" s="178" t="str">
        <f t="shared" si="30"/>
        <v/>
      </c>
    </row>
    <row r="1149" spans="3:5">
      <c r="C1149" s="178" t="s">
        <v>149</v>
      </c>
      <c r="D1149" s="178" t="s">
        <v>149</v>
      </c>
      <c r="E1149" s="178" t="str">
        <f t="shared" si="30"/>
        <v/>
      </c>
    </row>
    <row r="1150" spans="3:5">
      <c r="C1150" s="178" t="s">
        <v>149</v>
      </c>
      <c r="D1150" s="178" t="s">
        <v>149</v>
      </c>
      <c r="E1150" s="178" t="str">
        <f t="shared" si="30"/>
        <v/>
      </c>
    </row>
    <row r="1151" spans="3:5">
      <c r="C1151" s="178" t="s">
        <v>149</v>
      </c>
      <c r="D1151" s="178" t="s">
        <v>149</v>
      </c>
      <c r="E1151" s="178" t="str">
        <f t="shared" si="30"/>
        <v/>
      </c>
    </row>
    <row r="1152" spans="3:5">
      <c r="C1152" s="178" t="s">
        <v>149</v>
      </c>
      <c r="D1152" s="178" t="s">
        <v>149</v>
      </c>
      <c r="E1152" s="178" t="str">
        <f t="shared" si="30"/>
        <v/>
      </c>
    </row>
    <row r="1153" spans="3:5">
      <c r="C1153" s="178" t="s">
        <v>149</v>
      </c>
      <c r="D1153" s="178" t="s">
        <v>149</v>
      </c>
      <c r="E1153" s="178" t="str">
        <f t="shared" si="30"/>
        <v/>
      </c>
    </row>
    <row r="1154" spans="3:5">
      <c r="C1154" s="178" t="s">
        <v>149</v>
      </c>
      <c r="D1154" s="178" t="s">
        <v>149</v>
      </c>
      <c r="E1154" s="178" t="str">
        <f t="shared" si="30"/>
        <v/>
      </c>
    </row>
    <row r="1155" spans="3:5">
      <c r="C1155" s="178" t="s">
        <v>149</v>
      </c>
      <c r="D1155" s="178" t="s">
        <v>149</v>
      </c>
      <c r="E1155" s="178" t="str">
        <f t="shared" si="30"/>
        <v/>
      </c>
    </row>
    <row r="1156" spans="3:5">
      <c r="C1156" s="178" t="s">
        <v>149</v>
      </c>
      <c r="D1156" s="178" t="s">
        <v>149</v>
      </c>
      <c r="E1156" s="178" t="str">
        <f t="shared" ref="E1156:E1209" si="31">IF(C1156&lt;D1156,C1156,D1156)</f>
        <v/>
      </c>
    </row>
    <row r="1157" spans="3:5">
      <c r="C1157" s="178" t="s">
        <v>149</v>
      </c>
      <c r="D1157" s="178" t="s">
        <v>149</v>
      </c>
      <c r="E1157" s="178" t="str">
        <f t="shared" si="31"/>
        <v/>
      </c>
    </row>
    <row r="1158" spans="3:5">
      <c r="C1158" s="178" t="s">
        <v>149</v>
      </c>
      <c r="D1158" s="178" t="s">
        <v>149</v>
      </c>
      <c r="E1158" s="178" t="str">
        <f t="shared" si="31"/>
        <v/>
      </c>
    </row>
    <row r="1159" spans="3:5">
      <c r="C1159" s="178" t="s">
        <v>149</v>
      </c>
      <c r="D1159" s="178" t="s">
        <v>149</v>
      </c>
      <c r="E1159" s="178" t="str">
        <f t="shared" si="31"/>
        <v/>
      </c>
    </row>
    <row r="1160" spans="3:5">
      <c r="C1160" s="178" t="s">
        <v>149</v>
      </c>
      <c r="D1160" s="178" t="s">
        <v>149</v>
      </c>
      <c r="E1160" s="178" t="str">
        <f t="shared" si="31"/>
        <v/>
      </c>
    </row>
    <row r="1161" spans="3:5">
      <c r="C1161" s="178" t="s">
        <v>149</v>
      </c>
      <c r="D1161" s="178" t="s">
        <v>149</v>
      </c>
      <c r="E1161" s="178" t="str">
        <f t="shared" si="31"/>
        <v/>
      </c>
    </row>
    <row r="1162" spans="3:5">
      <c r="C1162" s="178" t="s">
        <v>149</v>
      </c>
      <c r="D1162" s="178" t="s">
        <v>149</v>
      </c>
      <c r="E1162" s="178" t="str">
        <f t="shared" si="31"/>
        <v/>
      </c>
    </row>
    <row r="1163" spans="3:5">
      <c r="C1163" s="178" t="s">
        <v>149</v>
      </c>
      <c r="D1163" s="178" t="s">
        <v>149</v>
      </c>
      <c r="E1163" s="178" t="str">
        <f t="shared" si="31"/>
        <v/>
      </c>
    </row>
    <row r="1164" spans="3:5">
      <c r="C1164" s="178" t="s">
        <v>149</v>
      </c>
      <c r="D1164" s="178" t="s">
        <v>149</v>
      </c>
      <c r="E1164" s="178" t="str">
        <f t="shared" si="31"/>
        <v/>
      </c>
    </row>
    <row r="1165" spans="3:5">
      <c r="C1165" s="178" t="s">
        <v>149</v>
      </c>
      <c r="D1165" s="178" t="s">
        <v>149</v>
      </c>
      <c r="E1165" s="178" t="str">
        <f t="shared" si="31"/>
        <v/>
      </c>
    </row>
    <row r="1166" spans="3:5">
      <c r="C1166" s="178" t="s">
        <v>149</v>
      </c>
      <c r="D1166" s="178" t="s">
        <v>149</v>
      </c>
      <c r="E1166" s="178" t="str">
        <f t="shared" si="31"/>
        <v/>
      </c>
    </row>
    <row r="1167" spans="3:5">
      <c r="C1167" s="178" t="s">
        <v>149</v>
      </c>
      <c r="D1167" s="178" t="s">
        <v>149</v>
      </c>
      <c r="E1167" s="178" t="str">
        <f t="shared" si="31"/>
        <v/>
      </c>
    </row>
    <row r="1168" spans="3:5">
      <c r="C1168" s="178" t="s">
        <v>149</v>
      </c>
      <c r="D1168" s="178" t="s">
        <v>149</v>
      </c>
      <c r="E1168" s="178" t="str">
        <f t="shared" si="31"/>
        <v/>
      </c>
    </row>
    <row r="1169" spans="3:5">
      <c r="C1169" s="178" t="s">
        <v>149</v>
      </c>
      <c r="D1169" s="178" t="s">
        <v>149</v>
      </c>
      <c r="E1169" s="178" t="str">
        <f t="shared" si="31"/>
        <v/>
      </c>
    </row>
    <row r="1170" spans="3:5">
      <c r="C1170" s="178" t="s">
        <v>149</v>
      </c>
      <c r="D1170" s="178" t="s">
        <v>149</v>
      </c>
      <c r="E1170" s="178" t="str">
        <f t="shared" si="31"/>
        <v/>
      </c>
    </row>
    <row r="1171" spans="3:5">
      <c r="C1171" s="178" t="s">
        <v>149</v>
      </c>
      <c r="D1171" s="178" t="s">
        <v>149</v>
      </c>
      <c r="E1171" s="178" t="str">
        <f t="shared" si="31"/>
        <v/>
      </c>
    </row>
    <row r="1172" spans="3:5">
      <c r="C1172" s="178" t="s">
        <v>149</v>
      </c>
      <c r="D1172" s="178" t="s">
        <v>149</v>
      </c>
      <c r="E1172" s="178" t="str">
        <f t="shared" si="31"/>
        <v/>
      </c>
    </row>
    <row r="1173" spans="3:5">
      <c r="C1173" s="178" t="s">
        <v>149</v>
      </c>
      <c r="D1173" s="178" t="s">
        <v>149</v>
      </c>
      <c r="E1173" s="178" t="str">
        <f t="shared" si="31"/>
        <v/>
      </c>
    </row>
    <row r="1174" spans="3:5">
      <c r="C1174" s="178" t="s">
        <v>149</v>
      </c>
      <c r="D1174" s="178" t="s">
        <v>149</v>
      </c>
      <c r="E1174" s="178" t="str">
        <f t="shared" si="31"/>
        <v/>
      </c>
    </row>
    <row r="1175" spans="3:5">
      <c r="C1175" s="178" t="s">
        <v>149</v>
      </c>
      <c r="D1175" s="178" t="s">
        <v>149</v>
      </c>
      <c r="E1175" s="178" t="str">
        <f t="shared" si="31"/>
        <v/>
      </c>
    </row>
    <row r="1176" spans="3:5">
      <c r="C1176" s="178" t="s">
        <v>149</v>
      </c>
      <c r="D1176" s="178" t="s">
        <v>149</v>
      </c>
      <c r="E1176" s="178" t="str">
        <f t="shared" si="31"/>
        <v/>
      </c>
    </row>
    <row r="1177" spans="3:5">
      <c r="C1177" s="178" t="s">
        <v>149</v>
      </c>
      <c r="D1177" s="178" t="s">
        <v>149</v>
      </c>
      <c r="E1177" s="178" t="str">
        <f t="shared" si="31"/>
        <v/>
      </c>
    </row>
    <row r="1178" spans="3:5">
      <c r="C1178" s="178" t="s">
        <v>149</v>
      </c>
      <c r="D1178" s="178" t="s">
        <v>149</v>
      </c>
      <c r="E1178" s="178" t="str">
        <f t="shared" si="31"/>
        <v/>
      </c>
    </row>
    <row r="1179" spans="3:5">
      <c r="C1179" s="178" t="s">
        <v>149</v>
      </c>
      <c r="D1179" s="178" t="s">
        <v>149</v>
      </c>
      <c r="E1179" s="178" t="str">
        <f t="shared" si="31"/>
        <v/>
      </c>
    </row>
    <row r="1180" spans="3:5">
      <c r="C1180" s="178" t="s">
        <v>149</v>
      </c>
      <c r="D1180" s="178" t="s">
        <v>149</v>
      </c>
      <c r="E1180" s="178" t="str">
        <f t="shared" si="31"/>
        <v/>
      </c>
    </row>
    <row r="1181" spans="3:5">
      <c r="C1181" s="178" t="s">
        <v>149</v>
      </c>
      <c r="D1181" s="178" t="s">
        <v>149</v>
      </c>
      <c r="E1181" s="178" t="str">
        <f t="shared" si="31"/>
        <v/>
      </c>
    </row>
    <row r="1182" spans="3:5">
      <c r="C1182" s="178" t="s">
        <v>149</v>
      </c>
      <c r="D1182" s="178" t="s">
        <v>149</v>
      </c>
      <c r="E1182" s="178" t="str">
        <f t="shared" si="31"/>
        <v/>
      </c>
    </row>
    <row r="1183" spans="3:5">
      <c r="C1183" s="178" t="s">
        <v>149</v>
      </c>
      <c r="D1183" s="178" t="s">
        <v>149</v>
      </c>
      <c r="E1183" s="178" t="str">
        <f t="shared" si="31"/>
        <v/>
      </c>
    </row>
    <row r="1184" spans="3:5">
      <c r="C1184" s="178" t="s">
        <v>149</v>
      </c>
      <c r="D1184" s="178" t="s">
        <v>149</v>
      </c>
      <c r="E1184" s="178" t="str">
        <f t="shared" si="31"/>
        <v/>
      </c>
    </row>
    <row r="1185" spans="3:5">
      <c r="C1185" s="178" t="s">
        <v>149</v>
      </c>
      <c r="D1185" s="178" t="s">
        <v>149</v>
      </c>
      <c r="E1185" s="178" t="str">
        <f t="shared" si="31"/>
        <v/>
      </c>
    </row>
    <row r="1186" spans="3:5">
      <c r="C1186" s="178" t="s">
        <v>149</v>
      </c>
      <c r="D1186" s="178" t="s">
        <v>149</v>
      </c>
      <c r="E1186" s="178" t="str">
        <f t="shared" si="31"/>
        <v/>
      </c>
    </row>
    <row r="1187" spans="3:5">
      <c r="C1187" s="178" t="s">
        <v>149</v>
      </c>
      <c r="D1187" s="178" t="s">
        <v>149</v>
      </c>
      <c r="E1187" s="178" t="str">
        <f t="shared" si="31"/>
        <v/>
      </c>
    </row>
    <row r="1188" spans="3:5">
      <c r="C1188" s="178" t="s">
        <v>149</v>
      </c>
      <c r="D1188" s="178" t="s">
        <v>149</v>
      </c>
      <c r="E1188" s="178" t="str">
        <f t="shared" si="31"/>
        <v/>
      </c>
    </row>
    <row r="1189" spans="3:5">
      <c r="C1189" s="178" t="s">
        <v>149</v>
      </c>
      <c r="D1189" s="178" t="s">
        <v>149</v>
      </c>
      <c r="E1189" s="178" t="str">
        <f t="shared" si="31"/>
        <v/>
      </c>
    </row>
    <row r="1190" spans="3:5">
      <c r="C1190" s="178" t="s">
        <v>149</v>
      </c>
      <c r="D1190" s="178" t="s">
        <v>149</v>
      </c>
      <c r="E1190" s="178" t="str">
        <f t="shared" si="31"/>
        <v/>
      </c>
    </row>
    <row r="1191" spans="3:5">
      <c r="C1191" s="178" t="s">
        <v>149</v>
      </c>
      <c r="D1191" s="178" t="s">
        <v>149</v>
      </c>
      <c r="E1191" s="178" t="str">
        <f t="shared" si="31"/>
        <v/>
      </c>
    </row>
    <row r="1192" spans="3:5">
      <c r="C1192" s="178" t="s">
        <v>149</v>
      </c>
      <c r="D1192" s="178" t="s">
        <v>149</v>
      </c>
      <c r="E1192" s="178" t="str">
        <f t="shared" si="31"/>
        <v/>
      </c>
    </row>
    <row r="1193" spans="3:5">
      <c r="C1193" s="178" t="s">
        <v>149</v>
      </c>
      <c r="D1193" s="178" t="s">
        <v>149</v>
      </c>
      <c r="E1193" s="178" t="str">
        <f t="shared" si="31"/>
        <v/>
      </c>
    </row>
    <row r="1194" spans="3:5">
      <c r="C1194" s="178" t="s">
        <v>149</v>
      </c>
      <c r="D1194" s="178" t="s">
        <v>149</v>
      </c>
      <c r="E1194" s="178" t="str">
        <f t="shared" si="31"/>
        <v/>
      </c>
    </row>
    <row r="1195" spans="3:5">
      <c r="C1195" s="178" t="s">
        <v>149</v>
      </c>
      <c r="D1195" s="178" t="s">
        <v>149</v>
      </c>
      <c r="E1195" s="178" t="str">
        <f t="shared" si="31"/>
        <v/>
      </c>
    </row>
    <row r="1196" spans="3:5">
      <c r="C1196" s="178" t="s">
        <v>149</v>
      </c>
      <c r="D1196" s="178" t="s">
        <v>149</v>
      </c>
      <c r="E1196" s="178" t="str">
        <f t="shared" si="31"/>
        <v/>
      </c>
    </row>
    <row r="1197" spans="3:5">
      <c r="C1197" s="178" t="s">
        <v>149</v>
      </c>
      <c r="D1197" s="178" t="s">
        <v>149</v>
      </c>
      <c r="E1197" s="178" t="str">
        <f t="shared" si="31"/>
        <v/>
      </c>
    </row>
    <row r="1198" spans="3:5">
      <c r="C1198" s="178" t="s">
        <v>149</v>
      </c>
      <c r="D1198" s="178" t="s">
        <v>149</v>
      </c>
      <c r="E1198" s="178" t="str">
        <f t="shared" si="31"/>
        <v/>
      </c>
    </row>
    <row r="1199" spans="3:5">
      <c r="C1199" s="178" t="s">
        <v>149</v>
      </c>
      <c r="D1199" s="178" t="s">
        <v>149</v>
      </c>
      <c r="E1199" s="178" t="str">
        <f t="shared" si="31"/>
        <v/>
      </c>
    </row>
    <row r="1200" spans="3:5">
      <c r="C1200" s="178" t="s">
        <v>149</v>
      </c>
      <c r="D1200" s="178" t="s">
        <v>149</v>
      </c>
      <c r="E1200" s="178" t="str">
        <f t="shared" si="31"/>
        <v/>
      </c>
    </row>
    <row r="1201" spans="3:5">
      <c r="C1201" s="178" t="s">
        <v>149</v>
      </c>
      <c r="D1201" s="178" t="s">
        <v>149</v>
      </c>
      <c r="E1201" s="178" t="str">
        <f t="shared" si="31"/>
        <v/>
      </c>
    </row>
    <row r="1202" spans="3:5">
      <c r="C1202" s="178" t="s">
        <v>149</v>
      </c>
      <c r="D1202" s="178" t="s">
        <v>149</v>
      </c>
      <c r="E1202" s="178" t="str">
        <f t="shared" si="31"/>
        <v/>
      </c>
    </row>
    <row r="1203" spans="3:5">
      <c r="C1203" s="178" t="s">
        <v>149</v>
      </c>
      <c r="D1203" s="178" t="s">
        <v>149</v>
      </c>
      <c r="E1203" s="178" t="str">
        <f t="shared" si="31"/>
        <v/>
      </c>
    </row>
    <row r="1204" spans="3:5">
      <c r="C1204" s="178" t="s">
        <v>149</v>
      </c>
      <c r="D1204" s="178" t="s">
        <v>149</v>
      </c>
      <c r="E1204" s="178" t="str">
        <f t="shared" si="31"/>
        <v/>
      </c>
    </row>
    <row r="1205" spans="3:5">
      <c r="C1205" s="178" t="s">
        <v>149</v>
      </c>
      <c r="D1205" s="178" t="s">
        <v>149</v>
      </c>
      <c r="E1205" s="178" t="str">
        <f t="shared" si="31"/>
        <v/>
      </c>
    </row>
    <row r="1206" spans="3:5">
      <c r="C1206" s="178" t="s">
        <v>149</v>
      </c>
      <c r="D1206" s="178" t="s">
        <v>149</v>
      </c>
      <c r="E1206" s="178" t="str">
        <f t="shared" si="31"/>
        <v/>
      </c>
    </row>
    <row r="1207" spans="3:5">
      <c r="C1207" s="178" t="s">
        <v>149</v>
      </c>
      <c r="D1207" s="178" t="s">
        <v>149</v>
      </c>
      <c r="E1207" s="178" t="str">
        <f t="shared" si="31"/>
        <v/>
      </c>
    </row>
    <row r="1208" spans="3:5">
      <c r="C1208" s="178" t="s">
        <v>149</v>
      </c>
      <c r="D1208" s="178" t="s">
        <v>149</v>
      </c>
      <c r="E1208" s="178" t="str">
        <f t="shared" si="31"/>
        <v/>
      </c>
    </row>
    <row r="1209" spans="3:5">
      <c r="C1209" s="178" t="s">
        <v>149</v>
      </c>
      <c r="D1209" s="178" t="s">
        <v>149</v>
      </c>
      <c r="E1209" s="178" t="str">
        <f t="shared" si="31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topLeftCell="A334" workbookViewId="0">
      <selection activeCell="I79" sqref="I79"/>
    </sheetView>
  </sheetViews>
  <sheetFormatPr baseColWidth="10" defaultColWidth="11.42578125" defaultRowHeight="11.25"/>
  <cols>
    <col min="1" max="2" width="11.42578125" style="165"/>
    <col min="3" max="3" width="13.42578125" style="165" bestFit="1" customWidth="1"/>
    <col min="4" max="9" width="11.42578125" style="165"/>
    <col min="10" max="10" width="11.42578125" style="238"/>
    <col min="11" max="16384" width="11.42578125" style="165"/>
  </cols>
  <sheetData>
    <row r="2" spans="2:11">
      <c r="B2" s="149" t="s">
        <v>26</v>
      </c>
    </row>
    <row r="3" spans="2:11" ht="22.5">
      <c r="B3" s="239" t="s">
        <v>30</v>
      </c>
      <c r="C3" s="240" t="s">
        <v>31</v>
      </c>
      <c r="D3" s="260"/>
      <c r="E3" s="241" t="s">
        <v>32</v>
      </c>
      <c r="F3" s="241" t="s">
        <v>33</v>
      </c>
      <c r="G3" s="240" t="s">
        <v>34</v>
      </c>
      <c r="H3" s="242"/>
      <c r="I3" s="243"/>
      <c r="J3" s="244"/>
    </row>
    <row r="4" spans="2:11">
      <c r="B4" s="245" t="s">
        <v>210</v>
      </c>
      <c r="C4" s="246">
        <f>Dat_02!B3</f>
        <v>44044</v>
      </c>
      <c r="D4" s="247"/>
      <c r="E4" s="248">
        <f>Dat_02!C3</f>
        <v>1.187373493168685</v>
      </c>
      <c r="F4" s="248">
        <f>Dat_02!D3</f>
        <v>17.313341416272394</v>
      </c>
      <c r="G4" s="248">
        <f>Dat_02!E3</f>
        <v>1.187373493168685</v>
      </c>
      <c r="I4" s="249">
        <f>Dat_02!G3</f>
        <v>0</v>
      </c>
      <c r="J4" s="259" t="str">
        <f>IF(Dat_02!H3=0,"",Dat_02!H3)</f>
        <v/>
      </c>
      <c r="K4" s="165" t="str">
        <f>IF(J4=0,"",J4)</f>
        <v/>
      </c>
    </row>
    <row r="5" spans="2:11">
      <c r="B5" s="247"/>
      <c r="C5" s="246">
        <f>Dat_02!B4</f>
        <v>44045</v>
      </c>
      <c r="D5" s="247"/>
      <c r="E5" s="248">
        <f>Dat_02!C4</f>
        <v>1.2324426491705454</v>
      </c>
      <c r="F5" s="248">
        <f>Dat_02!D4</f>
        <v>17.313341416272394</v>
      </c>
      <c r="G5" s="248">
        <f>Dat_02!E4</f>
        <v>1.2324426491705454</v>
      </c>
      <c r="I5" s="249">
        <f>Dat_02!G4</f>
        <v>0</v>
      </c>
      <c r="J5" s="259" t="str">
        <f>IF(Dat_02!H4=0,"",Dat_02!H4)</f>
        <v/>
      </c>
    </row>
    <row r="6" spans="2:11">
      <c r="B6" s="245"/>
      <c r="C6" s="246">
        <f>Dat_02!B5</f>
        <v>44046</v>
      </c>
      <c r="D6" s="245"/>
      <c r="E6" s="248">
        <f>Dat_02!C5</f>
        <v>2.2733819891686871</v>
      </c>
      <c r="F6" s="248">
        <f>Dat_02!D5</f>
        <v>17.313341416272394</v>
      </c>
      <c r="G6" s="248">
        <f>Dat_02!E5</f>
        <v>2.2733819891686871</v>
      </c>
      <c r="I6" s="249">
        <f>Dat_02!G5</f>
        <v>0</v>
      </c>
      <c r="J6" s="259" t="str">
        <f>IF(Dat_02!H5=0,"",Dat_02!H5)</f>
        <v/>
      </c>
    </row>
    <row r="7" spans="2:11">
      <c r="B7" s="245"/>
      <c r="C7" s="246">
        <f>Dat_02!B6</f>
        <v>44047</v>
      </c>
      <c r="D7" s="245"/>
      <c r="E7" s="248">
        <f>Dat_02!C6</f>
        <v>1.0302514831686858</v>
      </c>
      <c r="F7" s="248">
        <f>Dat_02!D6</f>
        <v>17.313341416272394</v>
      </c>
      <c r="G7" s="248">
        <f>Dat_02!E6</f>
        <v>1.0302514831686858</v>
      </c>
      <c r="I7" s="249">
        <f>Dat_02!G6</f>
        <v>0</v>
      </c>
      <c r="J7" s="259" t="str">
        <f>IF(Dat_02!H6=0,"",Dat_02!H6)</f>
        <v/>
      </c>
    </row>
    <row r="8" spans="2:11">
      <c r="B8" s="245"/>
      <c r="C8" s="246">
        <f>Dat_02!B7</f>
        <v>44048</v>
      </c>
      <c r="D8" s="245"/>
      <c r="E8" s="248">
        <f>Dat_02!C7</f>
        <v>1.2843243052110629</v>
      </c>
      <c r="F8" s="248">
        <f>Dat_02!D7</f>
        <v>17.313341416272394</v>
      </c>
      <c r="G8" s="248">
        <f>Dat_02!E7</f>
        <v>1.2843243052110629</v>
      </c>
      <c r="I8" s="249">
        <f>Dat_02!G7</f>
        <v>0</v>
      </c>
      <c r="J8" s="259" t="str">
        <f>IF(Dat_02!H7=0,"",Dat_02!H7)</f>
        <v/>
      </c>
    </row>
    <row r="9" spans="2:11">
      <c r="B9" s="245"/>
      <c r="C9" s="246">
        <f>Dat_02!B8</f>
        <v>44049</v>
      </c>
      <c r="D9" s="245"/>
      <c r="E9" s="248">
        <f>Dat_02!C8</f>
        <v>5.0724915292054797</v>
      </c>
      <c r="F9" s="248">
        <f>Dat_02!D8</f>
        <v>17.313341416272394</v>
      </c>
      <c r="G9" s="248">
        <f>Dat_02!E8</f>
        <v>5.0724915292054797</v>
      </c>
      <c r="I9" s="249">
        <f>Dat_02!G8</f>
        <v>0</v>
      </c>
      <c r="J9" s="259" t="str">
        <f>IF(Dat_02!H8=0,"",Dat_02!H8)</f>
        <v/>
      </c>
    </row>
    <row r="10" spans="2:11">
      <c r="B10" s="245"/>
      <c r="C10" s="246">
        <f>Dat_02!B9</f>
        <v>44050</v>
      </c>
      <c r="D10" s="245"/>
      <c r="E10" s="248">
        <f>Dat_02!C9</f>
        <v>9.7649471772054675</v>
      </c>
      <c r="F10" s="248">
        <f>Dat_02!D9</f>
        <v>17.313341416272394</v>
      </c>
      <c r="G10" s="248">
        <f>Dat_02!E9</f>
        <v>9.7649471772054675</v>
      </c>
      <c r="I10" s="249">
        <f>Dat_02!G9</f>
        <v>0</v>
      </c>
      <c r="J10" s="259" t="str">
        <f>IF(Dat_02!H9=0,"",Dat_02!H9)</f>
        <v/>
      </c>
    </row>
    <row r="11" spans="2:11">
      <c r="B11" s="245"/>
      <c r="C11" s="246">
        <f>Dat_02!B10</f>
        <v>44051</v>
      </c>
      <c r="D11" s="245"/>
      <c r="E11" s="248">
        <f>Dat_02!C10</f>
        <v>1.2628975252110612</v>
      </c>
      <c r="F11" s="248">
        <f>Dat_02!D10</f>
        <v>17.313341416272394</v>
      </c>
      <c r="G11" s="248">
        <f>Dat_02!E10</f>
        <v>1.2628975252110612</v>
      </c>
      <c r="I11" s="249">
        <f>Dat_02!G10</f>
        <v>0</v>
      </c>
      <c r="J11" s="259" t="str">
        <f>IF(Dat_02!H10=0,"",Dat_02!H10)</f>
        <v/>
      </c>
    </row>
    <row r="12" spans="2:11">
      <c r="B12" s="245"/>
      <c r="C12" s="246">
        <f>Dat_02!B11</f>
        <v>44052</v>
      </c>
      <c r="D12" s="245"/>
      <c r="E12" s="248">
        <f>Dat_02!C11</f>
        <v>1.4350578492073327</v>
      </c>
      <c r="F12" s="248">
        <f>Dat_02!D11</f>
        <v>17.313341416272394</v>
      </c>
      <c r="G12" s="248">
        <f>Dat_02!E11</f>
        <v>1.4350578492073327</v>
      </c>
      <c r="I12" s="249">
        <f>Dat_02!G11</f>
        <v>0</v>
      </c>
      <c r="J12" s="259" t="str">
        <f>IF(Dat_02!H11=0,"",Dat_02!H11)</f>
        <v/>
      </c>
    </row>
    <row r="13" spans="2:11">
      <c r="B13" s="245"/>
      <c r="C13" s="246">
        <f>Dat_02!B12</f>
        <v>44053</v>
      </c>
      <c r="D13" s="245"/>
      <c r="E13" s="248">
        <f>Dat_02!C12</f>
        <v>2.0921907332092013</v>
      </c>
      <c r="F13" s="248">
        <f>Dat_02!D12</f>
        <v>17.313341416272394</v>
      </c>
      <c r="G13" s="248">
        <f>Dat_02!E12</f>
        <v>2.0921907332092013</v>
      </c>
      <c r="I13" s="249">
        <f>Dat_02!G12</f>
        <v>0</v>
      </c>
      <c r="J13" s="259" t="str">
        <f>IF(Dat_02!H12=0,"",Dat_02!H12)</f>
        <v/>
      </c>
    </row>
    <row r="14" spans="2:11">
      <c r="B14" s="245"/>
      <c r="C14" s="246">
        <f>Dat_02!B13</f>
        <v>44054</v>
      </c>
      <c r="D14" s="245"/>
      <c r="E14" s="248">
        <f>Dat_02!C13</f>
        <v>10.213209065207339</v>
      </c>
      <c r="F14" s="248">
        <f>Dat_02!D13</f>
        <v>17.313341416272394</v>
      </c>
      <c r="G14" s="248">
        <f>Dat_02!E13</f>
        <v>10.213209065207339</v>
      </c>
      <c r="I14" s="249">
        <f>Dat_02!G13</f>
        <v>0</v>
      </c>
      <c r="J14" s="259" t="str">
        <f>IF(Dat_02!H13=0,"",Dat_02!H13)</f>
        <v/>
      </c>
    </row>
    <row r="15" spans="2:11">
      <c r="B15" s="245"/>
      <c r="C15" s="246">
        <f>Dat_02!B14</f>
        <v>44055</v>
      </c>
      <c r="D15" s="245"/>
      <c r="E15" s="248">
        <f>Dat_02!C14</f>
        <v>26.557876889262886</v>
      </c>
      <c r="F15" s="248">
        <f>Dat_02!D14</f>
        <v>17.313341416272394</v>
      </c>
      <c r="G15" s="248">
        <f>Dat_02!E14</f>
        <v>17.313341416272394</v>
      </c>
      <c r="I15" s="249">
        <f>Dat_02!G14</f>
        <v>0</v>
      </c>
      <c r="J15" s="259" t="str">
        <f>IF(Dat_02!H14=0,"",Dat_02!H14)</f>
        <v/>
      </c>
    </row>
    <row r="16" spans="2:11">
      <c r="B16" s="245"/>
      <c r="C16" s="246">
        <f>Dat_02!B15</f>
        <v>44056</v>
      </c>
      <c r="D16" s="245"/>
      <c r="E16" s="248">
        <f>Dat_02!C15</f>
        <v>36.699982845261026</v>
      </c>
      <c r="F16" s="248">
        <f>Dat_02!D15</f>
        <v>17.313341416272394</v>
      </c>
      <c r="G16" s="248">
        <f>Dat_02!E15</f>
        <v>17.313341416272394</v>
      </c>
      <c r="I16" s="249">
        <f>Dat_02!G15</f>
        <v>0</v>
      </c>
      <c r="J16" s="259" t="str">
        <f>IF(Dat_02!H15=0,"",Dat_02!H15)</f>
        <v/>
      </c>
    </row>
    <row r="17" spans="2:10">
      <c r="B17" s="245"/>
      <c r="C17" s="246">
        <f>Dat_02!B16</f>
        <v>44057</v>
      </c>
      <c r="D17" s="245"/>
      <c r="E17" s="248">
        <f>Dat_02!C16</f>
        <v>25.851025137262884</v>
      </c>
      <c r="F17" s="248">
        <f>Dat_02!D16</f>
        <v>17.313341416272394</v>
      </c>
      <c r="G17" s="248">
        <f>Dat_02!E16</f>
        <v>17.313341416272394</v>
      </c>
      <c r="I17" s="249">
        <f>Dat_02!G16</f>
        <v>0</v>
      </c>
      <c r="J17" s="259" t="str">
        <f>IF(Dat_02!H16=0,"",Dat_02!H16)</f>
        <v/>
      </c>
    </row>
    <row r="18" spans="2:10">
      <c r="B18" s="245"/>
      <c r="C18" s="246">
        <f>Dat_02!B17</f>
        <v>44058</v>
      </c>
      <c r="D18" s="245"/>
      <c r="E18" s="248">
        <f>Dat_02!C17</f>
        <v>1.4413111132628837</v>
      </c>
      <c r="F18" s="248">
        <f>Dat_02!D17</f>
        <v>17.313341416272394</v>
      </c>
      <c r="G18" s="248">
        <f>Dat_02!E17</f>
        <v>1.4413111132628837</v>
      </c>
      <c r="I18" s="309">
        <f>Dat_02!G17</f>
        <v>17.313341416272394</v>
      </c>
      <c r="J18" s="259" t="str">
        <f>IF(Dat_02!H17=0,"",Dat_02!H17)</f>
        <v/>
      </c>
    </row>
    <row r="19" spans="2:10">
      <c r="B19" s="245"/>
      <c r="C19" s="246">
        <f>Dat_02!B18</f>
        <v>44059</v>
      </c>
      <c r="D19" s="245"/>
      <c r="E19" s="248">
        <f>Dat_02!C18</f>
        <v>1.3727565432591582</v>
      </c>
      <c r="F19" s="248">
        <f>Dat_02!D18</f>
        <v>17.313341416272394</v>
      </c>
      <c r="G19" s="248">
        <f>Dat_02!E18</f>
        <v>1.3727565432591582</v>
      </c>
      <c r="I19" s="249">
        <f>Dat_02!G18</f>
        <v>0</v>
      </c>
      <c r="J19" s="259" t="str">
        <f>IF(Dat_02!H18=0,"",Dat_02!H18)</f>
        <v/>
      </c>
    </row>
    <row r="20" spans="2:10">
      <c r="B20" s="245"/>
      <c r="C20" s="246">
        <f>Dat_02!B19</f>
        <v>44060</v>
      </c>
      <c r="D20" s="245"/>
      <c r="E20" s="248">
        <f>Dat_02!C19</f>
        <v>19.10940262126288</v>
      </c>
      <c r="F20" s="248">
        <f>Dat_02!D19</f>
        <v>17.313341416272394</v>
      </c>
      <c r="G20" s="248">
        <f>Dat_02!E19</f>
        <v>17.313341416272394</v>
      </c>
      <c r="I20" s="249">
        <f>Dat_02!G19</f>
        <v>0</v>
      </c>
      <c r="J20" s="259" t="str">
        <f>IF(Dat_02!H19=0,"",Dat_02!H19)</f>
        <v/>
      </c>
    </row>
    <row r="21" spans="2:10">
      <c r="B21" s="245"/>
      <c r="C21" s="246">
        <f>Dat_02!B20</f>
        <v>44061</v>
      </c>
      <c r="D21" s="245"/>
      <c r="E21" s="248">
        <f>Dat_02!C20</f>
        <v>31.168780121262884</v>
      </c>
      <c r="F21" s="248">
        <f>Dat_02!D20</f>
        <v>17.313341416272394</v>
      </c>
      <c r="G21" s="248">
        <f>Dat_02!E20</f>
        <v>17.313341416272394</v>
      </c>
      <c r="I21" s="249">
        <f>Dat_02!G20</f>
        <v>0</v>
      </c>
      <c r="J21" s="259" t="str">
        <f>IF(Dat_02!H20=0,"",Dat_02!H20)</f>
        <v/>
      </c>
    </row>
    <row r="22" spans="2:10">
      <c r="B22" s="245"/>
      <c r="C22" s="246">
        <f>Dat_02!B21</f>
        <v>44062</v>
      </c>
      <c r="D22" s="245"/>
      <c r="E22" s="248">
        <f>Dat_02!C21</f>
        <v>6.7114400905173097</v>
      </c>
      <c r="F22" s="248">
        <f>Dat_02!D21</f>
        <v>17.313341416272394</v>
      </c>
      <c r="G22" s="248">
        <f>Dat_02!E21</f>
        <v>6.7114400905173097</v>
      </c>
      <c r="I22" s="249">
        <f>Dat_02!G21</f>
        <v>0</v>
      </c>
      <c r="J22" s="259" t="str">
        <f>IF(Dat_02!H21=0,"",Dat_02!H21)</f>
        <v/>
      </c>
    </row>
    <row r="23" spans="2:10">
      <c r="B23" s="245"/>
      <c r="C23" s="246">
        <f>Dat_02!B22</f>
        <v>44063</v>
      </c>
      <c r="D23" s="245"/>
      <c r="E23" s="248">
        <f>Dat_02!C22</f>
        <v>5.7637137785191737</v>
      </c>
      <c r="F23" s="248">
        <f>Dat_02!D22</f>
        <v>17.313341416272394</v>
      </c>
      <c r="G23" s="248">
        <f>Dat_02!E22</f>
        <v>5.7637137785191737</v>
      </c>
      <c r="I23" s="249">
        <f>Dat_02!G22</f>
        <v>0</v>
      </c>
      <c r="J23" s="259" t="str">
        <f>IF(Dat_02!H22=0,"",Dat_02!H22)</f>
        <v/>
      </c>
    </row>
    <row r="24" spans="2:10">
      <c r="B24" s="245"/>
      <c r="C24" s="246">
        <f>Dat_02!B23</f>
        <v>44064</v>
      </c>
      <c r="D24" s="245"/>
      <c r="E24" s="248">
        <f>Dat_02!C23</f>
        <v>15.53273857051917</v>
      </c>
      <c r="F24" s="248">
        <f>Dat_02!D23</f>
        <v>17.313341416272394</v>
      </c>
      <c r="G24" s="248">
        <f>Dat_02!E23</f>
        <v>15.53273857051917</v>
      </c>
      <c r="I24" s="249">
        <f>Dat_02!G23</f>
        <v>0</v>
      </c>
      <c r="J24" s="259" t="str">
        <f>IF(Dat_02!H23=0,"",Dat_02!H23)</f>
        <v/>
      </c>
    </row>
    <row r="25" spans="2:10">
      <c r="B25" s="245"/>
      <c r="C25" s="246">
        <f>Dat_02!B24</f>
        <v>44065</v>
      </c>
      <c r="D25" s="245"/>
      <c r="E25" s="248">
        <f>Dat_02!C24</f>
        <v>4.7785867785173108</v>
      </c>
      <c r="F25" s="248">
        <f>Dat_02!D24</f>
        <v>17.313341416272394</v>
      </c>
      <c r="G25" s="248">
        <f>Dat_02!E24</f>
        <v>4.7785867785173108</v>
      </c>
      <c r="I25" s="249">
        <f>Dat_02!G24</f>
        <v>0</v>
      </c>
      <c r="J25" s="259" t="str">
        <f>IF(Dat_02!H24=0,"",Dat_02!H24)</f>
        <v/>
      </c>
    </row>
    <row r="26" spans="2:10">
      <c r="B26" s="245"/>
      <c r="C26" s="246">
        <f>Dat_02!B25</f>
        <v>44066</v>
      </c>
      <c r="D26" s="245"/>
      <c r="E26" s="248">
        <f>Dat_02!C25</f>
        <v>1.5828672785173112</v>
      </c>
      <c r="F26" s="248">
        <f>Dat_02!D25</f>
        <v>17.313341416272394</v>
      </c>
      <c r="G26" s="248">
        <f>Dat_02!E25</f>
        <v>1.5828672785173112</v>
      </c>
      <c r="I26" s="249">
        <f>Dat_02!G25</f>
        <v>0</v>
      </c>
      <c r="J26" s="259" t="str">
        <f>IF(Dat_02!H25=0,"",Dat_02!H25)</f>
        <v/>
      </c>
    </row>
    <row r="27" spans="2:10">
      <c r="B27" s="245"/>
      <c r="C27" s="246">
        <f>Dat_02!B26</f>
        <v>44067</v>
      </c>
      <c r="D27" s="245"/>
      <c r="E27" s="248">
        <f>Dat_02!C26</f>
        <v>6.5815349585191729</v>
      </c>
      <c r="F27" s="248">
        <f>Dat_02!D26</f>
        <v>17.313341416272394</v>
      </c>
      <c r="G27" s="248">
        <f>Dat_02!E26</f>
        <v>6.5815349585191729</v>
      </c>
      <c r="I27" s="249">
        <f>Dat_02!G26</f>
        <v>0</v>
      </c>
      <c r="J27" s="259" t="str">
        <f>IF(Dat_02!H26=0,"",Dat_02!H26)</f>
        <v/>
      </c>
    </row>
    <row r="28" spans="2:10">
      <c r="B28" s="245"/>
      <c r="C28" s="246">
        <f>Dat_02!B27</f>
        <v>44068</v>
      </c>
      <c r="D28" s="245"/>
      <c r="E28" s="248">
        <f>Dat_02!C27</f>
        <v>25.15890221851917</v>
      </c>
      <c r="F28" s="248">
        <f>Dat_02!D27</f>
        <v>17.313341416272394</v>
      </c>
      <c r="G28" s="248">
        <f>Dat_02!E27</f>
        <v>17.313341416272394</v>
      </c>
      <c r="I28" s="249">
        <f>Dat_02!G27</f>
        <v>0</v>
      </c>
      <c r="J28" s="259" t="str">
        <f>IF(Dat_02!H27=0,"",Dat_02!H27)</f>
        <v/>
      </c>
    </row>
    <row r="29" spans="2:10">
      <c r="B29" s="245"/>
      <c r="C29" s="246">
        <f>Dat_02!B28</f>
        <v>44069</v>
      </c>
      <c r="D29" s="245"/>
      <c r="E29" s="248">
        <f>Dat_02!C28</f>
        <v>31.967876995378262</v>
      </c>
      <c r="F29" s="248">
        <f>Dat_02!D28</f>
        <v>17.313341416272394</v>
      </c>
      <c r="G29" s="248">
        <f>Dat_02!E28</f>
        <v>17.313341416272394</v>
      </c>
      <c r="I29" s="249">
        <f>Dat_02!G28</f>
        <v>0</v>
      </c>
      <c r="J29" s="259" t="str">
        <f>IF(Dat_02!H28=0,"",Dat_02!H28)</f>
        <v/>
      </c>
    </row>
    <row r="30" spans="2:10">
      <c r="B30" s="245"/>
      <c r="C30" s="246">
        <f>Dat_02!B29</f>
        <v>44070</v>
      </c>
      <c r="D30" s="245"/>
      <c r="E30" s="248">
        <f>Dat_02!C29</f>
        <v>13.11201039538013</v>
      </c>
      <c r="F30" s="248">
        <f>Dat_02!D29</f>
        <v>17.313341416272394</v>
      </c>
      <c r="G30" s="248">
        <f>Dat_02!E29</f>
        <v>13.11201039538013</v>
      </c>
      <c r="I30" s="249">
        <f>Dat_02!G29</f>
        <v>0</v>
      </c>
      <c r="J30" s="259" t="str">
        <f>IF(Dat_02!H29=0,"",Dat_02!H29)</f>
        <v/>
      </c>
    </row>
    <row r="31" spans="2:10">
      <c r="B31" s="245"/>
      <c r="C31" s="246">
        <f>Dat_02!B30</f>
        <v>44071</v>
      </c>
      <c r="D31" s="245"/>
      <c r="E31" s="248">
        <f>Dat_02!C30</f>
        <v>6.3395145233819932</v>
      </c>
      <c r="F31" s="248">
        <f>Dat_02!D30</f>
        <v>17.313341416272394</v>
      </c>
      <c r="G31" s="248">
        <f>Dat_02!E30</f>
        <v>6.3395145233819932</v>
      </c>
      <c r="I31" s="249">
        <f>Dat_02!G30</f>
        <v>0</v>
      </c>
      <c r="J31" s="259" t="str">
        <f>IF(Dat_02!H30=0,"",Dat_02!H30)</f>
        <v/>
      </c>
    </row>
    <row r="32" spans="2:10">
      <c r="B32" s="245"/>
      <c r="C32" s="246">
        <f>Dat_02!B31</f>
        <v>44072</v>
      </c>
      <c r="D32" s="245"/>
      <c r="E32" s="248">
        <f>Dat_02!C31</f>
        <v>3.5834837913764059</v>
      </c>
      <c r="F32" s="248">
        <f>Dat_02!D31</f>
        <v>17.313341416272394</v>
      </c>
      <c r="G32" s="248">
        <f>Dat_02!E31</f>
        <v>3.5834837913764059</v>
      </c>
      <c r="I32" s="249">
        <f>Dat_02!G31</f>
        <v>0</v>
      </c>
      <c r="J32" s="259" t="str">
        <f>IF(Dat_02!H31=0,"",Dat_02!H31)</f>
        <v/>
      </c>
    </row>
    <row r="33" spans="2:10">
      <c r="B33" s="245"/>
      <c r="C33" s="246">
        <f>Dat_02!B32</f>
        <v>44073</v>
      </c>
      <c r="D33" s="245"/>
      <c r="E33" s="248">
        <f>Dat_02!C32</f>
        <v>0.59885496938385041</v>
      </c>
      <c r="F33" s="248">
        <f>Dat_02!D32</f>
        <v>17.313341416272394</v>
      </c>
      <c r="G33" s="248">
        <f>Dat_02!E32</f>
        <v>0.59885496938385041</v>
      </c>
      <c r="I33" s="249">
        <f>Dat_02!G32</f>
        <v>0</v>
      </c>
      <c r="J33" s="259" t="str">
        <f>IF(Dat_02!H32=0,"",Dat_02!H32)</f>
        <v/>
      </c>
    </row>
    <row r="34" spans="2:10">
      <c r="B34" s="247"/>
      <c r="C34" s="246">
        <f>Dat_02!B33</f>
        <v>44074</v>
      </c>
      <c r="D34" s="247"/>
      <c r="E34" s="248">
        <f>Dat_02!C33</f>
        <v>0.54639137737826238</v>
      </c>
      <c r="F34" s="248">
        <f>Dat_02!D33</f>
        <v>17.313341416272394</v>
      </c>
      <c r="G34" s="248">
        <f>Dat_02!E33</f>
        <v>0.54639137737826238</v>
      </c>
      <c r="I34" s="249">
        <f>Dat_02!G33</f>
        <v>0</v>
      </c>
      <c r="J34" s="259" t="str">
        <f>IF(Dat_02!H33=0,"",Dat_02!H33)</f>
        <v/>
      </c>
    </row>
    <row r="35" spans="2:10">
      <c r="B35" s="247" t="s">
        <v>211</v>
      </c>
      <c r="C35" s="246">
        <f>Dat_02!B34</f>
        <v>44075</v>
      </c>
      <c r="D35" s="247"/>
      <c r="E35" s="248">
        <f>Dat_02!C34</f>
        <v>9.9157058673782661</v>
      </c>
      <c r="F35" s="248">
        <f>Dat_02!D34</f>
        <v>20.95959048014743</v>
      </c>
      <c r="G35" s="248">
        <f>Dat_02!E34</f>
        <v>9.9157058673782661</v>
      </c>
      <c r="I35" s="249">
        <f>Dat_02!G34</f>
        <v>0</v>
      </c>
      <c r="J35" s="259" t="str">
        <f>IF(Dat_02!H34=0,"",Dat_02!H34)</f>
        <v/>
      </c>
    </row>
    <row r="36" spans="2:10">
      <c r="B36" s="245"/>
      <c r="C36" s="246">
        <f>Dat_02!B35</f>
        <v>44076</v>
      </c>
      <c r="D36" s="247"/>
      <c r="E36" s="248">
        <f>Dat_02!C35</f>
        <v>20.153271213409287</v>
      </c>
      <c r="F36" s="248">
        <f>Dat_02!D35</f>
        <v>20.95959048014743</v>
      </c>
      <c r="G36" s="248">
        <f>Dat_02!E35</f>
        <v>20.153271213409287</v>
      </c>
      <c r="I36" s="249">
        <f>Dat_02!G35</f>
        <v>0</v>
      </c>
      <c r="J36" s="259" t="str">
        <f>IF(Dat_02!H35=0,"",Dat_02!H35)</f>
        <v/>
      </c>
    </row>
    <row r="37" spans="2:10">
      <c r="B37" s="245"/>
      <c r="C37" s="246">
        <f>Dat_02!B36</f>
        <v>44077</v>
      </c>
      <c r="D37" s="245"/>
      <c r="E37" s="248">
        <f>Dat_02!C36</f>
        <v>24.629811097405561</v>
      </c>
      <c r="F37" s="248">
        <f>Dat_02!D36</f>
        <v>20.95959048014743</v>
      </c>
      <c r="G37" s="248">
        <f>Dat_02!E36</f>
        <v>20.95959048014743</v>
      </c>
      <c r="I37" s="249">
        <f>Dat_02!G36</f>
        <v>0</v>
      </c>
      <c r="J37" s="259" t="str">
        <f>IF(Dat_02!H36=0,"",Dat_02!H36)</f>
        <v/>
      </c>
    </row>
    <row r="38" spans="2:10">
      <c r="B38" s="245"/>
      <c r="C38" s="246">
        <f>Dat_02!B37</f>
        <v>44078</v>
      </c>
      <c r="D38" s="245"/>
      <c r="E38" s="248">
        <f>Dat_02!C37</f>
        <v>19.219243357407425</v>
      </c>
      <c r="F38" s="248">
        <f>Dat_02!D37</f>
        <v>20.95959048014743</v>
      </c>
      <c r="G38" s="248">
        <f>Dat_02!E37</f>
        <v>19.219243357407425</v>
      </c>
      <c r="I38" s="249">
        <f>Dat_02!G37</f>
        <v>0</v>
      </c>
      <c r="J38" s="259" t="str">
        <f>IF(Dat_02!H37=0,"",Dat_02!H37)</f>
        <v/>
      </c>
    </row>
    <row r="39" spans="2:10">
      <c r="B39" s="245"/>
      <c r="C39" s="246">
        <f>Dat_02!B38</f>
        <v>44079</v>
      </c>
      <c r="D39" s="245"/>
      <c r="E39" s="248">
        <f>Dat_02!C38</f>
        <v>2.4857805174055612</v>
      </c>
      <c r="F39" s="248">
        <f>Dat_02!D38</f>
        <v>20.95959048014743</v>
      </c>
      <c r="G39" s="248">
        <f>Dat_02!E38</f>
        <v>2.4857805174055612</v>
      </c>
      <c r="I39" s="249">
        <f>Dat_02!G38</f>
        <v>0</v>
      </c>
      <c r="J39" s="259" t="str">
        <f>IF(Dat_02!H38=0,"",Dat_02!H38)</f>
        <v/>
      </c>
    </row>
    <row r="40" spans="2:10">
      <c r="B40" s="245"/>
      <c r="C40" s="246">
        <f>Dat_02!B39</f>
        <v>44080</v>
      </c>
      <c r="D40" s="245"/>
      <c r="E40" s="248">
        <f>Dat_02!C39</f>
        <v>1.1927802294074208</v>
      </c>
      <c r="F40" s="248">
        <f>Dat_02!D39</f>
        <v>20.95959048014743</v>
      </c>
      <c r="G40" s="248">
        <f>Dat_02!E39</f>
        <v>1.1927802294074208</v>
      </c>
      <c r="I40" s="249">
        <f>Dat_02!G39</f>
        <v>0</v>
      </c>
      <c r="J40" s="259" t="str">
        <f>IF(Dat_02!H39=0,"",Dat_02!H39)</f>
        <v/>
      </c>
    </row>
    <row r="41" spans="2:10">
      <c r="B41" s="245"/>
      <c r="C41" s="246">
        <f>Dat_02!B40</f>
        <v>44081</v>
      </c>
      <c r="D41" s="245"/>
      <c r="E41" s="248">
        <f>Dat_02!C40</f>
        <v>1.9528572214055602</v>
      </c>
      <c r="F41" s="248">
        <f>Dat_02!D40</f>
        <v>20.95959048014743</v>
      </c>
      <c r="G41" s="248">
        <f>Dat_02!E40</f>
        <v>1.9528572214055602</v>
      </c>
      <c r="I41" s="249">
        <f>Dat_02!G40</f>
        <v>0</v>
      </c>
      <c r="J41" s="259" t="str">
        <f>IF(Dat_02!H40=0,"",Dat_02!H40)</f>
        <v/>
      </c>
    </row>
    <row r="42" spans="2:10">
      <c r="B42" s="245"/>
      <c r="C42" s="246">
        <f>Dat_02!B41</f>
        <v>44082</v>
      </c>
      <c r="D42" s="245"/>
      <c r="E42" s="248">
        <f>Dat_02!C41</f>
        <v>10.516595965407426</v>
      </c>
      <c r="F42" s="248">
        <f>Dat_02!D41</f>
        <v>20.95959048014743</v>
      </c>
      <c r="G42" s="248">
        <f>Dat_02!E41</f>
        <v>10.516595965407426</v>
      </c>
      <c r="I42" s="249">
        <f>Dat_02!G41</f>
        <v>0</v>
      </c>
      <c r="J42" s="259" t="str">
        <f>IF(Dat_02!H41=0,"",Dat_02!H41)</f>
        <v/>
      </c>
    </row>
    <row r="43" spans="2:10">
      <c r="B43" s="245"/>
      <c r="C43" s="246">
        <f>Dat_02!B42</f>
        <v>44083</v>
      </c>
      <c r="D43" s="245"/>
      <c r="E43" s="248">
        <f>Dat_02!C42</f>
        <v>23.06971625332412</v>
      </c>
      <c r="F43" s="248">
        <f>Dat_02!D42</f>
        <v>20.95959048014743</v>
      </c>
      <c r="G43" s="248">
        <f>Dat_02!E42</f>
        <v>20.95959048014743</v>
      </c>
      <c r="I43" s="249">
        <f>Dat_02!G42</f>
        <v>0</v>
      </c>
      <c r="J43" s="259" t="str">
        <f>IF(Dat_02!H42=0,"",Dat_02!H42)</f>
        <v/>
      </c>
    </row>
    <row r="44" spans="2:10">
      <c r="B44" s="245"/>
      <c r="C44" s="246">
        <f>Dat_02!B43</f>
        <v>44084</v>
      </c>
      <c r="D44" s="245"/>
      <c r="E44" s="248">
        <f>Dat_02!C43</f>
        <v>17.835714077325989</v>
      </c>
      <c r="F44" s="248">
        <f>Dat_02!D43</f>
        <v>20.95959048014743</v>
      </c>
      <c r="G44" s="248">
        <f>Dat_02!E43</f>
        <v>17.835714077325989</v>
      </c>
      <c r="I44" s="249">
        <f>Dat_02!G43</f>
        <v>0</v>
      </c>
      <c r="J44" s="259" t="str">
        <f>IF(Dat_02!H43=0,"",Dat_02!H43)</f>
        <v/>
      </c>
    </row>
    <row r="45" spans="2:10">
      <c r="B45" s="245"/>
      <c r="C45" s="246">
        <f>Dat_02!B44</f>
        <v>44085</v>
      </c>
      <c r="D45" s="245"/>
      <c r="E45" s="248">
        <f>Dat_02!C44</f>
        <v>15.430868341322261</v>
      </c>
      <c r="F45" s="248">
        <f>Dat_02!D44</f>
        <v>20.95959048014743</v>
      </c>
      <c r="G45" s="248">
        <f>Dat_02!E44</f>
        <v>15.430868341322261</v>
      </c>
      <c r="I45" s="249">
        <f>Dat_02!G44</f>
        <v>0</v>
      </c>
      <c r="J45" s="259" t="str">
        <f>IF(Dat_02!H44=0,"",Dat_02!H44)</f>
        <v/>
      </c>
    </row>
    <row r="46" spans="2:10">
      <c r="B46" s="245"/>
      <c r="C46" s="246">
        <f>Dat_02!B45</f>
        <v>44086</v>
      </c>
      <c r="D46" s="245"/>
      <c r="E46" s="248">
        <f>Dat_02!C45</f>
        <v>1.5664787813259899</v>
      </c>
      <c r="F46" s="248">
        <f>Dat_02!D45</f>
        <v>20.95959048014743</v>
      </c>
      <c r="G46" s="248">
        <f>Dat_02!E45</f>
        <v>1.5664787813259899</v>
      </c>
      <c r="I46" s="249">
        <f>Dat_02!G45</f>
        <v>0</v>
      </c>
      <c r="J46" s="259" t="str">
        <f>IF(Dat_02!H45=0,"",Dat_02!H45)</f>
        <v/>
      </c>
    </row>
    <row r="47" spans="2:10">
      <c r="B47" s="245"/>
      <c r="C47" s="246">
        <f>Dat_02!B46</f>
        <v>44087</v>
      </c>
      <c r="D47" s="245"/>
      <c r="E47" s="248">
        <f>Dat_02!C46</f>
        <v>1.4851167173222639</v>
      </c>
      <c r="F47" s="248">
        <f>Dat_02!D46</f>
        <v>20.95959048014743</v>
      </c>
      <c r="G47" s="248">
        <f>Dat_02!E46</f>
        <v>1.4851167173222639</v>
      </c>
      <c r="I47" s="310" t="str">
        <f>Dat_02!G46</f>
        <v/>
      </c>
      <c r="J47" s="259" t="str">
        <f>IF(Dat_02!H46=0,"",Dat_02!H46)</f>
        <v/>
      </c>
    </row>
    <row r="48" spans="2:10">
      <c r="B48" s="245"/>
      <c r="C48" s="246">
        <f>Dat_02!B47</f>
        <v>44088</v>
      </c>
      <c r="D48" s="245"/>
      <c r="E48" s="248">
        <f>Dat_02!C47</f>
        <v>22.501489901325986</v>
      </c>
      <c r="F48" s="248">
        <f>Dat_02!D47</f>
        <v>20.95959048014743</v>
      </c>
      <c r="G48" s="248">
        <f>Dat_02!E47</f>
        <v>20.95959048014743</v>
      </c>
      <c r="I48" s="309" t="str">
        <f>Dat_02!G47</f>
        <v/>
      </c>
      <c r="J48" s="259" t="str">
        <f>IF(Dat_02!H47=0,"",Dat_02!H47)</f>
        <v/>
      </c>
    </row>
    <row r="49" spans="2:10">
      <c r="B49" s="245"/>
      <c r="C49" s="246">
        <f>Dat_02!B48</f>
        <v>44089</v>
      </c>
      <c r="D49" s="245"/>
      <c r="E49" s="248">
        <f>Dat_02!C48</f>
        <v>36.529274045324129</v>
      </c>
      <c r="F49" s="248">
        <f>Dat_02!D48</f>
        <v>20.95959048014743</v>
      </c>
      <c r="G49" s="248">
        <f>Dat_02!E48</f>
        <v>20.95959048014743</v>
      </c>
      <c r="I49" s="249">
        <f>Dat_02!G48</f>
        <v>20.95959048014743</v>
      </c>
      <c r="J49" s="259" t="str">
        <f>IF(Dat_02!H48=0,"",Dat_02!H48)</f>
        <v/>
      </c>
    </row>
    <row r="50" spans="2:10">
      <c r="B50" s="245"/>
      <c r="C50" s="246">
        <f>Dat_02!B49</f>
        <v>44090</v>
      </c>
      <c r="D50" s="245"/>
      <c r="E50" s="248">
        <f>Dat_02!C49</f>
        <v>49.211002997035102</v>
      </c>
      <c r="F50" s="248">
        <f>Dat_02!D49</f>
        <v>20.95959048014743</v>
      </c>
      <c r="G50" s="248">
        <f>Dat_02!E49</f>
        <v>20.95959048014743</v>
      </c>
      <c r="I50" s="249">
        <f>Dat_02!G49</f>
        <v>0</v>
      </c>
      <c r="J50" s="259" t="str">
        <f>IF(Dat_02!H49=0,"",Dat_02!H49)</f>
        <v/>
      </c>
    </row>
    <row r="51" spans="2:10">
      <c r="B51" s="245"/>
      <c r="C51" s="246">
        <f>Dat_02!B50</f>
        <v>44091</v>
      </c>
      <c r="D51" s="245"/>
      <c r="E51" s="248">
        <f>Dat_02!C50</f>
        <v>23.439750845033238</v>
      </c>
      <c r="F51" s="248">
        <f>Dat_02!D50</f>
        <v>20.95959048014743</v>
      </c>
      <c r="G51" s="248">
        <f>Dat_02!E50</f>
        <v>20.95959048014743</v>
      </c>
      <c r="I51" s="249">
        <f>Dat_02!G50</f>
        <v>0</v>
      </c>
      <c r="J51" s="259" t="str">
        <f>IF(Dat_02!H50=0,"",Dat_02!H50)</f>
        <v/>
      </c>
    </row>
    <row r="52" spans="2:10">
      <c r="B52" s="245"/>
      <c r="C52" s="246">
        <f>Dat_02!B51</f>
        <v>44092</v>
      </c>
      <c r="D52" s="245"/>
      <c r="E52" s="248">
        <f>Dat_02!C51</f>
        <v>17.305753081036965</v>
      </c>
      <c r="F52" s="248">
        <f>Dat_02!D51</f>
        <v>20.95959048014743</v>
      </c>
      <c r="G52" s="248">
        <f>Dat_02!E51</f>
        <v>17.305753081036965</v>
      </c>
      <c r="I52" s="249">
        <f>Dat_02!G51</f>
        <v>0</v>
      </c>
      <c r="J52" s="259" t="str">
        <f>IF(Dat_02!H51=0,"",Dat_02!H51)</f>
        <v/>
      </c>
    </row>
    <row r="53" spans="2:10">
      <c r="B53" s="245"/>
      <c r="C53" s="246">
        <f>Dat_02!B52</f>
        <v>44093</v>
      </c>
      <c r="D53" s="245"/>
      <c r="E53" s="248">
        <f>Dat_02!C52</f>
        <v>7.5177133050350964</v>
      </c>
      <c r="F53" s="248">
        <f>Dat_02!D52</f>
        <v>20.95959048014743</v>
      </c>
      <c r="G53" s="248">
        <f>Dat_02!E52</f>
        <v>7.5177133050350964</v>
      </c>
      <c r="I53" s="249">
        <f>Dat_02!G52</f>
        <v>0</v>
      </c>
      <c r="J53" s="259" t="str">
        <f>IF(Dat_02!H52=0,"",Dat_02!H52)</f>
        <v/>
      </c>
    </row>
    <row r="54" spans="2:10">
      <c r="B54" s="245"/>
      <c r="C54" s="246">
        <f>Dat_02!B53</f>
        <v>44094</v>
      </c>
      <c r="D54" s="245"/>
      <c r="E54" s="248">
        <f>Dat_02!C53</f>
        <v>6.3890751850351011</v>
      </c>
      <c r="F54" s="248">
        <f>Dat_02!D53</f>
        <v>20.95959048014743</v>
      </c>
      <c r="G54" s="248">
        <f>Dat_02!E53</f>
        <v>6.3890751850351011</v>
      </c>
      <c r="I54" s="249">
        <f>Dat_02!G53</f>
        <v>0</v>
      </c>
      <c r="J54" s="259" t="str">
        <f>IF(Dat_02!H53=0,"",Dat_02!H53)</f>
        <v/>
      </c>
    </row>
    <row r="55" spans="2:10">
      <c r="B55" s="245"/>
      <c r="C55" s="246">
        <f>Dat_02!B54</f>
        <v>44095</v>
      </c>
      <c r="D55" s="245"/>
      <c r="E55" s="248">
        <f>Dat_02!C54</f>
        <v>29.609922117035094</v>
      </c>
      <c r="F55" s="248">
        <f>Dat_02!D54</f>
        <v>20.95959048014743</v>
      </c>
      <c r="G55" s="248">
        <f>Dat_02!E54</f>
        <v>20.95959048014743</v>
      </c>
      <c r="I55" s="249">
        <f>Dat_02!G54</f>
        <v>0</v>
      </c>
      <c r="J55" s="259" t="str">
        <f>IF(Dat_02!H54=0,"",Dat_02!H54)</f>
        <v/>
      </c>
    </row>
    <row r="56" spans="2:10">
      <c r="B56" s="245"/>
      <c r="C56" s="246">
        <f>Dat_02!B55</f>
        <v>44096</v>
      </c>
      <c r="D56" s="245"/>
      <c r="E56" s="248">
        <f>Dat_02!C55</f>
        <v>41.249954653035104</v>
      </c>
      <c r="F56" s="248">
        <f>Dat_02!D55</f>
        <v>20.95959048014743</v>
      </c>
      <c r="G56" s="248">
        <f>Dat_02!E55</f>
        <v>20.95959048014743</v>
      </c>
      <c r="I56" s="249">
        <f>Dat_02!G55</f>
        <v>0</v>
      </c>
      <c r="J56" s="259" t="str">
        <f>IF(Dat_02!H55=0,"",Dat_02!H55)</f>
        <v/>
      </c>
    </row>
    <row r="57" spans="2:10">
      <c r="B57" s="245"/>
      <c r="C57" s="246">
        <f>Dat_02!B56</f>
        <v>44097</v>
      </c>
      <c r="D57" s="245"/>
      <c r="E57" s="248">
        <f>Dat_02!C56</f>
        <v>47.738555841733351</v>
      </c>
      <c r="F57" s="248">
        <f>Dat_02!D56</f>
        <v>20.95959048014743</v>
      </c>
      <c r="G57" s="248">
        <f>Dat_02!E56</f>
        <v>20.95959048014743</v>
      </c>
      <c r="I57" s="249">
        <f>Dat_02!G56</f>
        <v>0</v>
      </c>
      <c r="J57" s="259" t="str">
        <f>IF(Dat_02!H56=0,"",Dat_02!H56)</f>
        <v/>
      </c>
    </row>
    <row r="58" spans="2:10">
      <c r="B58" s="245"/>
      <c r="C58" s="246">
        <f>Dat_02!B57</f>
        <v>44098</v>
      </c>
      <c r="D58" s="245"/>
      <c r="E58" s="248">
        <f>Dat_02!C57</f>
        <v>28.364571265733343</v>
      </c>
      <c r="F58" s="248">
        <f>Dat_02!D57</f>
        <v>20.95959048014743</v>
      </c>
      <c r="G58" s="248">
        <f>Dat_02!E57</f>
        <v>20.95959048014743</v>
      </c>
      <c r="I58" s="249">
        <f>Dat_02!G57</f>
        <v>0</v>
      </c>
      <c r="J58" s="259" t="str">
        <f>IF(Dat_02!H57=0,"",Dat_02!H57)</f>
        <v/>
      </c>
    </row>
    <row r="59" spans="2:10">
      <c r="B59" s="245"/>
      <c r="C59" s="246">
        <f>Dat_02!B58</f>
        <v>44099</v>
      </c>
      <c r="D59" s="245"/>
      <c r="E59" s="248">
        <f>Dat_02!C58</f>
        <v>14.38581081373521</v>
      </c>
      <c r="F59" s="248">
        <f>Dat_02!D58</f>
        <v>20.95959048014743</v>
      </c>
      <c r="G59" s="248">
        <f>Dat_02!E58</f>
        <v>14.38581081373521</v>
      </c>
      <c r="I59" s="249">
        <f>Dat_02!G58</f>
        <v>0</v>
      </c>
      <c r="J59" s="259" t="str">
        <f>IF(Dat_02!H58=0,"",Dat_02!H58)</f>
        <v/>
      </c>
    </row>
    <row r="60" spans="2:10">
      <c r="B60" s="245"/>
      <c r="C60" s="246">
        <f>Dat_02!B59</f>
        <v>44100</v>
      </c>
      <c r="D60" s="245"/>
      <c r="E60" s="248">
        <f>Dat_02!C59</f>
        <v>9.8621068577314794</v>
      </c>
      <c r="F60" s="248">
        <f>Dat_02!D59</f>
        <v>20.95959048014743</v>
      </c>
      <c r="G60" s="248">
        <f>Dat_02!E59</f>
        <v>9.8621068577314794</v>
      </c>
      <c r="I60" s="249">
        <f>Dat_02!G59</f>
        <v>0</v>
      </c>
      <c r="J60" s="259" t="str">
        <f>IF(Dat_02!H59=0,"",Dat_02!H59)</f>
        <v/>
      </c>
    </row>
    <row r="61" spans="2:10">
      <c r="B61" s="245"/>
      <c r="C61" s="246">
        <f>Dat_02!B60</f>
        <v>44101</v>
      </c>
      <c r="D61" s="245"/>
      <c r="E61" s="248">
        <f>Dat_02!C60</f>
        <v>13.26400406973521</v>
      </c>
      <c r="F61" s="248">
        <f>Dat_02!D60</f>
        <v>20.95959048014743</v>
      </c>
      <c r="G61" s="248">
        <f>Dat_02!E60</f>
        <v>13.26400406973521</v>
      </c>
      <c r="I61" s="249">
        <f>Dat_02!G60</f>
        <v>0</v>
      </c>
      <c r="J61" s="259" t="str">
        <f>IF(Dat_02!H60=0,"",Dat_02!H60)</f>
        <v/>
      </c>
    </row>
    <row r="62" spans="2:10">
      <c r="B62" s="245"/>
      <c r="C62" s="246">
        <f>Dat_02!B61</f>
        <v>44102</v>
      </c>
      <c r="D62" s="245"/>
      <c r="E62" s="248">
        <f>Dat_02!C61</f>
        <v>20.942873981735211</v>
      </c>
      <c r="F62" s="248">
        <f>Dat_02!D61</f>
        <v>20.95959048014743</v>
      </c>
      <c r="G62" s="248">
        <f>Dat_02!E61</f>
        <v>20.942873981735211</v>
      </c>
      <c r="I62" s="249">
        <f>Dat_02!G61</f>
        <v>0</v>
      </c>
      <c r="J62" s="259" t="str">
        <f>IF(Dat_02!H61=0,"",Dat_02!H61)</f>
        <v/>
      </c>
    </row>
    <row r="63" spans="2:10">
      <c r="B63" s="245"/>
      <c r="C63" s="246">
        <f>Dat_02!B62</f>
        <v>44103</v>
      </c>
      <c r="D63" s="245"/>
      <c r="E63" s="248">
        <f>Dat_02!C62</f>
        <v>31.611556617735207</v>
      </c>
      <c r="F63" s="248">
        <f>Dat_02!D62</f>
        <v>20.95959048014743</v>
      </c>
      <c r="G63" s="248">
        <f>Dat_02!E62</f>
        <v>20.95959048014743</v>
      </c>
      <c r="I63" s="249">
        <f>Dat_02!G62</f>
        <v>0</v>
      </c>
      <c r="J63" s="259" t="str">
        <f>IF(Dat_02!H62=0,"",Dat_02!H62)</f>
        <v/>
      </c>
    </row>
    <row r="64" spans="2:10">
      <c r="B64" s="247"/>
      <c r="C64" s="246">
        <f>Dat_02!B63</f>
        <v>44104</v>
      </c>
      <c r="D64" s="245"/>
      <c r="E64" s="248">
        <f>Dat_02!C63</f>
        <v>49.582627884398121</v>
      </c>
      <c r="F64" s="248">
        <f>Dat_02!D63</f>
        <v>20.95959048014743</v>
      </c>
      <c r="G64" s="248">
        <f>Dat_02!E63</f>
        <v>20.95959048014743</v>
      </c>
      <c r="I64" s="249">
        <f>Dat_02!G63</f>
        <v>0</v>
      </c>
      <c r="J64" s="259" t="str">
        <f>IF(Dat_02!H63=0,"",Dat_02!H63)</f>
        <v/>
      </c>
    </row>
    <row r="65" spans="2:10">
      <c r="B65" s="247" t="s">
        <v>212</v>
      </c>
      <c r="C65" s="246">
        <f>Dat_02!B64</f>
        <v>44105</v>
      </c>
      <c r="D65" s="247"/>
      <c r="E65" s="248">
        <f>Dat_02!C64</f>
        <v>34.494749008399985</v>
      </c>
      <c r="F65" s="248">
        <f>Dat_02!D64</f>
        <v>41.360965957335978</v>
      </c>
      <c r="G65" s="248">
        <f>Dat_02!E64</f>
        <v>34.494749008399985</v>
      </c>
      <c r="I65" s="249">
        <f>Dat_02!G64</f>
        <v>0</v>
      </c>
      <c r="J65" s="259" t="str">
        <f>IF(Dat_02!H64=0,"",Dat_02!H64)</f>
        <v/>
      </c>
    </row>
    <row r="66" spans="2:10">
      <c r="B66" s="247"/>
      <c r="C66" s="246">
        <f>Dat_02!B65</f>
        <v>44106</v>
      </c>
      <c r="D66" s="247"/>
      <c r="E66" s="248">
        <f>Dat_02!C65</f>
        <v>33.263345404401854</v>
      </c>
      <c r="F66" s="248">
        <f>Dat_02!D65</f>
        <v>41.360965957335978</v>
      </c>
      <c r="G66" s="248">
        <f>Dat_02!E65</f>
        <v>33.263345404401854</v>
      </c>
      <c r="I66" s="249">
        <f>Dat_02!G65</f>
        <v>0</v>
      </c>
      <c r="J66" s="259" t="str">
        <f>IF(Dat_02!H65=0,"",Dat_02!H65)</f>
        <v/>
      </c>
    </row>
    <row r="67" spans="2:10">
      <c r="B67" s="245"/>
      <c r="C67" s="246">
        <f>Dat_02!B66</f>
        <v>44107</v>
      </c>
      <c r="D67" s="245"/>
      <c r="E67" s="248">
        <f>Dat_02!C66</f>
        <v>31.916821480398124</v>
      </c>
      <c r="F67" s="248">
        <f>Dat_02!D66</f>
        <v>41.360965957335978</v>
      </c>
      <c r="G67" s="248">
        <f>Dat_02!E66</f>
        <v>31.916821480398124</v>
      </c>
      <c r="I67" s="249">
        <f>Dat_02!G66</f>
        <v>0</v>
      </c>
      <c r="J67" s="259" t="str">
        <f>IF(Dat_02!H66=0,"",Dat_02!H66)</f>
        <v/>
      </c>
    </row>
    <row r="68" spans="2:10">
      <c r="B68" s="245"/>
      <c r="C68" s="246">
        <f>Dat_02!B67</f>
        <v>44108</v>
      </c>
      <c r="D68" s="245"/>
      <c r="E68" s="248">
        <f>Dat_02!C67</f>
        <v>32.320732376400919</v>
      </c>
      <c r="F68" s="248">
        <f>Dat_02!D67</f>
        <v>41.360965957335978</v>
      </c>
      <c r="G68" s="248">
        <f>Dat_02!E67</f>
        <v>32.320732376400919</v>
      </c>
      <c r="I68" s="249">
        <f>Dat_02!G67</f>
        <v>0</v>
      </c>
      <c r="J68" s="259" t="str">
        <f>IF(Dat_02!H67=0,"",Dat_02!H67)</f>
        <v/>
      </c>
    </row>
    <row r="69" spans="2:10">
      <c r="B69" s="245"/>
      <c r="C69" s="246">
        <f>Dat_02!B68</f>
        <v>44109</v>
      </c>
      <c r="D69" s="245"/>
      <c r="E69" s="248">
        <f>Dat_02!C68</f>
        <v>36.530324628400912</v>
      </c>
      <c r="F69" s="248">
        <f>Dat_02!D68</f>
        <v>41.360965957335978</v>
      </c>
      <c r="G69" s="248">
        <f>Dat_02!E68</f>
        <v>36.530324628400912</v>
      </c>
      <c r="I69" s="249">
        <f>Dat_02!G68</f>
        <v>0</v>
      </c>
      <c r="J69" s="259" t="str">
        <f>IF(Dat_02!H68=0,"",Dat_02!H68)</f>
        <v/>
      </c>
    </row>
    <row r="70" spans="2:10">
      <c r="B70" s="245"/>
      <c r="C70" s="246">
        <f>Dat_02!B69</f>
        <v>44110</v>
      </c>
      <c r="D70" s="245"/>
      <c r="E70" s="248">
        <f>Dat_02!C69</f>
        <v>44.161732320401846</v>
      </c>
      <c r="F70" s="248">
        <f>Dat_02!D69</f>
        <v>41.360965957335978</v>
      </c>
      <c r="G70" s="248">
        <f>Dat_02!E69</f>
        <v>41.360965957335978</v>
      </c>
      <c r="I70" s="249">
        <f>Dat_02!G69</f>
        <v>0</v>
      </c>
      <c r="J70" s="259" t="str">
        <f>IF(Dat_02!H69=0,"",Dat_02!H69)</f>
        <v/>
      </c>
    </row>
    <row r="71" spans="2:10">
      <c r="B71" s="245"/>
      <c r="C71" s="246">
        <f>Dat_02!B70</f>
        <v>44111</v>
      </c>
      <c r="D71" s="245"/>
      <c r="E71" s="248">
        <f>Dat_02!C70</f>
        <v>51.275678575480406</v>
      </c>
      <c r="F71" s="248">
        <f>Dat_02!D70</f>
        <v>41.360965957335978</v>
      </c>
      <c r="G71" s="248">
        <f>Dat_02!E70</f>
        <v>41.360965957335978</v>
      </c>
      <c r="I71" s="249">
        <f>Dat_02!G70</f>
        <v>0</v>
      </c>
      <c r="J71" s="259" t="str">
        <f>IF(Dat_02!H70=0,"",Dat_02!H70)</f>
        <v/>
      </c>
    </row>
    <row r="72" spans="2:10">
      <c r="B72" s="245"/>
      <c r="C72" s="246">
        <f>Dat_02!B71</f>
        <v>44112</v>
      </c>
      <c r="D72" s="245"/>
      <c r="E72" s="248">
        <f>Dat_02!C71</f>
        <v>57.804757795484143</v>
      </c>
      <c r="F72" s="248">
        <f>Dat_02!D71</f>
        <v>41.360965957335978</v>
      </c>
      <c r="G72" s="248">
        <f>Dat_02!E71</f>
        <v>41.360965957335978</v>
      </c>
      <c r="I72" s="249">
        <f>Dat_02!G71</f>
        <v>0</v>
      </c>
      <c r="J72" s="259" t="str">
        <f>IF(Dat_02!H71=0,"",Dat_02!H71)</f>
        <v/>
      </c>
    </row>
    <row r="73" spans="2:10">
      <c r="B73" s="245"/>
      <c r="C73" s="246">
        <f>Dat_02!B72</f>
        <v>44113</v>
      </c>
      <c r="D73" s="245"/>
      <c r="E73" s="248">
        <f>Dat_02!C72</f>
        <v>58.90136793548227</v>
      </c>
      <c r="F73" s="248">
        <f>Dat_02!D72</f>
        <v>41.360965957335978</v>
      </c>
      <c r="G73" s="248">
        <f>Dat_02!E72</f>
        <v>41.360965957335978</v>
      </c>
      <c r="I73" s="249">
        <f>Dat_02!G72</f>
        <v>0</v>
      </c>
      <c r="J73" s="259" t="str">
        <f>IF(Dat_02!H72=0,"",Dat_02!H72)</f>
        <v/>
      </c>
    </row>
    <row r="74" spans="2:10">
      <c r="B74" s="245"/>
      <c r="C74" s="246">
        <f>Dat_02!B73</f>
        <v>44114</v>
      </c>
      <c r="D74" s="245"/>
      <c r="E74" s="248">
        <f>Dat_02!C73</f>
        <v>31.952608363482273</v>
      </c>
      <c r="F74" s="248">
        <f>Dat_02!D73</f>
        <v>41.360965957335978</v>
      </c>
      <c r="G74" s="248">
        <f>Dat_02!E73</f>
        <v>31.952608363482273</v>
      </c>
      <c r="I74" s="249">
        <f>Dat_02!G73</f>
        <v>0</v>
      </c>
      <c r="J74" s="259" t="str">
        <f>IF(Dat_02!H73=0,"",Dat_02!H73)</f>
        <v/>
      </c>
    </row>
    <row r="75" spans="2:10">
      <c r="B75" s="245"/>
      <c r="C75" s="246">
        <f>Dat_02!B74</f>
        <v>44115</v>
      </c>
      <c r="D75" s="245"/>
      <c r="E75" s="248">
        <f>Dat_02!C74</f>
        <v>27.311554463484136</v>
      </c>
      <c r="F75" s="248">
        <f>Dat_02!D74</f>
        <v>41.360965957335978</v>
      </c>
      <c r="G75" s="248">
        <f>Dat_02!E74</f>
        <v>27.311554463484136</v>
      </c>
      <c r="I75" s="249">
        <f>Dat_02!G74</f>
        <v>0</v>
      </c>
      <c r="J75" s="259" t="str">
        <f>IF(Dat_02!H74=0,"",Dat_02!H74)</f>
        <v/>
      </c>
    </row>
    <row r="76" spans="2:10">
      <c r="B76" s="245"/>
      <c r="C76" s="246">
        <f>Dat_02!B75</f>
        <v>44116</v>
      </c>
      <c r="D76" s="245"/>
      <c r="E76" s="248">
        <f>Dat_02!C75</f>
        <v>33.411277655482273</v>
      </c>
      <c r="F76" s="248">
        <f>Dat_02!D75</f>
        <v>41.360965957335978</v>
      </c>
      <c r="G76" s="248">
        <f>Dat_02!E75</f>
        <v>33.411277655482273</v>
      </c>
      <c r="I76" s="249">
        <f>Dat_02!G75</f>
        <v>0</v>
      </c>
      <c r="J76" s="259" t="str">
        <f>IF(Dat_02!H75=0,"",Dat_02!H75)</f>
        <v/>
      </c>
    </row>
    <row r="77" spans="2:10">
      <c r="B77" s="245"/>
      <c r="C77" s="246">
        <f>Dat_02!B76</f>
        <v>44117</v>
      </c>
      <c r="D77" s="245"/>
      <c r="E77" s="248">
        <f>Dat_02!C76</f>
        <v>57.046941845482273</v>
      </c>
      <c r="F77" s="248">
        <f>Dat_02!D76</f>
        <v>41.360965957335978</v>
      </c>
      <c r="G77" s="248">
        <f>Dat_02!E76</f>
        <v>41.360965957335978</v>
      </c>
      <c r="I77" s="249">
        <f>Dat_02!G76</f>
        <v>0</v>
      </c>
      <c r="J77" s="259" t="str">
        <f>IF(Dat_02!H76=0,"",Dat_02!H76)</f>
        <v/>
      </c>
    </row>
    <row r="78" spans="2:10">
      <c r="B78" s="245"/>
      <c r="C78" s="246">
        <f>Dat_02!B77</f>
        <v>44118</v>
      </c>
      <c r="D78" s="245"/>
      <c r="E78" s="248">
        <f>Dat_02!C77</f>
        <v>40.685804836433135</v>
      </c>
      <c r="F78" s="248">
        <f>Dat_02!D77</f>
        <v>41.360965957335978</v>
      </c>
      <c r="G78" s="248">
        <f>Dat_02!E77</f>
        <v>40.685804836433135</v>
      </c>
      <c r="I78" s="249" t="str">
        <f>Dat_02!G77</f>
        <v/>
      </c>
      <c r="J78" s="259" t="str">
        <f>IF(Dat_02!H77=0,"",Dat_02!H77)</f>
        <v/>
      </c>
    </row>
    <row r="79" spans="2:10">
      <c r="B79" s="245"/>
      <c r="C79" s="246">
        <f>Dat_02!B78</f>
        <v>44119</v>
      </c>
      <c r="D79" s="245"/>
      <c r="E79" s="248">
        <f>Dat_02!C78</f>
        <v>49.477684980431263</v>
      </c>
      <c r="F79" s="248">
        <f>Dat_02!D78</f>
        <v>41.360965957335978</v>
      </c>
      <c r="G79" s="248">
        <f>Dat_02!E78</f>
        <v>41.360965957335978</v>
      </c>
      <c r="I79" s="309">
        <f>Dat_02!G78</f>
        <v>41.360965957335978</v>
      </c>
      <c r="J79" s="259" t="str">
        <f>IF(Dat_02!H78=0,"",Dat_02!H78)</f>
        <v/>
      </c>
    </row>
    <row r="80" spans="2:10">
      <c r="B80" s="245"/>
      <c r="C80" s="246">
        <f>Dat_02!B79</f>
        <v>44120</v>
      </c>
      <c r="D80" s="245"/>
      <c r="E80" s="248">
        <f>Dat_02!C79</f>
        <v>55.657722726433128</v>
      </c>
      <c r="F80" s="248">
        <f>Dat_02!D79</f>
        <v>41.360965957335978</v>
      </c>
      <c r="G80" s="248">
        <f>Dat_02!E79</f>
        <v>41.360965957335978</v>
      </c>
      <c r="I80" s="309" t="str">
        <f>Dat_02!G79</f>
        <v/>
      </c>
      <c r="J80" s="259" t="str">
        <f>IF(Dat_02!H79=0,"",Dat_02!H79)</f>
        <v/>
      </c>
    </row>
    <row r="81" spans="2:10">
      <c r="B81" s="245"/>
      <c r="C81" s="246">
        <f>Dat_02!B80</f>
        <v>44121</v>
      </c>
      <c r="D81" s="245"/>
      <c r="E81" s="248">
        <f>Dat_02!C80</f>
        <v>60.389695256433129</v>
      </c>
      <c r="F81" s="248">
        <f>Dat_02!D80</f>
        <v>41.360965957335978</v>
      </c>
      <c r="G81" s="248">
        <f>Dat_02!E80</f>
        <v>41.360965957335978</v>
      </c>
      <c r="I81" s="249">
        <f>Dat_02!G80</f>
        <v>0</v>
      </c>
      <c r="J81" s="259" t="str">
        <f>IF(Dat_02!H80=0,"",Dat_02!H80)</f>
        <v/>
      </c>
    </row>
    <row r="82" spans="2:10">
      <c r="B82" s="245"/>
      <c r="C82" s="246">
        <f>Dat_02!B81</f>
        <v>44122</v>
      </c>
      <c r="D82" s="245"/>
      <c r="E82" s="248">
        <f>Dat_02!C81</f>
        <v>50.658292656433126</v>
      </c>
      <c r="F82" s="248">
        <f>Dat_02!D81</f>
        <v>41.360965957335978</v>
      </c>
      <c r="G82" s="248">
        <f>Dat_02!E81</f>
        <v>41.360965957335978</v>
      </c>
      <c r="I82" s="249">
        <f>Dat_02!G81</f>
        <v>0</v>
      </c>
      <c r="J82" s="259" t="str">
        <f>IF(Dat_02!H81=0,"",Dat_02!H81)</f>
        <v/>
      </c>
    </row>
    <row r="83" spans="2:10">
      <c r="B83" s="245"/>
      <c r="C83" s="246">
        <f>Dat_02!B82</f>
        <v>44123</v>
      </c>
      <c r="D83" s="245"/>
      <c r="E83" s="248">
        <f>Dat_02!C82</f>
        <v>17.849682186431274</v>
      </c>
      <c r="F83" s="248">
        <f>Dat_02!D82</f>
        <v>41.360965957335978</v>
      </c>
      <c r="G83" s="248">
        <f>Dat_02!E82</f>
        <v>17.849682186431274</v>
      </c>
      <c r="I83" s="249">
        <f>Dat_02!G82</f>
        <v>0</v>
      </c>
      <c r="J83" s="259" t="str">
        <f>IF(Dat_02!H82=0,"",Dat_02!H82)</f>
        <v/>
      </c>
    </row>
    <row r="84" spans="2:10">
      <c r="B84" s="245"/>
      <c r="C84" s="246">
        <f>Dat_02!B83</f>
        <v>44124</v>
      </c>
      <c r="D84" s="245"/>
      <c r="E84" s="248">
        <f>Dat_02!C83</f>
        <v>33.288567356433134</v>
      </c>
      <c r="F84" s="248">
        <f>Dat_02!D83</f>
        <v>41.360965957335978</v>
      </c>
      <c r="G84" s="248">
        <f>Dat_02!E83</f>
        <v>33.288567356433134</v>
      </c>
      <c r="I84" s="249">
        <f>Dat_02!G83</f>
        <v>0</v>
      </c>
      <c r="J84" s="259" t="str">
        <f>IF(Dat_02!H83=0,"",Dat_02!H83)</f>
        <v/>
      </c>
    </row>
    <row r="85" spans="2:10">
      <c r="B85" s="245"/>
      <c r="C85" s="246">
        <f>Dat_02!B84</f>
        <v>44125</v>
      </c>
      <c r="D85" s="245"/>
      <c r="E85" s="248">
        <f>Dat_02!C84</f>
        <v>97.476409926170803</v>
      </c>
      <c r="F85" s="248">
        <f>Dat_02!D84</f>
        <v>41.360965957335978</v>
      </c>
      <c r="G85" s="248">
        <f>Dat_02!E84</f>
        <v>41.360965957335978</v>
      </c>
      <c r="I85" s="249">
        <f>Dat_02!G84</f>
        <v>0</v>
      </c>
      <c r="J85" s="259" t="str">
        <f>IF(Dat_02!H84=0,"",Dat_02!H84)</f>
        <v/>
      </c>
    </row>
    <row r="86" spans="2:10">
      <c r="B86" s="245"/>
      <c r="C86" s="246">
        <f>Dat_02!B85</f>
        <v>44126</v>
      </c>
      <c r="D86" s="245"/>
      <c r="E86" s="248">
        <f>Dat_02!C85</f>
        <v>126.2414094481708</v>
      </c>
      <c r="F86" s="248">
        <f>Dat_02!D85</f>
        <v>41.360965957335978</v>
      </c>
      <c r="G86" s="248">
        <f>Dat_02!E85</f>
        <v>41.360965957335978</v>
      </c>
      <c r="I86" s="249">
        <f>Dat_02!G85</f>
        <v>0</v>
      </c>
      <c r="J86" s="259" t="str">
        <f>IF(Dat_02!H85=0,"",Dat_02!H85)</f>
        <v/>
      </c>
    </row>
    <row r="87" spans="2:10">
      <c r="B87" s="245"/>
      <c r="C87" s="246">
        <f>Dat_02!B86</f>
        <v>44127</v>
      </c>
      <c r="D87" s="245"/>
      <c r="E87" s="248">
        <f>Dat_02!C86</f>
        <v>116.10034370617173</v>
      </c>
      <c r="F87" s="248">
        <f>Dat_02!D86</f>
        <v>41.360965957335978</v>
      </c>
      <c r="G87" s="248">
        <f>Dat_02!E86</f>
        <v>41.360965957335978</v>
      </c>
      <c r="I87" s="249">
        <f>Dat_02!G86</f>
        <v>0</v>
      </c>
      <c r="J87" s="259" t="str">
        <f>IF(Dat_02!H86=0,"",Dat_02!H86)</f>
        <v/>
      </c>
    </row>
    <row r="88" spans="2:10">
      <c r="B88" s="245"/>
      <c r="C88" s="246">
        <f>Dat_02!B87</f>
        <v>44128</v>
      </c>
      <c r="D88" s="245"/>
      <c r="E88" s="248">
        <f>Dat_02!C87</f>
        <v>92.92507380816987</v>
      </c>
      <c r="F88" s="248">
        <f>Dat_02!D87</f>
        <v>41.360965957335978</v>
      </c>
      <c r="G88" s="248">
        <f>Dat_02!E87</f>
        <v>41.360965957335978</v>
      </c>
      <c r="I88" s="249">
        <f>Dat_02!G87</f>
        <v>0</v>
      </c>
      <c r="J88" s="259" t="str">
        <f>IF(Dat_02!H87=0,"",Dat_02!H87)</f>
        <v/>
      </c>
    </row>
    <row r="89" spans="2:10">
      <c r="B89" s="245"/>
      <c r="C89" s="246">
        <f>Dat_02!B88</f>
        <v>44129</v>
      </c>
      <c r="D89" s="245"/>
      <c r="E89" s="248">
        <f>Dat_02!C88</f>
        <v>89.938227088171729</v>
      </c>
      <c r="F89" s="248">
        <f>Dat_02!D88</f>
        <v>41.360965957335978</v>
      </c>
      <c r="G89" s="248">
        <f>Dat_02!E88</f>
        <v>41.360965957335978</v>
      </c>
      <c r="I89" s="249">
        <f>Dat_02!G88</f>
        <v>0</v>
      </c>
      <c r="J89" s="259" t="str">
        <f>IF(Dat_02!H88=0,"",Dat_02!H88)</f>
        <v/>
      </c>
    </row>
    <row r="90" spans="2:10">
      <c r="B90" s="245"/>
      <c r="C90" s="246">
        <f>Dat_02!B89</f>
        <v>44130</v>
      </c>
      <c r="D90" s="245"/>
      <c r="E90" s="248">
        <f>Dat_02!C89</f>
        <v>109.4669571661708</v>
      </c>
      <c r="F90" s="248">
        <f>Dat_02!D89</f>
        <v>41.360965957335978</v>
      </c>
      <c r="G90" s="248">
        <f>Dat_02!E89</f>
        <v>41.360965957335978</v>
      </c>
      <c r="I90" s="249">
        <f>Dat_02!G89</f>
        <v>0</v>
      </c>
      <c r="J90" s="259" t="str">
        <f>IF(Dat_02!H89=0,"",Dat_02!H89)</f>
        <v/>
      </c>
    </row>
    <row r="91" spans="2:10">
      <c r="B91" s="245"/>
      <c r="C91" s="246">
        <f>Dat_02!B90</f>
        <v>44131</v>
      </c>
      <c r="D91" s="245"/>
      <c r="E91" s="248">
        <f>Dat_02!C90</f>
        <v>110.00145380616986</v>
      </c>
      <c r="F91" s="248">
        <f>Dat_02!D90</f>
        <v>41.360965957335978</v>
      </c>
      <c r="G91" s="248">
        <f>Dat_02!E90</f>
        <v>41.360965957335978</v>
      </c>
      <c r="I91" s="249">
        <f>Dat_02!G90</f>
        <v>0</v>
      </c>
      <c r="J91" s="259" t="str">
        <f>IF(Dat_02!H90=0,"",Dat_02!H90)</f>
        <v/>
      </c>
    </row>
    <row r="92" spans="2:10">
      <c r="B92" s="245"/>
      <c r="C92" s="246">
        <f>Dat_02!B91</f>
        <v>44132</v>
      </c>
      <c r="D92" s="245"/>
      <c r="E92" s="248">
        <f>Dat_02!C91</f>
        <v>97.71259092256328</v>
      </c>
      <c r="F92" s="248">
        <f>Dat_02!D91</f>
        <v>41.360965957335978</v>
      </c>
      <c r="G92" s="248">
        <f>Dat_02!E91</f>
        <v>41.360965957335978</v>
      </c>
      <c r="I92" s="249">
        <f>Dat_02!G91</f>
        <v>0</v>
      </c>
      <c r="J92" s="259" t="str">
        <f>IF(Dat_02!H91=0,"",Dat_02!H91)</f>
        <v/>
      </c>
    </row>
    <row r="93" spans="2:10">
      <c r="B93" s="245"/>
      <c r="C93" s="246">
        <f>Dat_02!B92</f>
        <v>44133</v>
      </c>
      <c r="D93" s="245"/>
      <c r="E93" s="248">
        <f>Dat_02!C92</f>
        <v>100.97976351856143</v>
      </c>
      <c r="F93" s="248">
        <f>Dat_02!D92</f>
        <v>41.360965957335978</v>
      </c>
      <c r="G93" s="248">
        <f>Dat_02!E92</f>
        <v>41.360965957335978</v>
      </c>
      <c r="I93" s="249">
        <f>Dat_02!G92</f>
        <v>0</v>
      </c>
      <c r="J93" s="259" t="str">
        <f>IF(Dat_02!H92=0,"",Dat_02!H92)</f>
        <v/>
      </c>
    </row>
    <row r="94" spans="2:10">
      <c r="B94" s="245"/>
      <c r="C94" s="246">
        <f>Dat_02!B93</f>
        <v>44134</v>
      </c>
      <c r="D94" s="245"/>
      <c r="E94" s="248">
        <f>Dat_02!C93</f>
        <v>95.019777810563269</v>
      </c>
      <c r="F94" s="248">
        <f>Dat_02!D93</f>
        <v>41.360965957335978</v>
      </c>
      <c r="G94" s="248">
        <f>Dat_02!E93</f>
        <v>41.360965957335978</v>
      </c>
      <c r="I94" s="249">
        <f>Dat_02!G93</f>
        <v>0</v>
      </c>
      <c r="J94" s="259" t="str">
        <f>IF(Dat_02!H93=0,"",Dat_02!H93)</f>
        <v/>
      </c>
    </row>
    <row r="95" spans="2:10">
      <c r="B95" s="247"/>
      <c r="C95" s="246">
        <f>Dat_02!B94</f>
        <v>44135</v>
      </c>
      <c r="D95" s="247"/>
      <c r="E95" s="248">
        <f>Dat_02!C94</f>
        <v>73.238647778563291</v>
      </c>
      <c r="F95" s="248">
        <f>Dat_02!D94</f>
        <v>41.360965957335978</v>
      </c>
      <c r="G95" s="248">
        <f>Dat_02!E94</f>
        <v>41.360965957335978</v>
      </c>
      <c r="I95" s="249">
        <f>Dat_02!G94</f>
        <v>0</v>
      </c>
      <c r="J95" s="259" t="str">
        <f>IF(Dat_02!H94=0,"",Dat_02!H94)</f>
        <v/>
      </c>
    </row>
    <row r="96" spans="2:10">
      <c r="B96" s="247" t="s">
        <v>213</v>
      </c>
      <c r="C96" s="246">
        <f>Dat_02!B95</f>
        <v>44136</v>
      </c>
      <c r="D96" s="247"/>
      <c r="E96" s="248">
        <f>Dat_02!C95</f>
        <v>67.491461476561412</v>
      </c>
      <c r="F96" s="248">
        <f>Dat_02!D95</f>
        <v>85.678144231829236</v>
      </c>
      <c r="G96" s="248">
        <f>Dat_02!E95</f>
        <v>67.491461476561412</v>
      </c>
      <c r="I96" s="249">
        <f>Dat_02!G95</f>
        <v>0</v>
      </c>
      <c r="J96" s="259" t="str">
        <f>IF(Dat_02!H95=0,"",Dat_02!H95)</f>
        <v/>
      </c>
    </row>
    <row r="97" spans="2:10">
      <c r="B97" s="247"/>
      <c r="C97" s="246">
        <f>Dat_02!B96</f>
        <v>44137</v>
      </c>
      <c r="D97" s="247"/>
      <c r="E97" s="248">
        <f>Dat_02!C96</f>
        <v>90.539297578563279</v>
      </c>
      <c r="F97" s="248">
        <f>Dat_02!D96</f>
        <v>85.678144231829236</v>
      </c>
      <c r="G97" s="248">
        <f>Dat_02!E96</f>
        <v>85.678144231829236</v>
      </c>
      <c r="I97" s="249">
        <f>Dat_02!G96</f>
        <v>0</v>
      </c>
      <c r="J97" s="259" t="str">
        <f>IF(Dat_02!H96=0,"",Dat_02!H96)</f>
        <v/>
      </c>
    </row>
    <row r="98" spans="2:10">
      <c r="B98" s="245"/>
      <c r="C98" s="246">
        <f>Dat_02!B97</f>
        <v>44138</v>
      </c>
      <c r="D98" s="245"/>
      <c r="E98" s="248">
        <f>Dat_02!C97</f>
        <v>84.920933158563273</v>
      </c>
      <c r="F98" s="248">
        <f>Dat_02!D97</f>
        <v>85.678144231829236</v>
      </c>
      <c r="G98" s="248">
        <f>Dat_02!E97</f>
        <v>84.920933158563273</v>
      </c>
      <c r="I98" s="249">
        <f>Dat_02!G97</f>
        <v>0</v>
      </c>
      <c r="J98" s="259" t="str">
        <f>IF(Dat_02!H97=0,"",Dat_02!H97)</f>
        <v/>
      </c>
    </row>
    <row r="99" spans="2:10">
      <c r="B99" s="245"/>
      <c r="C99" s="246">
        <f>Dat_02!B98</f>
        <v>44139</v>
      </c>
      <c r="D99" s="245"/>
      <c r="E99" s="248">
        <f>Dat_02!C98</f>
        <v>92.090104163520209</v>
      </c>
      <c r="F99" s="248">
        <f>Dat_02!D98</f>
        <v>85.678144231829236</v>
      </c>
      <c r="G99" s="248">
        <f>Dat_02!E98</f>
        <v>85.678144231829236</v>
      </c>
      <c r="I99" s="249">
        <f>Dat_02!G98</f>
        <v>0</v>
      </c>
      <c r="J99" s="259" t="str">
        <f>IF(Dat_02!H98=0,"",Dat_02!H98)</f>
        <v/>
      </c>
    </row>
    <row r="100" spans="2:10">
      <c r="B100" s="245"/>
      <c r="C100" s="246">
        <f>Dat_02!B99</f>
        <v>44140</v>
      </c>
      <c r="D100" s="245"/>
      <c r="E100" s="248">
        <f>Dat_02!C99</f>
        <v>85.06945982151835</v>
      </c>
      <c r="F100" s="248">
        <f>Dat_02!D99</f>
        <v>85.678144231829236</v>
      </c>
      <c r="G100" s="248">
        <f>Dat_02!E99</f>
        <v>85.06945982151835</v>
      </c>
      <c r="I100" s="249">
        <f>Dat_02!G99</f>
        <v>0</v>
      </c>
      <c r="J100" s="259" t="str">
        <f>IF(Dat_02!H99=0,"",Dat_02!H99)</f>
        <v/>
      </c>
    </row>
    <row r="101" spans="2:10">
      <c r="B101" s="245"/>
      <c r="C101" s="246">
        <f>Dat_02!B100</f>
        <v>44141</v>
      </c>
      <c r="D101" s="245"/>
      <c r="E101" s="248">
        <f>Dat_02!C100</f>
        <v>82.499194099520196</v>
      </c>
      <c r="F101" s="248">
        <f>Dat_02!D100</f>
        <v>85.678144231829236</v>
      </c>
      <c r="G101" s="248">
        <f>Dat_02!E100</f>
        <v>82.499194099520196</v>
      </c>
      <c r="I101" s="249">
        <f>Dat_02!G100</f>
        <v>0</v>
      </c>
      <c r="J101" s="259" t="str">
        <f>IF(Dat_02!H100=0,"",Dat_02!H100)</f>
        <v/>
      </c>
    </row>
    <row r="102" spans="2:10">
      <c r="B102" s="245"/>
      <c r="C102" s="246">
        <f>Dat_02!B101</f>
        <v>44142</v>
      </c>
      <c r="D102" s="245"/>
      <c r="E102" s="248">
        <f>Dat_02!C101</f>
        <v>85.196646417518352</v>
      </c>
      <c r="F102" s="248">
        <f>Dat_02!D101</f>
        <v>85.678144231829236</v>
      </c>
      <c r="G102" s="248">
        <f>Dat_02!E101</f>
        <v>85.196646417518352</v>
      </c>
      <c r="I102" s="249">
        <f>Dat_02!G101</f>
        <v>0</v>
      </c>
      <c r="J102" s="259" t="str">
        <f>IF(Dat_02!H101=0,"",Dat_02!H101)</f>
        <v/>
      </c>
    </row>
    <row r="103" spans="2:10">
      <c r="B103" s="245"/>
      <c r="C103" s="246">
        <f>Dat_02!B102</f>
        <v>44143</v>
      </c>
      <c r="D103" s="245"/>
      <c r="E103" s="248">
        <f>Dat_02!C102</f>
        <v>88.352665449518341</v>
      </c>
      <c r="F103" s="248">
        <f>Dat_02!D102</f>
        <v>85.678144231829236</v>
      </c>
      <c r="G103" s="248">
        <f>Dat_02!E102</f>
        <v>85.678144231829236</v>
      </c>
      <c r="I103" s="249">
        <f>Dat_02!G102</f>
        <v>0</v>
      </c>
      <c r="J103" s="259" t="str">
        <f>IF(Dat_02!H102=0,"",Dat_02!H102)</f>
        <v/>
      </c>
    </row>
    <row r="104" spans="2:10">
      <c r="B104" s="245"/>
      <c r="C104" s="246">
        <f>Dat_02!B103</f>
        <v>44144</v>
      </c>
      <c r="D104" s="245"/>
      <c r="E104" s="248">
        <f>Dat_02!C103</f>
        <v>122.2032016355202</v>
      </c>
      <c r="F104" s="248">
        <f>Dat_02!D103</f>
        <v>85.678144231829236</v>
      </c>
      <c r="G104" s="248">
        <f>Dat_02!E103</f>
        <v>85.678144231829236</v>
      </c>
      <c r="I104" s="249">
        <f>Dat_02!G103</f>
        <v>0</v>
      </c>
      <c r="J104" s="259" t="str">
        <f>IF(Dat_02!H103=0,"",Dat_02!H103)</f>
        <v/>
      </c>
    </row>
    <row r="105" spans="2:10">
      <c r="B105" s="245"/>
      <c r="C105" s="246">
        <f>Dat_02!B104</f>
        <v>44145</v>
      </c>
      <c r="D105" s="245"/>
      <c r="E105" s="248">
        <f>Dat_02!C104</f>
        <v>133.2698394595202</v>
      </c>
      <c r="F105" s="248">
        <f>Dat_02!D104</f>
        <v>85.678144231829236</v>
      </c>
      <c r="G105" s="248">
        <f>Dat_02!E104</f>
        <v>85.678144231829236</v>
      </c>
      <c r="I105" s="249">
        <f>Dat_02!G104</f>
        <v>0</v>
      </c>
      <c r="J105" s="259" t="str">
        <f>IF(Dat_02!H104=0,"",Dat_02!H104)</f>
        <v/>
      </c>
    </row>
    <row r="106" spans="2:10">
      <c r="B106" s="245"/>
      <c r="C106" s="246">
        <f>Dat_02!B105</f>
        <v>44146</v>
      </c>
      <c r="D106" s="245"/>
      <c r="E106" s="248">
        <f>Dat_02!C105</f>
        <v>92.376966588720165</v>
      </c>
      <c r="F106" s="248">
        <f>Dat_02!D105</f>
        <v>85.678144231829236</v>
      </c>
      <c r="G106" s="248">
        <f>Dat_02!E105</f>
        <v>85.678144231829236</v>
      </c>
      <c r="I106" s="249">
        <f>Dat_02!G105</f>
        <v>0</v>
      </c>
      <c r="J106" s="259" t="str">
        <f>IF(Dat_02!H105=0,"",Dat_02!H105)</f>
        <v/>
      </c>
    </row>
    <row r="107" spans="2:10">
      <c r="B107" s="245"/>
      <c r="C107" s="246">
        <f>Dat_02!B106</f>
        <v>44147</v>
      </c>
      <c r="D107" s="245"/>
      <c r="E107" s="248">
        <f>Dat_02!C106</f>
        <v>96.612491752722022</v>
      </c>
      <c r="F107" s="248">
        <f>Dat_02!D106</f>
        <v>85.678144231829236</v>
      </c>
      <c r="G107" s="248">
        <f>Dat_02!E106</f>
        <v>85.678144231829236</v>
      </c>
      <c r="I107" s="249">
        <f>Dat_02!G106</f>
        <v>0</v>
      </c>
      <c r="J107" s="259" t="str">
        <f>IF(Dat_02!H106=0,"",Dat_02!H106)</f>
        <v/>
      </c>
    </row>
    <row r="108" spans="2:10">
      <c r="B108" s="245"/>
      <c r="C108" s="246">
        <f>Dat_02!B107</f>
        <v>44148</v>
      </c>
      <c r="D108" s="245"/>
      <c r="E108" s="248">
        <f>Dat_02!C107</f>
        <v>95.489208220722034</v>
      </c>
      <c r="F108" s="248">
        <f>Dat_02!D107</f>
        <v>85.678144231829236</v>
      </c>
      <c r="G108" s="248">
        <f>Dat_02!E107</f>
        <v>85.678144231829236</v>
      </c>
      <c r="I108" s="249" t="str">
        <f>Dat_02!G107</f>
        <v/>
      </c>
      <c r="J108" s="259" t="str">
        <f>IF(Dat_02!H107=0,"",Dat_02!H107)</f>
        <v/>
      </c>
    </row>
    <row r="109" spans="2:10">
      <c r="B109" s="245"/>
      <c r="C109" s="246">
        <f>Dat_02!B108</f>
        <v>44149</v>
      </c>
      <c r="D109" s="245"/>
      <c r="E109" s="248">
        <f>Dat_02!C108</f>
        <v>70.060299420722032</v>
      </c>
      <c r="F109" s="248">
        <f>Dat_02!D108</f>
        <v>85.678144231829236</v>
      </c>
      <c r="G109" s="248">
        <f>Dat_02!E108</f>
        <v>70.060299420722032</v>
      </c>
      <c r="I109" s="309" t="str">
        <f>Dat_02!G108</f>
        <v/>
      </c>
      <c r="J109" s="259" t="str">
        <f>IF(Dat_02!H108=0,"",Dat_02!H108)</f>
        <v/>
      </c>
    </row>
    <row r="110" spans="2:10">
      <c r="B110" s="245"/>
      <c r="C110" s="246">
        <f>Dat_02!B109</f>
        <v>44150</v>
      </c>
      <c r="D110" s="245"/>
      <c r="E110" s="248">
        <f>Dat_02!C109</f>
        <v>48.015287764720171</v>
      </c>
      <c r="F110" s="248">
        <f>Dat_02!D109</f>
        <v>85.678144231829236</v>
      </c>
      <c r="G110" s="248">
        <f>Dat_02!E109</f>
        <v>48.015287764720171</v>
      </c>
      <c r="I110" s="249">
        <f>Dat_02!G109</f>
        <v>85.678144231829236</v>
      </c>
      <c r="J110" s="259" t="str">
        <f>IF(Dat_02!H109=0,"",Dat_02!H109)</f>
        <v/>
      </c>
    </row>
    <row r="111" spans="2:10">
      <c r="B111" s="245"/>
      <c r="C111" s="246">
        <f>Dat_02!B110</f>
        <v>44151</v>
      </c>
      <c r="D111" s="245"/>
      <c r="E111" s="248">
        <f>Dat_02!C110</f>
        <v>87.2994411447239</v>
      </c>
      <c r="F111" s="248">
        <f>Dat_02!D110</f>
        <v>85.678144231829236</v>
      </c>
      <c r="G111" s="248">
        <f>Dat_02!E110</f>
        <v>85.678144231829236</v>
      </c>
      <c r="I111" s="249">
        <f>Dat_02!G110</f>
        <v>0</v>
      </c>
      <c r="J111" s="259" t="str">
        <f>IF(Dat_02!H110=0,"",Dat_02!H110)</f>
        <v/>
      </c>
    </row>
    <row r="112" spans="2:10">
      <c r="B112" s="245"/>
      <c r="C112" s="246">
        <f>Dat_02!B111</f>
        <v>44152</v>
      </c>
      <c r="D112" s="245"/>
      <c r="E112" s="248">
        <f>Dat_02!C111</f>
        <v>92.342187160720158</v>
      </c>
      <c r="F112" s="248">
        <f>Dat_02!D111</f>
        <v>85.678144231829236</v>
      </c>
      <c r="G112" s="248">
        <f>Dat_02!E111</f>
        <v>85.678144231829236</v>
      </c>
      <c r="I112" s="249">
        <f>Dat_02!G111</f>
        <v>0</v>
      </c>
      <c r="J112" s="259" t="str">
        <f>IF(Dat_02!H111=0,"",Dat_02!H111)</f>
        <v/>
      </c>
    </row>
    <row r="113" spans="2:10">
      <c r="B113" s="245"/>
      <c r="C113" s="246">
        <f>Dat_02!B112</f>
        <v>44153</v>
      </c>
      <c r="D113" s="245"/>
      <c r="E113" s="248">
        <f>Dat_02!C112</f>
        <v>70.111621425442806</v>
      </c>
      <c r="F113" s="248">
        <f>Dat_02!D112</f>
        <v>85.678144231829236</v>
      </c>
      <c r="G113" s="248">
        <f>Dat_02!E112</f>
        <v>70.111621425442806</v>
      </c>
      <c r="I113" s="249">
        <f>Dat_02!G112</f>
        <v>0</v>
      </c>
      <c r="J113" s="259" t="str">
        <f>IF(Dat_02!H112=0,"",Dat_02!H112)</f>
        <v/>
      </c>
    </row>
    <row r="114" spans="2:10">
      <c r="B114" s="245"/>
      <c r="C114" s="246">
        <f>Dat_02!B113</f>
        <v>44154</v>
      </c>
      <c r="D114" s="245"/>
      <c r="E114" s="248">
        <f>Dat_02!C113</f>
        <v>63.088121337444669</v>
      </c>
      <c r="F114" s="248">
        <f>Dat_02!D113</f>
        <v>85.678144231829236</v>
      </c>
      <c r="G114" s="248">
        <f>Dat_02!E113</f>
        <v>63.088121337444669</v>
      </c>
      <c r="I114" s="249">
        <f>Dat_02!G113</f>
        <v>0</v>
      </c>
      <c r="J114" s="259" t="str">
        <f>IF(Dat_02!H113=0,"",Dat_02!H113)</f>
        <v/>
      </c>
    </row>
    <row r="115" spans="2:10">
      <c r="B115" s="245"/>
      <c r="C115" s="246">
        <f>Dat_02!B114</f>
        <v>44155</v>
      </c>
      <c r="D115" s="245"/>
      <c r="E115" s="248">
        <f>Dat_02!C114</f>
        <v>55.397761157440947</v>
      </c>
      <c r="F115" s="248">
        <f>Dat_02!D114</f>
        <v>85.678144231829236</v>
      </c>
      <c r="G115" s="248">
        <f>Dat_02!E114</f>
        <v>55.397761157440947</v>
      </c>
      <c r="I115" s="249">
        <f>Dat_02!G114</f>
        <v>0</v>
      </c>
      <c r="J115" s="259" t="str">
        <f>IF(Dat_02!H114=0,"",Dat_02!H114)</f>
        <v/>
      </c>
    </row>
    <row r="116" spans="2:10">
      <c r="B116" s="245"/>
      <c r="C116" s="246">
        <f>Dat_02!B115</f>
        <v>44156</v>
      </c>
      <c r="D116" s="245"/>
      <c r="E116" s="248">
        <f>Dat_02!C115</f>
        <v>53.693995237442813</v>
      </c>
      <c r="F116" s="248">
        <f>Dat_02!D115</f>
        <v>85.678144231829236</v>
      </c>
      <c r="G116" s="248">
        <f>Dat_02!E115</f>
        <v>53.693995237442813</v>
      </c>
      <c r="I116" s="249">
        <f>Dat_02!G115</f>
        <v>0</v>
      </c>
      <c r="J116" s="259" t="str">
        <f>IF(Dat_02!H115=0,"",Dat_02!H115)</f>
        <v/>
      </c>
    </row>
    <row r="117" spans="2:10">
      <c r="B117" s="245"/>
      <c r="C117" s="246">
        <f>Dat_02!B116</f>
        <v>44157</v>
      </c>
      <c r="D117" s="245"/>
      <c r="E117" s="248">
        <f>Dat_02!C116</f>
        <v>46.526884517442817</v>
      </c>
      <c r="F117" s="248">
        <f>Dat_02!D116</f>
        <v>85.678144231829236</v>
      </c>
      <c r="G117" s="248">
        <f>Dat_02!E116</f>
        <v>46.526884517442817</v>
      </c>
      <c r="I117" s="249">
        <f>Dat_02!G116</f>
        <v>0</v>
      </c>
      <c r="J117" s="259" t="str">
        <f>IF(Dat_02!H116=0,"",Dat_02!H116)</f>
        <v/>
      </c>
    </row>
    <row r="118" spans="2:10">
      <c r="B118" s="245"/>
      <c r="C118" s="246">
        <f>Dat_02!B117</f>
        <v>44158</v>
      </c>
      <c r="D118" s="245"/>
      <c r="E118" s="248">
        <f>Dat_02!C117</f>
        <v>85.732369433442813</v>
      </c>
      <c r="F118" s="248">
        <f>Dat_02!D117</f>
        <v>85.678144231829236</v>
      </c>
      <c r="G118" s="248">
        <f>Dat_02!E117</f>
        <v>85.678144231829236</v>
      </c>
      <c r="I118" s="249">
        <f>Dat_02!G117</f>
        <v>0</v>
      </c>
      <c r="J118" s="259" t="str">
        <f>IF(Dat_02!H117=0,"",Dat_02!H117)</f>
        <v/>
      </c>
    </row>
    <row r="119" spans="2:10">
      <c r="B119" s="245"/>
      <c r="C119" s="246">
        <f>Dat_02!B118</f>
        <v>44159</v>
      </c>
      <c r="D119" s="245"/>
      <c r="E119" s="248">
        <f>Dat_02!C118</f>
        <v>88.500465897440961</v>
      </c>
      <c r="F119" s="248">
        <f>Dat_02!D118</f>
        <v>85.678144231829236</v>
      </c>
      <c r="G119" s="248">
        <f>Dat_02!E118</f>
        <v>85.678144231829236</v>
      </c>
      <c r="I119" s="249">
        <f>Dat_02!G118</f>
        <v>0</v>
      </c>
      <c r="J119" s="259" t="str">
        <f>IF(Dat_02!H118=0,"",Dat_02!H118)</f>
        <v/>
      </c>
    </row>
    <row r="120" spans="2:10">
      <c r="B120" s="245"/>
      <c r="C120" s="246">
        <f>Dat_02!B119</f>
        <v>44160</v>
      </c>
      <c r="D120" s="245"/>
      <c r="E120" s="248">
        <f>Dat_02!C119</f>
        <v>69.851458300664419</v>
      </c>
      <c r="F120" s="248">
        <f>Dat_02!D119</f>
        <v>85.678144231829236</v>
      </c>
      <c r="G120" s="248">
        <f>Dat_02!E119</f>
        <v>69.851458300664419</v>
      </c>
      <c r="I120" s="249">
        <f>Dat_02!G119</f>
        <v>0</v>
      </c>
      <c r="J120" s="259" t="str">
        <f>IF(Dat_02!H119=0,"",Dat_02!H119)</f>
        <v/>
      </c>
    </row>
    <row r="121" spans="2:10">
      <c r="B121" s="245"/>
      <c r="C121" s="246">
        <f>Dat_02!B120</f>
        <v>44161</v>
      </c>
      <c r="D121" s="245"/>
      <c r="E121" s="248">
        <f>Dat_02!C120</f>
        <v>67.886973940664419</v>
      </c>
      <c r="F121" s="248">
        <f>Dat_02!D120</f>
        <v>85.678144231829236</v>
      </c>
      <c r="G121" s="248">
        <f>Dat_02!E120</f>
        <v>67.886973940664419</v>
      </c>
      <c r="I121" s="249">
        <f>Dat_02!G120</f>
        <v>0</v>
      </c>
      <c r="J121" s="259" t="str">
        <f>IF(Dat_02!H120=0,"",Dat_02!H120)</f>
        <v/>
      </c>
    </row>
    <row r="122" spans="2:10">
      <c r="B122" s="245"/>
      <c r="C122" s="246">
        <f>Dat_02!B121</f>
        <v>44162</v>
      </c>
      <c r="D122" s="245"/>
      <c r="E122" s="248">
        <f>Dat_02!C121</f>
        <v>81.418604596664423</v>
      </c>
      <c r="F122" s="248">
        <f>Dat_02!D121</f>
        <v>85.678144231829236</v>
      </c>
      <c r="G122" s="248">
        <f>Dat_02!E121</f>
        <v>81.418604596664423</v>
      </c>
      <c r="I122" s="249">
        <f>Dat_02!G121</f>
        <v>0</v>
      </c>
      <c r="J122" s="259" t="str">
        <f>IF(Dat_02!H121=0,"",Dat_02!H121)</f>
        <v/>
      </c>
    </row>
    <row r="123" spans="2:10">
      <c r="B123" s="245"/>
      <c r="C123" s="246">
        <f>Dat_02!B122</f>
        <v>44163</v>
      </c>
      <c r="D123" s="245"/>
      <c r="E123" s="248">
        <f>Dat_02!C122</f>
        <v>64.213849756666278</v>
      </c>
      <c r="F123" s="248">
        <f>Dat_02!D122</f>
        <v>85.678144231829236</v>
      </c>
      <c r="G123" s="248">
        <f>Dat_02!E122</f>
        <v>64.213849756666278</v>
      </c>
      <c r="I123" s="249">
        <f>Dat_02!G122</f>
        <v>0</v>
      </c>
      <c r="J123" s="259" t="str">
        <f>IF(Dat_02!H122=0,"",Dat_02!H122)</f>
        <v/>
      </c>
    </row>
    <row r="124" spans="2:10">
      <c r="B124" s="245"/>
      <c r="C124" s="246">
        <f>Dat_02!B123</f>
        <v>44164</v>
      </c>
      <c r="D124" s="245"/>
      <c r="E124" s="248">
        <f>Dat_02!C123</f>
        <v>59.651142740662557</v>
      </c>
      <c r="F124" s="248">
        <f>Dat_02!D123</f>
        <v>85.678144231829236</v>
      </c>
      <c r="G124" s="248">
        <f>Dat_02!E123</f>
        <v>59.651142740662557</v>
      </c>
      <c r="I124" s="249">
        <f>Dat_02!G123</f>
        <v>0</v>
      </c>
      <c r="J124" s="259" t="str">
        <f>IF(Dat_02!H123=0,"",Dat_02!H123)</f>
        <v/>
      </c>
    </row>
    <row r="125" spans="2:10">
      <c r="B125" s="247"/>
      <c r="C125" s="246">
        <f>Dat_02!B124</f>
        <v>44165</v>
      </c>
      <c r="D125" s="245"/>
      <c r="E125" s="248">
        <f>Dat_02!C124</f>
        <v>79.045761708664415</v>
      </c>
      <c r="F125" s="248">
        <f>Dat_02!D124</f>
        <v>85.678144231829236</v>
      </c>
      <c r="G125" s="248">
        <f>Dat_02!E124</f>
        <v>79.045761708664415</v>
      </c>
      <c r="I125" s="249">
        <f>Dat_02!G124</f>
        <v>0</v>
      </c>
      <c r="J125" s="259" t="str">
        <f>IF(Dat_02!H124=0,"",Dat_02!H124)</f>
        <v/>
      </c>
    </row>
    <row r="126" spans="2:10">
      <c r="B126" s="247"/>
      <c r="C126" s="246">
        <f>Dat_02!B125</f>
        <v>44166</v>
      </c>
      <c r="D126" s="247"/>
      <c r="E126" s="248">
        <f>Dat_02!C125</f>
        <v>62.100601868663496</v>
      </c>
      <c r="F126" s="248">
        <f>Dat_02!D125</f>
        <v>109.27964473765024</v>
      </c>
      <c r="G126" s="248">
        <f>Dat_02!E125</f>
        <v>62.100601868663496</v>
      </c>
      <c r="I126" s="249">
        <f>Dat_02!G125</f>
        <v>0</v>
      </c>
      <c r="J126" s="259" t="str">
        <f>IF(Dat_02!H125=0,"",Dat_02!H125)</f>
        <v/>
      </c>
    </row>
    <row r="127" spans="2:10">
      <c r="B127" s="247" t="s">
        <v>214</v>
      </c>
      <c r="C127" s="246">
        <f>Dat_02!B126</f>
        <v>44167</v>
      </c>
      <c r="D127" s="247"/>
      <c r="E127" s="248">
        <f>Dat_02!C126</f>
        <v>70.402396138760267</v>
      </c>
      <c r="F127" s="248">
        <f>Dat_02!D126</f>
        <v>109.27964473765024</v>
      </c>
      <c r="G127" s="248">
        <f>Dat_02!E126</f>
        <v>70.402396138760267</v>
      </c>
      <c r="I127" s="249">
        <f>Dat_02!G126</f>
        <v>0</v>
      </c>
      <c r="J127" s="259" t="str">
        <f>IF(Dat_02!H126=0,"",Dat_02!H126)</f>
        <v/>
      </c>
    </row>
    <row r="128" spans="2:10">
      <c r="B128" s="245"/>
      <c r="C128" s="246">
        <f>Dat_02!B127</f>
        <v>44168</v>
      </c>
      <c r="D128" s="247"/>
      <c r="E128" s="248">
        <f>Dat_02!C127</f>
        <v>82.667161910759333</v>
      </c>
      <c r="F128" s="248">
        <f>Dat_02!D127</f>
        <v>109.27964473765024</v>
      </c>
      <c r="G128" s="248">
        <f>Dat_02!E127</f>
        <v>82.667161910759333</v>
      </c>
      <c r="I128" s="249">
        <f>Dat_02!G127</f>
        <v>0</v>
      </c>
      <c r="J128" s="259" t="str">
        <f>IF(Dat_02!H127=0,"",Dat_02!H127)</f>
        <v/>
      </c>
    </row>
    <row r="129" spans="2:10">
      <c r="B129" s="245"/>
      <c r="C129" s="246">
        <f>Dat_02!B128</f>
        <v>44169</v>
      </c>
      <c r="D129" s="245"/>
      <c r="E129" s="248">
        <f>Dat_02!C128</f>
        <v>78.066907996759326</v>
      </c>
      <c r="F129" s="248">
        <f>Dat_02!D128</f>
        <v>109.27964473765024</v>
      </c>
      <c r="G129" s="248">
        <f>Dat_02!E128</f>
        <v>78.066907996759326</v>
      </c>
      <c r="I129" s="249">
        <f>Dat_02!G128</f>
        <v>0</v>
      </c>
      <c r="J129" s="259" t="str">
        <f>IF(Dat_02!H128=0,"",Dat_02!H128)</f>
        <v/>
      </c>
    </row>
    <row r="130" spans="2:10">
      <c r="B130" s="245"/>
      <c r="C130" s="246">
        <f>Dat_02!B129</f>
        <v>44170</v>
      </c>
      <c r="D130" s="245"/>
      <c r="E130" s="248">
        <f>Dat_02!C129</f>
        <v>61.534131550759327</v>
      </c>
      <c r="F130" s="248">
        <f>Dat_02!D129</f>
        <v>109.27964473765024</v>
      </c>
      <c r="G130" s="248">
        <f>Dat_02!E129</f>
        <v>61.534131550759327</v>
      </c>
      <c r="I130" s="249">
        <f>Dat_02!G129</f>
        <v>0</v>
      </c>
      <c r="J130" s="259" t="str">
        <f>IF(Dat_02!H129=0,"",Dat_02!H129)</f>
        <v/>
      </c>
    </row>
    <row r="131" spans="2:10">
      <c r="B131" s="245"/>
      <c r="C131" s="246">
        <f>Dat_02!B130</f>
        <v>44171</v>
      </c>
      <c r="D131" s="245"/>
      <c r="E131" s="248">
        <f>Dat_02!C130</f>
        <v>45.123614910761191</v>
      </c>
      <c r="F131" s="248">
        <f>Dat_02!D130</f>
        <v>109.27964473765024</v>
      </c>
      <c r="G131" s="248">
        <f>Dat_02!E130</f>
        <v>45.123614910761191</v>
      </c>
      <c r="I131" s="249">
        <f>Dat_02!G130</f>
        <v>0</v>
      </c>
      <c r="J131" s="259" t="str">
        <f>IF(Dat_02!H130=0,"",Dat_02!H130)</f>
        <v/>
      </c>
    </row>
    <row r="132" spans="2:10">
      <c r="B132" s="245"/>
      <c r="C132" s="246">
        <f>Dat_02!B131</f>
        <v>44172</v>
      </c>
      <c r="D132" s="245"/>
      <c r="E132" s="248">
        <f>Dat_02!C131</f>
        <v>40.704781300759329</v>
      </c>
      <c r="F132" s="248">
        <f>Dat_02!D131</f>
        <v>109.27964473765024</v>
      </c>
      <c r="G132" s="248">
        <f>Dat_02!E131</f>
        <v>40.704781300759329</v>
      </c>
      <c r="I132" s="249">
        <f>Dat_02!G131</f>
        <v>0</v>
      </c>
      <c r="J132" s="259" t="str">
        <f>IF(Dat_02!H131=0,"",Dat_02!H131)</f>
        <v/>
      </c>
    </row>
    <row r="133" spans="2:10">
      <c r="B133" s="245"/>
      <c r="C133" s="246">
        <f>Dat_02!B132</f>
        <v>44173</v>
      </c>
      <c r="D133" s="245"/>
      <c r="E133" s="248">
        <f>Dat_02!C132</f>
        <v>62.039171170759332</v>
      </c>
      <c r="F133" s="248">
        <f>Dat_02!D132</f>
        <v>109.27964473765024</v>
      </c>
      <c r="G133" s="248">
        <f>Dat_02!E132</f>
        <v>62.039171170759332</v>
      </c>
      <c r="I133" s="249">
        <f>Dat_02!G132</f>
        <v>0</v>
      </c>
      <c r="J133" s="259" t="str">
        <f>IF(Dat_02!H132=0,"",Dat_02!H132)</f>
        <v/>
      </c>
    </row>
    <row r="134" spans="2:10">
      <c r="B134" s="245"/>
      <c r="C134" s="246">
        <f>Dat_02!B133</f>
        <v>44174</v>
      </c>
      <c r="D134" s="245"/>
      <c r="E134" s="248">
        <f>Dat_02!C133</f>
        <v>180.84187507717817</v>
      </c>
      <c r="F134" s="248">
        <f>Dat_02!D133</f>
        <v>109.27964473765024</v>
      </c>
      <c r="G134" s="248">
        <f>Dat_02!E133</f>
        <v>109.27964473765024</v>
      </c>
      <c r="I134" s="249">
        <f>Dat_02!G133</f>
        <v>0</v>
      </c>
      <c r="J134" s="259" t="str">
        <f>IF(Dat_02!H133=0,"",Dat_02!H133)</f>
        <v/>
      </c>
    </row>
    <row r="135" spans="2:10">
      <c r="B135" s="245"/>
      <c r="C135" s="246">
        <f>Dat_02!B134</f>
        <v>44175</v>
      </c>
      <c r="D135" s="245"/>
      <c r="E135" s="248">
        <f>Dat_02!C134</f>
        <v>177.39079880117723</v>
      </c>
      <c r="F135" s="248">
        <f>Dat_02!D134</f>
        <v>109.27964473765024</v>
      </c>
      <c r="G135" s="248">
        <f>Dat_02!E134</f>
        <v>109.27964473765024</v>
      </c>
      <c r="I135" s="249">
        <f>Dat_02!G134</f>
        <v>0</v>
      </c>
      <c r="J135" s="259" t="str">
        <f>IF(Dat_02!H134=0,"",Dat_02!H134)</f>
        <v/>
      </c>
    </row>
    <row r="136" spans="2:10">
      <c r="B136" s="245"/>
      <c r="C136" s="246">
        <f>Dat_02!B135</f>
        <v>44176</v>
      </c>
      <c r="D136" s="245"/>
      <c r="E136" s="248">
        <f>Dat_02!C135</f>
        <v>170.68153854117722</v>
      </c>
      <c r="F136" s="248">
        <f>Dat_02!D135</f>
        <v>109.27964473765024</v>
      </c>
      <c r="G136" s="248">
        <f>Dat_02!E135</f>
        <v>109.27964473765024</v>
      </c>
      <c r="I136" s="249">
        <f>Dat_02!G135</f>
        <v>0</v>
      </c>
      <c r="J136" s="259" t="str">
        <f>IF(Dat_02!H135=0,"",Dat_02!H135)</f>
        <v/>
      </c>
    </row>
    <row r="137" spans="2:10">
      <c r="B137" s="245"/>
      <c r="C137" s="246">
        <f>Dat_02!B136</f>
        <v>44177</v>
      </c>
      <c r="D137" s="245"/>
      <c r="E137" s="248">
        <f>Dat_02!C136</f>
        <v>168.05536761117725</v>
      </c>
      <c r="F137" s="248">
        <f>Dat_02!D136</f>
        <v>109.27964473765024</v>
      </c>
      <c r="G137" s="248">
        <f>Dat_02!E136</f>
        <v>109.27964473765024</v>
      </c>
      <c r="I137" s="249">
        <f>Dat_02!G136</f>
        <v>0</v>
      </c>
      <c r="J137" s="259" t="str">
        <f>IF(Dat_02!H136=0,"",Dat_02!H136)</f>
        <v/>
      </c>
    </row>
    <row r="138" spans="2:10">
      <c r="B138" s="245"/>
      <c r="C138" s="246">
        <f>Dat_02!B137</f>
        <v>44178</v>
      </c>
      <c r="D138" s="245"/>
      <c r="E138" s="248">
        <f>Dat_02!C137</f>
        <v>178.62972340117724</v>
      </c>
      <c r="F138" s="248">
        <f>Dat_02!D137</f>
        <v>109.27964473765024</v>
      </c>
      <c r="G138" s="248">
        <f>Dat_02!E137</f>
        <v>109.27964473765024</v>
      </c>
      <c r="I138" s="249">
        <f>Dat_02!G137</f>
        <v>0</v>
      </c>
      <c r="J138" s="259" t="str">
        <f>IF(Dat_02!H137=0,"",Dat_02!H137)</f>
        <v/>
      </c>
    </row>
    <row r="139" spans="2:10">
      <c r="B139" s="245"/>
      <c r="C139" s="246">
        <f>Dat_02!B138</f>
        <v>44179</v>
      </c>
      <c r="D139" s="245"/>
      <c r="E139" s="248">
        <f>Dat_02!C138</f>
        <v>193.30177418717724</v>
      </c>
      <c r="F139" s="248">
        <f>Dat_02!D138</f>
        <v>109.27964473765024</v>
      </c>
      <c r="G139" s="248">
        <f>Dat_02!E138</f>
        <v>109.27964473765024</v>
      </c>
      <c r="I139" s="249" t="str">
        <f>Dat_02!G138</f>
        <v/>
      </c>
      <c r="J139" s="259" t="str">
        <f>IF(Dat_02!H138=0,"",Dat_02!H138)</f>
        <v/>
      </c>
    </row>
    <row r="140" spans="2:10">
      <c r="B140" s="245"/>
      <c r="C140" s="246">
        <f>Dat_02!B139</f>
        <v>44180</v>
      </c>
      <c r="D140" s="245"/>
      <c r="E140" s="248">
        <f>Dat_02!C139</f>
        <v>197.34683710117724</v>
      </c>
      <c r="F140" s="248">
        <f>Dat_02!D139</f>
        <v>109.27964473765024</v>
      </c>
      <c r="G140" s="248">
        <f>Dat_02!E139</f>
        <v>109.27964473765024</v>
      </c>
      <c r="I140" s="309">
        <f>Dat_02!G139</f>
        <v>109.27964473765024</v>
      </c>
      <c r="J140" s="259" t="str">
        <f>IF(Dat_02!H139=0,"",Dat_02!H139)</f>
        <v/>
      </c>
    </row>
    <row r="141" spans="2:10">
      <c r="B141" s="245"/>
      <c r="C141" s="246">
        <f>Dat_02!B140</f>
        <v>44181</v>
      </c>
      <c r="D141" s="245"/>
      <c r="E141" s="248">
        <f>Dat_02!C140</f>
        <v>189.05654969500449</v>
      </c>
      <c r="F141" s="248">
        <f>Dat_02!D140</f>
        <v>109.27964473765024</v>
      </c>
      <c r="G141" s="248">
        <f>Dat_02!E140</f>
        <v>109.27964473765024</v>
      </c>
      <c r="I141" s="249" t="str">
        <f>Dat_02!G140</f>
        <v/>
      </c>
      <c r="J141" s="259" t="str">
        <f>IF(Dat_02!H140=0,"",Dat_02!H140)</f>
        <v/>
      </c>
    </row>
    <row r="142" spans="2:10">
      <c r="B142" s="245"/>
      <c r="C142" s="246">
        <f>Dat_02!B141</f>
        <v>44182</v>
      </c>
      <c r="D142" s="245"/>
      <c r="E142" s="248">
        <f>Dat_02!C141</f>
        <v>209.45691207300081</v>
      </c>
      <c r="F142" s="248">
        <f>Dat_02!D141</f>
        <v>109.27964473765024</v>
      </c>
      <c r="G142" s="248">
        <f>Dat_02!E141</f>
        <v>109.27964473765024</v>
      </c>
      <c r="I142" s="249">
        <f>Dat_02!G141</f>
        <v>0</v>
      </c>
      <c r="J142" s="259" t="str">
        <f>IF(Dat_02!H141=0,"",Dat_02!H141)</f>
        <v/>
      </c>
    </row>
    <row r="143" spans="2:10">
      <c r="B143" s="245"/>
      <c r="C143" s="246">
        <f>Dat_02!B142</f>
        <v>44183</v>
      </c>
      <c r="D143" s="245"/>
      <c r="E143" s="248">
        <f>Dat_02!C142</f>
        <v>188.86810224900265</v>
      </c>
      <c r="F143" s="248">
        <f>Dat_02!D142</f>
        <v>109.27964473765024</v>
      </c>
      <c r="G143" s="248">
        <f>Dat_02!E142</f>
        <v>109.27964473765024</v>
      </c>
      <c r="I143" s="249">
        <f>Dat_02!G142</f>
        <v>0</v>
      </c>
      <c r="J143" s="259" t="str">
        <f>IF(Dat_02!H142=0,"",Dat_02!H142)</f>
        <v/>
      </c>
    </row>
    <row r="144" spans="2:10">
      <c r="B144" s="245"/>
      <c r="C144" s="246">
        <f>Dat_02!B143</f>
        <v>44184</v>
      </c>
      <c r="D144" s="245"/>
      <c r="E144" s="248">
        <f>Dat_02!C143</f>
        <v>170.36948992900079</v>
      </c>
      <c r="F144" s="248">
        <f>Dat_02!D143</f>
        <v>109.27964473765024</v>
      </c>
      <c r="G144" s="248">
        <f>Dat_02!E143</f>
        <v>109.27964473765024</v>
      </c>
      <c r="I144" s="249">
        <f>Dat_02!G143</f>
        <v>0</v>
      </c>
      <c r="J144" s="259" t="str">
        <f>IF(Dat_02!H143=0,"",Dat_02!H143)</f>
        <v/>
      </c>
    </row>
    <row r="145" spans="2:10">
      <c r="B145" s="245"/>
      <c r="C145" s="246">
        <f>Dat_02!B144</f>
        <v>44185</v>
      </c>
      <c r="D145" s="245"/>
      <c r="E145" s="248">
        <f>Dat_02!C144</f>
        <v>171.48715503300267</v>
      </c>
      <c r="F145" s="248">
        <f>Dat_02!D144</f>
        <v>109.27964473765024</v>
      </c>
      <c r="G145" s="248">
        <f>Dat_02!E144</f>
        <v>109.27964473765024</v>
      </c>
      <c r="I145" s="249">
        <f>Dat_02!G144</f>
        <v>0</v>
      </c>
      <c r="J145" s="259" t="str">
        <f>IF(Dat_02!H144=0,"",Dat_02!H144)</f>
        <v/>
      </c>
    </row>
    <row r="146" spans="2:10">
      <c r="B146" s="245"/>
      <c r="C146" s="246">
        <f>Dat_02!B145</f>
        <v>44186</v>
      </c>
      <c r="D146" s="245"/>
      <c r="E146" s="248">
        <f>Dat_02!C145</f>
        <v>179.30444694500451</v>
      </c>
      <c r="F146" s="248">
        <f>Dat_02!D145</f>
        <v>109.27964473765024</v>
      </c>
      <c r="G146" s="248">
        <f>Dat_02!E145</f>
        <v>109.27964473765024</v>
      </c>
      <c r="I146" s="249">
        <f>Dat_02!G145</f>
        <v>0</v>
      </c>
      <c r="J146" s="259" t="str">
        <f>IF(Dat_02!H145=0,"",Dat_02!H145)</f>
        <v/>
      </c>
    </row>
    <row r="147" spans="2:10">
      <c r="B147" s="245"/>
      <c r="C147" s="246">
        <f>Dat_02!B146</f>
        <v>44187</v>
      </c>
      <c r="D147" s="245"/>
      <c r="E147" s="248">
        <f>Dat_02!C146</f>
        <v>167.23171702900268</v>
      </c>
      <c r="F147" s="248">
        <f>Dat_02!D146</f>
        <v>109.27964473765024</v>
      </c>
      <c r="G147" s="248">
        <f>Dat_02!E146</f>
        <v>109.27964473765024</v>
      </c>
      <c r="I147" s="249">
        <f>Dat_02!G146</f>
        <v>0</v>
      </c>
      <c r="J147" s="259" t="str">
        <f>IF(Dat_02!H146=0,"",Dat_02!H146)</f>
        <v/>
      </c>
    </row>
    <row r="148" spans="2:10">
      <c r="B148" s="245"/>
      <c r="C148" s="246">
        <f>Dat_02!B147</f>
        <v>44188</v>
      </c>
      <c r="D148" s="245"/>
      <c r="E148" s="248">
        <f>Dat_02!C147</f>
        <v>154.88950531000887</v>
      </c>
      <c r="F148" s="248">
        <f>Dat_02!D147</f>
        <v>109.27964473765024</v>
      </c>
      <c r="G148" s="248">
        <f>Dat_02!E147</f>
        <v>109.27964473765024</v>
      </c>
      <c r="I148" s="249">
        <f>Dat_02!G147</f>
        <v>0</v>
      </c>
      <c r="J148" s="259" t="str">
        <f>IF(Dat_02!H147=0,"",Dat_02!H147)</f>
        <v/>
      </c>
    </row>
    <row r="149" spans="2:10">
      <c r="B149" s="245"/>
      <c r="C149" s="246">
        <f>Dat_02!B148</f>
        <v>44189</v>
      </c>
      <c r="D149" s="245"/>
      <c r="E149" s="248">
        <f>Dat_02!C148</f>
        <v>129.28449326600702</v>
      </c>
      <c r="F149" s="248">
        <f>Dat_02!D148</f>
        <v>109.27964473765024</v>
      </c>
      <c r="G149" s="248">
        <f>Dat_02!E148</f>
        <v>109.27964473765024</v>
      </c>
      <c r="I149" s="249">
        <f>Dat_02!G148</f>
        <v>0</v>
      </c>
      <c r="J149" s="259" t="str">
        <f>IF(Dat_02!H148=0,"",Dat_02!H148)</f>
        <v/>
      </c>
    </row>
    <row r="150" spans="2:10">
      <c r="B150" s="245"/>
      <c r="C150" s="246">
        <f>Dat_02!B149</f>
        <v>44190</v>
      </c>
      <c r="D150" s="245"/>
      <c r="E150" s="248">
        <f>Dat_02!C149</f>
        <v>104.61240697200887</v>
      </c>
      <c r="F150" s="248">
        <f>Dat_02!D149</f>
        <v>109.27964473765024</v>
      </c>
      <c r="G150" s="248">
        <f>Dat_02!E149</f>
        <v>104.61240697200887</v>
      </c>
      <c r="I150" s="249">
        <f>Dat_02!G149</f>
        <v>0</v>
      </c>
      <c r="J150" s="259" t="str">
        <f>IF(Dat_02!H149=0,"",Dat_02!H149)</f>
        <v/>
      </c>
    </row>
    <row r="151" spans="2:10">
      <c r="B151" s="245"/>
      <c r="C151" s="246">
        <f>Dat_02!B150</f>
        <v>44191</v>
      </c>
      <c r="D151" s="245"/>
      <c r="E151" s="248">
        <f>Dat_02!C150</f>
        <v>116.87822096001074</v>
      </c>
      <c r="F151" s="248">
        <f>Dat_02!D150</f>
        <v>109.27964473765024</v>
      </c>
      <c r="G151" s="248">
        <f>Dat_02!E150</f>
        <v>109.27964473765024</v>
      </c>
      <c r="I151" s="249">
        <f>Dat_02!G150</f>
        <v>0</v>
      </c>
      <c r="J151" s="259" t="str">
        <f>IF(Dat_02!H150=0,"",Dat_02!H150)</f>
        <v/>
      </c>
    </row>
    <row r="152" spans="2:10">
      <c r="B152" s="245"/>
      <c r="C152" s="246">
        <f>Dat_02!B151</f>
        <v>44192</v>
      </c>
      <c r="D152" s="245"/>
      <c r="E152" s="248">
        <f>Dat_02!C151</f>
        <v>109.73485186600701</v>
      </c>
      <c r="F152" s="248">
        <f>Dat_02!D151</f>
        <v>109.27964473765024</v>
      </c>
      <c r="G152" s="248">
        <f>Dat_02!E151</f>
        <v>109.27964473765024</v>
      </c>
      <c r="I152" s="249">
        <f>Dat_02!G151</f>
        <v>0</v>
      </c>
      <c r="J152" s="259" t="str">
        <f>IF(Dat_02!H151=0,"",Dat_02!H151)</f>
        <v/>
      </c>
    </row>
    <row r="153" spans="2:10">
      <c r="B153" s="245"/>
      <c r="C153" s="246">
        <f>Dat_02!B152</f>
        <v>44193</v>
      </c>
      <c r="D153" s="245"/>
      <c r="E153" s="248">
        <f>Dat_02!C152</f>
        <v>115.48806524600887</v>
      </c>
      <c r="F153" s="248">
        <f>Dat_02!D152</f>
        <v>109.27964473765024</v>
      </c>
      <c r="G153" s="248">
        <f>Dat_02!E152</f>
        <v>109.27964473765024</v>
      </c>
      <c r="I153" s="249">
        <f>Dat_02!G152</f>
        <v>0</v>
      </c>
      <c r="J153" s="259" t="str">
        <f>IF(Dat_02!H152=0,"",Dat_02!H152)</f>
        <v/>
      </c>
    </row>
    <row r="154" spans="2:10">
      <c r="B154" s="245"/>
      <c r="C154" s="246">
        <f>Dat_02!B153</f>
        <v>44194</v>
      </c>
      <c r="D154" s="245"/>
      <c r="E154" s="248">
        <f>Dat_02!C153</f>
        <v>142.79488232000887</v>
      </c>
      <c r="F154" s="248">
        <f>Dat_02!D153</f>
        <v>109.27964473765024</v>
      </c>
      <c r="G154" s="248">
        <f>Dat_02!E153</f>
        <v>109.27964473765024</v>
      </c>
      <c r="I154" s="249">
        <f>Dat_02!G153</f>
        <v>0</v>
      </c>
      <c r="J154" s="259" t="str">
        <f>IF(Dat_02!H153=0,"",Dat_02!H153)</f>
        <v/>
      </c>
    </row>
    <row r="155" spans="2:10">
      <c r="B155" s="245"/>
      <c r="C155" s="246">
        <f>Dat_02!B154</f>
        <v>44195</v>
      </c>
      <c r="D155" s="245"/>
      <c r="E155" s="248">
        <f>Dat_02!C154</f>
        <v>145.75309296089668</v>
      </c>
      <c r="F155" s="248">
        <f>Dat_02!D154</f>
        <v>109.27964473765024</v>
      </c>
      <c r="G155" s="248">
        <f>Dat_02!E154</f>
        <v>109.27964473765024</v>
      </c>
      <c r="I155" s="249">
        <f>Dat_02!G154</f>
        <v>0</v>
      </c>
      <c r="J155" s="259" t="str">
        <f>IF(Dat_02!H154=0,"",Dat_02!H154)</f>
        <v/>
      </c>
    </row>
    <row r="156" spans="2:10">
      <c r="B156" s="247"/>
      <c r="C156" s="246">
        <f>Dat_02!B155</f>
        <v>44196</v>
      </c>
      <c r="D156" s="247"/>
      <c r="E156" s="248">
        <f>Dat_02!C155</f>
        <v>138.2532446589004</v>
      </c>
      <c r="F156" s="248">
        <f>Dat_02!D155</f>
        <v>109.27964473765024</v>
      </c>
      <c r="G156" s="248">
        <f>Dat_02!E155</f>
        <v>109.27964473765024</v>
      </c>
      <c r="I156" s="249">
        <f>Dat_02!G155</f>
        <v>0</v>
      </c>
      <c r="J156" s="259" t="str">
        <f>IF(Dat_02!H155=0,"",Dat_02!H155)</f>
        <v/>
      </c>
    </row>
    <row r="157" spans="2:10">
      <c r="B157" s="247"/>
      <c r="C157" s="246">
        <f>Dat_02!B156</f>
        <v>44197</v>
      </c>
      <c r="D157" s="247"/>
      <c r="E157" s="248">
        <f>Dat_02!C156</f>
        <v>121.61256647889853</v>
      </c>
      <c r="F157" s="248">
        <f>Dat_02!D156</f>
        <v>124.46511188199077</v>
      </c>
      <c r="G157" s="248">
        <f>Dat_02!E156</f>
        <v>121.61256647889853</v>
      </c>
      <c r="I157" s="249">
        <f>Dat_02!G156</f>
        <v>0</v>
      </c>
      <c r="J157" s="259" t="str">
        <f>IF(Dat_02!H156=0,"",Dat_02!H156)</f>
        <v/>
      </c>
    </row>
    <row r="158" spans="2:10">
      <c r="B158" s="247" t="s">
        <v>215</v>
      </c>
      <c r="C158" s="246">
        <f>Dat_02!B157</f>
        <v>44198</v>
      </c>
      <c r="D158" s="247"/>
      <c r="E158" s="248">
        <f>Dat_02!C157</f>
        <v>122.66184857089854</v>
      </c>
      <c r="F158" s="248">
        <f>Dat_02!D157</f>
        <v>124.46511188199077</v>
      </c>
      <c r="G158" s="248">
        <f>Dat_02!E157</f>
        <v>122.66184857089854</v>
      </c>
      <c r="I158" s="249">
        <f>Dat_02!G157</f>
        <v>0</v>
      </c>
      <c r="J158" s="259" t="str">
        <f>IF(Dat_02!H157=0,"",Dat_02!H157)</f>
        <v/>
      </c>
    </row>
    <row r="159" spans="2:10">
      <c r="B159" s="245"/>
      <c r="C159" s="246">
        <f>Dat_02!B158</f>
        <v>44199</v>
      </c>
      <c r="D159" s="245"/>
      <c r="E159" s="248">
        <f>Dat_02!C158</f>
        <v>127.50319563090041</v>
      </c>
      <c r="F159" s="248">
        <f>Dat_02!D158</f>
        <v>124.46511188199077</v>
      </c>
      <c r="G159" s="248">
        <f>Dat_02!E158</f>
        <v>124.46511188199077</v>
      </c>
      <c r="I159" s="249">
        <f>Dat_02!G158</f>
        <v>0</v>
      </c>
      <c r="J159" s="259" t="str">
        <f>IF(Dat_02!H158=0,"",Dat_02!H158)</f>
        <v/>
      </c>
    </row>
    <row r="160" spans="2:10">
      <c r="B160" s="245"/>
      <c r="C160" s="246">
        <f>Dat_02!B159</f>
        <v>44200</v>
      </c>
      <c r="D160" s="245"/>
      <c r="E160" s="248">
        <f>Dat_02!C159</f>
        <v>176.49416036089852</v>
      </c>
      <c r="F160" s="248">
        <f>Dat_02!D159</f>
        <v>124.46511188199077</v>
      </c>
      <c r="G160" s="248">
        <f>Dat_02!E159</f>
        <v>124.46511188199077</v>
      </c>
      <c r="I160" s="249">
        <f>Dat_02!G159</f>
        <v>0</v>
      </c>
      <c r="J160" s="259" t="str">
        <f>IF(Dat_02!H159=0,"",Dat_02!H159)</f>
        <v/>
      </c>
    </row>
    <row r="161" spans="2:10">
      <c r="B161" s="245"/>
      <c r="C161" s="246">
        <f>Dat_02!B160</f>
        <v>44201</v>
      </c>
      <c r="D161" s="245"/>
      <c r="E161" s="248">
        <f>Dat_02!C160</f>
        <v>186.71938942089855</v>
      </c>
      <c r="F161" s="248">
        <f>Dat_02!D160</f>
        <v>124.46511188199077</v>
      </c>
      <c r="G161" s="248">
        <f>Dat_02!E160</f>
        <v>124.46511188199077</v>
      </c>
      <c r="I161" s="249">
        <f>Dat_02!G160</f>
        <v>0</v>
      </c>
      <c r="J161" s="259" t="str">
        <f>IF(Dat_02!H160=0,"",Dat_02!H160)</f>
        <v/>
      </c>
    </row>
    <row r="162" spans="2:10">
      <c r="B162" s="245"/>
      <c r="C162" s="246">
        <f>Dat_02!B161</f>
        <v>44202</v>
      </c>
      <c r="D162" s="245"/>
      <c r="E162" s="248">
        <f>Dat_02!C161</f>
        <v>122.40887442801942</v>
      </c>
      <c r="F162" s="248">
        <f>Dat_02!D161</f>
        <v>124.46511188199077</v>
      </c>
      <c r="G162" s="248">
        <f>Dat_02!E161</f>
        <v>122.40887442801942</v>
      </c>
      <c r="I162" s="249">
        <f>Dat_02!G161</f>
        <v>0</v>
      </c>
      <c r="J162" s="259" t="str">
        <f>IF(Dat_02!H161=0,"",Dat_02!H161)</f>
        <v/>
      </c>
    </row>
    <row r="163" spans="2:10">
      <c r="B163" s="245"/>
      <c r="C163" s="246">
        <f>Dat_02!B162</f>
        <v>44203</v>
      </c>
      <c r="D163" s="245"/>
      <c r="E163" s="248">
        <f>Dat_02!C162</f>
        <v>113.46114075602128</v>
      </c>
      <c r="F163" s="248">
        <f>Dat_02!D162</f>
        <v>124.46511188199077</v>
      </c>
      <c r="G163" s="248">
        <f>Dat_02!E162</f>
        <v>113.46114075602128</v>
      </c>
      <c r="I163" s="249">
        <f>Dat_02!G162</f>
        <v>0</v>
      </c>
      <c r="J163" s="259" t="str">
        <f>IF(Dat_02!H162=0,"",Dat_02!H162)</f>
        <v/>
      </c>
    </row>
    <row r="164" spans="2:10">
      <c r="B164" s="245"/>
      <c r="C164" s="246">
        <f>Dat_02!B163</f>
        <v>44204</v>
      </c>
      <c r="D164" s="245"/>
      <c r="E164" s="248">
        <f>Dat_02!C163</f>
        <v>108.12699205602127</v>
      </c>
      <c r="F164" s="248">
        <f>Dat_02!D163</f>
        <v>124.46511188199077</v>
      </c>
      <c r="G164" s="248">
        <f>Dat_02!E163</f>
        <v>108.12699205602127</v>
      </c>
      <c r="I164" s="249">
        <f>Dat_02!G163</f>
        <v>0</v>
      </c>
      <c r="J164" s="259" t="str">
        <f>IF(Dat_02!H163=0,"",Dat_02!H163)</f>
        <v/>
      </c>
    </row>
    <row r="165" spans="2:10">
      <c r="B165" s="245"/>
      <c r="C165" s="246">
        <f>Dat_02!B164</f>
        <v>44205</v>
      </c>
      <c r="D165" s="245"/>
      <c r="E165" s="248">
        <f>Dat_02!C164</f>
        <v>79.585318456017546</v>
      </c>
      <c r="F165" s="248">
        <f>Dat_02!D164</f>
        <v>124.46511188199077</v>
      </c>
      <c r="G165" s="248">
        <f>Dat_02!E164</f>
        <v>79.585318456017546</v>
      </c>
      <c r="I165" s="249">
        <f>Dat_02!G164</f>
        <v>0</v>
      </c>
      <c r="J165" s="259" t="str">
        <f>IF(Dat_02!H164=0,"",Dat_02!H164)</f>
        <v/>
      </c>
    </row>
    <row r="166" spans="2:10">
      <c r="B166" s="245"/>
      <c r="C166" s="246">
        <f>Dat_02!B165</f>
        <v>44206</v>
      </c>
      <c r="D166" s="245"/>
      <c r="E166" s="248">
        <f>Dat_02!C165</f>
        <v>78.225685954021273</v>
      </c>
      <c r="F166" s="248">
        <f>Dat_02!D165</f>
        <v>124.46511188199077</v>
      </c>
      <c r="G166" s="248">
        <f>Dat_02!E165</f>
        <v>78.225685954021273</v>
      </c>
      <c r="I166" s="249">
        <f>Dat_02!G165</f>
        <v>0</v>
      </c>
      <c r="J166" s="259" t="str">
        <f>IF(Dat_02!H165=0,"",Dat_02!H165)</f>
        <v/>
      </c>
    </row>
    <row r="167" spans="2:10">
      <c r="B167" s="245"/>
      <c r="C167" s="246">
        <f>Dat_02!B166</f>
        <v>44207</v>
      </c>
      <c r="D167" s="245"/>
      <c r="E167" s="248">
        <f>Dat_02!C166</f>
        <v>89.220336424019408</v>
      </c>
      <c r="F167" s="248">
        <f>Dat_02!D166</f>
        <v>124.46511188199077</v>
      </c>
      <c r="G167" s="248">
        <f>Dat_02!E166</f>
        <v>89.220336424019408</v>
      </c>
      <c r="I167" s="249">
        <f>Dat_02!G166</f>
        <v>0</v>
      </c>
      <c r="J167" s="259" t="str">
        <f>IF(Dat_02!H166=0,"",Dat_02!H166)</f>
        <v/>
      </c>
    </row>
    <row r="168" spans="2:10">
      <c r="B168" s="245"/>
      <c r="C168" s="246">
        <f>Dat_02!B167</f>
        <v>44208</v>
      </c>
      <c r="D168" s="245"/>
      <c r="E168" s="248">
        <f>Dat_02!C167</f>
        <v>103.77480175601941</v>
      </c>
      <c r="F168" s="248">
        <f>Dat_02!D167</f>
        <v>124.46511188199077</v>
      </c>
      <c r="G168" s="248">
        <f>Dat_02!E167</f>
        <v>103.77480175601941</v>
      </c>
      <c r="I168" s="249">
        <f>Dat_02!G167</f>
        <v>0</v>
      </c>
      <c r="J168" s="259" t="str">
        <f>IF(Dat_02!H167=0,"",Dat_02!H167)</f>
        <v/>
      </c>
    </row>
    <row r="169" spans="2:10">
      <c r="B169" s="245"/>
      <c r="C169" s="246">
        <f>Dat_02!B168</f>
        <v>44209</v>
      </c>
      <c r="D169" s="245"/>
      <c r="E169" s="248">
        <f>Dat_02!C168</f>
        <v>65.034512115070655</v>
      </c>
      <c r="F169" s="248">
        <f>Dat_02!D168</f>
        <v>124.46511188199077</v>
      </c>
      <c r="G169" s="248">
        <f>Dat_02!E168</f>
        <v>65.034512115070655</v>
      </c>
      <c r="I169" s="249" t="str">
        <f>Dat_02!G168</f>
        <v/>
      </c>
      <c r="J169" s="259" t="str">
        <f>IF(Dat_02!H168=0,"",Dat_02!H168)</f>
        <v/>
      </c>
    </row>
    <row r="170" spans="2:10">
      <c r="B170" s="245"/>
      <c r="C170" s="246">
        <f>Dat_02!B169</f>
        <v>44210</v>
      </c>
      <c r="D170" s="245"/>
      <c r="E170" s="248">
        <f>Dat_02!C169</f>
        <v>63.201680711070658</v>
      </c>
      <c r="F170" s="248">
        <f>Dat_02!D169</f>
        <v>124.46511188199077</v>
      </c>
      <c r="G170" s="248">
        <f>Dat_02!E169</f>
        <v>63.201680711070658</v>
      </c>
      <c r="I170" s="249">
        <f>Dat_02!G169</f>
        <v>0</v>
      </c>
      <c r="J170" s="259" t="str">
        <f>IF(Dat_02!H169=0,"",Dat_02!H169)</f>
        <v/>
      </c>
    </row>
    <row r="171" spans="2:10">
      <c r="B171" s="245"/>
      <c r="C171" s="246">
        <f>Dat_02!B170</f>
        <v>44211</v>
      </c>
      <c r="D171" s="245"/>
      <c r="E171" s="248">
        <f>Dat_02!C170</f>
        <v>62.774371647068797</v>
      </c>
      <c r="F171" s="248">
        <f>Dat_02!D170</f>
        <v>124.46511188199077</v>
      </c>
      <c r="G171" s="248">
        <f>Dat_02!E170</f>
        <v>62.774371647068797</v>
      </c>
      <c r="I171" s="309">
        <f>Dat_02!G170</f>
        <v>124.46511188199077</v>
      </c>
      <c r="J171" s="259" t="str">
        <f>IF(Dat_02!H170=0,"",Dat_02!H170)</f>
        <v/>
      </c>
    </row>
    <row r="172" spans="2:10">
      <c r="B172" s="245"/>
      <c r="C172" s="246">
        <f>Dat_02!B171</f>
        <v>44212</v>
      </c>
      <c r="D172" s="245"/>
      <c r="E172" s="248">
        <f>Dat_02!C171</f>
        <v>56.383921859072522</v>
      </c>
      <c r="F172" s="248">
        <f>Dat_02!D171</f>
        <v>124.46511188199077</v>
      </c>
      <c r="G172" s="248">
        <f>Dat_02!E171</f>
        <v>56.383921859072522</v>
      </c>
      <c r="I172" s="249">
        <f>Dat_02!G171</f>
        <v>0</v>
      </c>
      <c r="J172" s="259" t="str">
        <f>IF(Dat_02!H171=0,"",Dat_02!H171)</f>
        <v/>
      </c>
    </row>
    <row r="173" spans="2:10">
      <c r="B173" s="245"/>
      <c r="C173" s="246">
        <f>Dat_02!B172</f>
        <v>44213</v>
      </c>
      <c r="D173" s="245"/>
      <c r="E173" s="248">
        <f>Dat_02!C172</f>
        <v>38.968119675068799</v>
      </c>
      <c r="F173" s="248">
        <f>Dat_02!D172</f>
        <v>124.46511188199077</v>
      </c>
      <c r="G173" s="248">
        <f>Dat_02!E172</f>
        <v>38.968119675068799</v>
      </c>
      <c r="I173" s="249">
        <f>Dat_02!G172</f>
        <v>0</v>
      </c>
      <c r="J173" s="259" t="str">
        <f>IF(Dat_02!H172=0,"",Dat_02!H172)</f>
        <v/>
      </c>
    </row>
    <row r="174" spans="2:10">
      <c r="B174" s="245"/>
      <c r="C174" s="246">
        <f>Dat_02!B173</f>
        <v>44214</v>
      </c>
      <c r="D174" s="245"/>
      <c r="E174" s="248">
        <f>Dat_02!C173</f>
        <v>71.525197235070664</v>
      </c>
      <c r="F174" s="248">
        <f>Dat_02!D173</f>
        <v>124.46511188199077</v>
      </c>
      <c r="G174" s="248">
        <f>Dat_02!E173</f>
        <v>71.525197235070664</v>
      </c>
      <c r="I174" s="249">
        <f>Dat_02!G173</f>
        <v>0</v>
      </c>
      <c r="J174" s="259" t="str">
        <f>IF(Dat_02!H173=0,"",Dat_02!H173)</f>
        <v/>
      </c>
    </row>
    <row r="175" spans="2:10">
      <c r="B175" s="245"/>
      <c r="C175" s="246">
        <f>Dat_02!B174</f>
        <v>44215</v>
      </c>
      <c r="D175" s="245"/>
      <c r="E175" s="248">
        <f>Dat_02!C174</f>
        <v>56.168955615070651</v>
      </c>
      <c r="F175" s="248">
        <f>Dat_02!D174</f>
        <v>124.46511188199077</v>
      </c>
      <c r="G175" s="248">
        <f>Dat_02!E174</f>
        <v>56.168955615070651</v>
      </c>
      <c r="I175" s="249">
        <f>Dat_02!G174</f>
        <v>0</v>
      </c>
      <c r="J175" s="259" t="str">
        <f>IF(Dat_02!H174=0,"",Dat_02!H174)</f>
        <v/>
      </c>
    </row>
    <row r="176" spans="2:10">
      <c r="B176" s="245"/>
      <c r="C176" s="246">
        <f>Dat_02!B175</f>
        <v>44216</v>
      </c>
      <c r="D176" s="245"/>
      <c r="E176" s="248">
        <f>Dat_02!C175</f>
        <v>180.60643095807191</v>
      </c>
      <c r="F176" s="248">
        <f>Dat_02!D175</f>
        <v>124.46511188199077</v>
      </c>
      <c r="G176" s="248">
        <f>Dat_02!E175</f>
        <v>124.46511188199077</v>
      </c>
      <c r="I176" s="249">
        <f>Dat_02!G175</f>
        <v>0</v>
      </c>
      <c r="J176" s="259" t="str">
        <f>IF(Dat_02!H175=0,"",Dat_02!H175)</f>
        <v/>
      </c>
    </row>
    <row r="177" spans="2:10">
      <c r="B177" s="245"/>
      <c r="C177" s="246">
        <f>Dat_02!B176</f>
        <v>44217</v>
      </c>
      <c r="D177" s="245"/>
      <c r="E177" s="248">
        <f>Dat_02!C176</f>
        <v>169.89213577406818</v>
      </c>
      <c r="F177" s="248">
        <f>Dat_02!D176</f>
        <v>124.46511188199077</v>
      </c>
      <c r="G177" s="248">
        <f>Dat_02!E176</f>
        <v>124.46511188199077</v>
      </c>
      <c r="I177" s="249">
        <f>Dat_02!G176</f>
        <v>0</v>
      </c>
      <c r="J177" s="259" t="str">
        <f>IF(Dat_02!H176=0,"",Dat_02!H176)</f>
        <v/>
      </c>
    </row>
    <row r="178" spans="2:10">
      <c r="B178" s="245"/>
      <c r="C178" s="246">
        <f>Dat_02!B177</f>
        <v>44218</v>
      </c>
      <c r="D178" s="245"/>
      <c r="E178" s="248">
        <f>Dat_02!C177</f>
        <v>170.88705726807007</v>
      </c>
      <c r="F178" s="248">
        <f>Dat_02!D177</f>
        <v>124.46511188199077</v>
      </c>
      <c r="G178" s="248">
        <f>Dat_02!E177</f>
        <v>124.46511188199077</v>
      </c>
      <c r="I178" s="249">
        <f>Dat_02!G177</f>
        <v>0</v>
      </c>
      <c r="J178" s="259" t="str">
        <f>IF(Dat_02!H177=0,"",Dat_02!H177)</f>
        <v/>
      </c>
    </row>
    <row r="179" spans="2:10">
      <c r="B179" s="245"/>
      <c r="C179" s="246">
        <f>Dat_02!B178</f>
        <v>44219</v>
      </c>
      <c r="D179" s="245"/>
      <c r="E179" s="248">
        <f>Dat_02!C178</f>
        <v>143.72096823607004</v>
      </c>
      <c r="F179" s="248">
        <f>Dat_02!D178</f>
        <v>124.46511188199077</v>
      </c>
      <c r="G179" s="248">
        <f>Dat_02!E178</f>
        <v>124.46511188199077</v>
      </c>
      <c r="I179" s="249">
        <f>Dat_02!G178</f>
        <v>0</v>
      </c>
      <c r="J179" s="259" t="str">
        <f>IF(Dat_02!H178=0,"",Dat_02!H178)</f>
        <v/>
      </c>
    </row>
    <row r="180" spans="2:10">
      <c r="B180" s="245"/>
      <c r="C180" s="246">
        <f>Dat_02!B179</f>
        <v>44220</v>
      </c>
      <c r="D180" s="245"/>
      <c r="E180" s="248">
        <f>Dat_02!C179</f>
        <v>146.16635474007003</v>
      </c>
      <c r="F180" s="248">
        <f>Dat_02!D179</f>
        <v>124.46511188199077</v>
      </c>
      <c r="G180" s="248">
        <f>Dat_02!E179</f>
        <v>124.46511188199077</v>
      </c>
      <c r="I180" s="249">
        <f>Dat_02!G179</f>
        <v>0</v>
      </c>
      <c r="J180" s="259" t="str">
        <f>IF(Dat_02!H179=0,"",Dat_02!H179)</f>
        <v/>
      </c>
    </row>
    <row r="181" spans="2:10">
      <c r="B181" s="245"/>
      <c r="C181" s="246">
        <f>Dat_02!B180</f>
        <v>44221</v>
      </c>
      <c r="D181" s="245"/>
      <c r="E181" s="248">
        <f>Dat_02!C180</f>
        <v>197.65533248207188</v>
      </c>
      <c r="F181" s="248">
        <f>Dat_02!D180</f>
        <v>124.46511188199077</v>
      </c>
      <c r="G181" s="248">
        <f>Dat_02!E180</f>
        <v>124.46511188199077</v>
      </c>
      <c r="I181" s="249">
        <f>Dat_02!G180</f>
        <v>0</v>
      </c>
      <c r="J181" s="259" t="str">
        <f>IF(Dat_02!H180=0,"",Dat_02!H180)</f>
        <v/>
      </c>
    </row>
    <row r="182" spans="2:10">
      <c r="B182" s="245"/>
      <c r="C182" s="246">
        <f>Dat_02!B181</f>
        <v>44222</v>
      </c>
      <c r="D182" s="245"/>
      <c r="E182" s="248">
        <f>Dat_02!C181</f>
        <v>215.52559173807003</v>
      </c>
      <c r="F182" s="248">
        <f>Dat_02!D181</f>
        <v>124.46511188199077</v>
      </c>
      <c r="G182" s="248">
        <f>Dat_02!E181</f>
        <v>124.46511188199077</v>
      </c>
      <c r="I182" s="249">
        <f>Dat_02!G181</f>
        <v>0</v>
      </c>
      <c r="J182" s="259" t="str">
        <f>IF(Dat_02!H181=0,"",Dat_02!H181)</f>
        <v/>
      </c>
    </row>
    <row r="183" spans="2:10">
      <c r="B183" s="245"/>
      <c r="C183" s="246">
        <f>Dat_02!B182</f>
        <v>44223</v>
      </c>
      <c r="D183" s="245"/>
      <c r="E183" s="248">
        <f>Dat_02!C182</f>
        <v>272.77278553889727</v>
      </c>
      <c r="F183" s="248">
        <f>Dat_02!D182</f>
        <v>124.46511188199077</v>
      </c>
      <c r="G183" s="248">
        <f>Dat_02!E182</f>
        <v>124.46511188199077</v>
      </c>
      <c r="I183" s="249">
        <f>Dat_02!G182</f>
        <v>0</v>
      </c>
      <c r="J183" s="259" t="str">
        <f>IF(Dat_02!H182=0,"",Dat_02!H182)</f>
        <v/>
      </c>
    </row>
    <row r="184" spans="2:10">
      <c r="B184" s="245"/>
      <c r="C184" s="246">
        <f>Dat_02!B183</f>
        <v>44224</v>
      </c>
      <c r="D184" s="245"/>
      <c r="E184" s="248">
        <f>Dat_02!C183</f>
        <v>274.90935913289542</v>
      </c>
      <c r="F184" s="248">
        <f>Dat_02!D183</f>
        <v>124.46511188199077</v>
      </c>
      <c r="G184" s="248">
        <f>Dat_02!E183</f>
        <v>124.46511188199077</v>
      </c>
      <c r="I184" s="249">
        <f>Dat_02!G183</f>
        <v>0</v>
      </c>
      <c r="J184" s="259" t="str">
        <f>IF(Dat_02!H183=0,"",Dat_02!H183)</f>
        <v/>
      </c>
    </row>
    <row r="185" spans="2:10">
      <c r="B185" s="245"/>
      <c r="C185" s="246">
        <f>Dat_02!B184</f>
        <v>44225</v>
      </c>
      <c r="D185" s="245"/>
      <c r="E185" s="248">
        <f>Dat_02!C184</f>
        <v>270.00909163489729</v>
      </c>
      <c r="F185" s="248">
        <f>Dat_02!D184</f>
        <v>124.46511188199077</v>
      </c>
      <c r="G185" s="248">
        <f>Dat_02!E184</f>
        <v>124.46511188199077</v>
      </c>
      <c r="I185" s="249">
        <f>Dat_02!G184</f>
        <v>0</v>
      </c>
      <c r="J185" s="259" t="str">
        <f>IF(Dat_02!H184=0,"",Dat_02!H184)</f>
        <v/>
      </c>
    </row>
    <row r="186" spans="2:10">
      <c r="B186" s="247"/>
      <c r="C186" s="246">
        <f>Dat_02!B185</f>
        <v>44226</v>
      </c>
      <c r="D186" s="245"/>
      <c r="E186" s="248">
        <f>Dat_02!C185</f>
        <v>254.71119680889728</v>
      </c>
      <c r="F186" s="248">
        <f>Dat_02!D185</f>
        <v>124.46511188199077</v>
      </c>
      <c r="G186" s="248">
        <f>Dat_02!E185</f>
        <v>124.46511188199077</v>
      </c>
      <c r="I186" s="249">
        <f>Dat_02!G185</f>
        <v>0</v>
      </c>
      <c r="J186" s="259" t="str">
        <f>IF(Dat_02!H185=0,"",Dat_02!H185)</f>
        <v/>
      </c>
    </row>
    <row r="187" spans="2:10">
      <c r="B187" s="247"/>
      <c r="C187" s="246">
        <f>Dat_02!B186</f>
        <v>44227</v>
      </c>
      <c r="D187" s="247"/>
      <c r="E187" s="248">
        <f>Dat_02!C186</f>
        <v>254.40040566889539</v>
      </c>
      <c r="F187" s="248">
        <f>Dat_02!D186</f>
        <v>124.46511188199077</v>
      </c>
      <c r="G187" s="248">
        <f>Dat_02!E186</f>
        <v>124.46511188199077</v>
      </c>
      <c r="I187" s="249">
        <f>Dat_02!G186</f>
        <v>0</v>
      </c>
      <c r="J187" s="259" t="str">
        <f>IF(Dat_02!H186=0,"",Dat_02!H186)</f>
        <v/>
      </c>
    </row>
    <row r="188" spans="2:10">
      <c r="B188" s="247" t="s">
        <v>216</v>
      </c>
      <c r="C188" s="246">
        <f>Dat_02!B187</f>
        <v>44228</v>
      </c>
      <c r="D188" s="247"/>
      <c r="E188" s="248">
        <f>Dat_02!C187</f>
        <v>264.16481982089732</v>
      </c>
      <c r="F188" s="248">
        <f>Dat_02!D187</f>
        <v>125.57183874706618</v>
      </c>
      <c r="G188" s="248">
        <f>Dat_02!E187</f>
        <v>125.57183874706618</v>
      </c>
      <c r="I188" s="249">
        <f>Dat_02!G187</f>
        <v>0</v>
      </c>
      <c r="J188" s="259" t="str">
        <f>IF(Dat_02!H187=0,"",Dat_02!H187)</f>
        <v/>
      </c>
    </row>
    <row r="189" spans="2:10">
      <c r="B189" s="247"/>
      <c r="C189" s="246">
        <f>Dat_02!B188</f>
        <v>44229</v>
      </c>
      <c r="D189" s="247"/>
      <c r="E189" s="248">
        <f>Dat_02!C188</f>
        <v>271.8285615768973</v>
      </c>
      <c r="F189" s="248">
        <f>Dat_02!D188</f>
        <v>125.57183874706618</v>
      </c>
      <c r="G189" s="248">
        <f>Dat_02!E188</f>
        <v>125.57183874706618</v>
      </c>
      <c r="I189" s="249">
        <f>Dat_02!G188</f>
        <v>0</v>
      </c>
      <c r="J189" s="259" t="str">
        <f>IF(Dat_02!H188=0,"",Dat_02!H188)</f>
        <v/>
      </c>
    </row>
    <row r="190" spans="2:10">
      <c r="B190" s="245"/>
      <c r="C190" s="246">
        <f>Dat_02!B189</f>
        <v>44230</v>
      </c>
      <c r="D190" s="245"/>
      <c r="E190" s="248">
        <f>Dat_02!C189</f>
        <v>264.69836088939917</v>
      </c>
      <c r="F190" s="248">
        <f>Dat_02!D189</f>
        <v>125.57183874706618</v>
      </c>
      <c r="G190" s="248">
        <f>Dat_02!E189</f>
        <v>125.57183874706618</v>
      </c>
      <c r="I190" s="249">
        <f>Dat_02!G189</f>
        <v>0</v>
      </c>
      <c r="J190" s="259" t="str">
        <f>IF(Dat_02!H189=0,"",Dat_02!H189)</f>
        <v/>
      </c>
    </row>
    <row r="191" spans="2:10">
      <c r="B191" s="245"/>
      <c r="C191" s="246">
        <f>Dat_02!B190</f>
        <v>44231</v>
      </c>
      <c r="D191" s="245"/>
      <c r="E191" s="248">
        <f>Dat_02!C190</f>
        <v>286.1664210074029</v>
      </c>
      <c r="F191" s="248">
        <f>Dat_02!D190</f>
        <v>125.57183874706618</v>
      </c>
      <c r="G191" s="248">
        <f>Dat_02!E190</f>
        <v>125.57183874706618</v>
      </c>
      <c r="I191" s="249">
        <f>Dat_02!G190</f>
        <v>0</v>
      </c>
      <c r="J191" s="259" t="str">
        <f>IF(Dat_02!H190=0,"",Dat_02!H190)</f>
        <v/>
      </c>
    </row>
    <row r="192" spans="2:10">
      <c r="B192" s="245"/>
      <c r="C192" s="246">
        <f>Dat_02!B191</f>
        <v>44232</v>
      </c>
      <c r="D192" s="245"/>
      <c r="E192" s="248">
        <f>Dat_02!C191</f>
        <v>289.61831058139728</v>
      </c>
      <c r="F192" s="248">
        <f>Dat_02!D191</f>
        <v>125.57183874706618</v>
      </c>
      <c r="G192" s="248">
        <f>Dat_02!E191</f>
        <v>125.57183874706618</v>
      </c>
      <c r="I192" s="249">
        <f>Dat_02!G191</f>
        <v>0</v>
      </c>
      <c r="J192" s="259" t="str">
        <f>IF(Dat_02!H191=0,"",Dat_02!H191)</f>
        <v/>
      </c>
    </row>
    <row r="193" spans="2:10">
      <c r="B193" s="245"/>
      <c r="C193" s="246">
        <f>Dat_02!B192</f>
        <v>44233</v>
      </c>
      <c r="D193" s="245"/>
      <c r="E193" s="248">
        <f>Dat_02!C192</f>
        <v>278.79881750739912</v>
      </c>
      <c r="F193" s="248">
        <f>Dat_02!D192</f>
        <v>125.57183874706618</v>
      </c>
      <c r="G193" s="248">
        <f>Dat_02!E192</f>
        <v>125.57183874706618</v>
      </c>
      <c r="I193" s="249">
        <f>Dat_02!G192</f>
        <v>0</v>
      </c>
      <c r="J193" s="259" t="str">
        <f>IF(Dat_02!H192=0,"",Dat_02!H192)</f>
        <v/>
      </c>
    </row>
    <row r="194" spans="2:10">
      <c r="B194" s="245"/>
      <c r="C194" s="246">
        <f>Dat_02!B193</f>
        <v>44234</v>
      </c>
      <c r="D194" s="245"/>
      <c r="E194" s="248">
        <f>Dat_02!C193</f>
        <v>257.81074344740102</v>
      </c>
      <c r="F194" s="248">
        <f>Dat_02!D193</f>
        <v>125.57183874706618</v>
      </c>
      <c r="G194" s="248">
        <f>Dat_02!E193</f>
        <v>125.57183874706618</v>
      </c>
      <c r="I194" s="249">
        <f>Dat_02!G193</f>
        <v>0</v>
      </c>
      <c r="J194" s="259" t="str">
        <f>IF(Dat_02!H193=0,"",Dat_02!H193)</f>
        <v/>
      </c>
    </row>
    <row r="195" spans="2:10">
      <c r="B195" s="245"/>
      <c r="C195" s="246">
        <f>Dat_02!B194</f>
        <v>44235</v>
      </c>
      <c r="D195" s="245"/>
      <c r="E195" s="248">
        <f>Dat_02!C194</f>
        <v>267.98498618739916</v>
      </c>
      <c r="F195" s="248">
        <f>Dat_02!D194</f>
        <v>125.57183874706618</v>
      </c>
      <c r="G195" s="248">
        <f>Dat_02!E194</f>
        <v>125.57183874706618</v>
      </c>
      <c r="I195" s="249">
        <f>Dat_02!G194</f>
        <v>0</v>
      </c>
      <c r="J195" s="259" t="str">
        <f>IF(Dat_02!H194=0,"",Dat_02!H194)</f>
        <v/>
      </c>
    </row>
    <row r="196" spans="2:10">
      <c r="B196" s="245"/>
      <c r="C196" s="246">
        <f>Dat_02!B195</f>
        <v>44236</v>
      </c>
      <c r="D196" s="245"/>
      <c r="E196" s="248">
        <f>Dat_02!C195</f>
        <v>273.0837129413992</v>
      </c>
      <c r="F196" s="248">
        <f>Dat_02!D195</f>
        <v>125.57183874706618</v>
      </c>
      <c r="G196" s="248">
        <f>Dat_02!E195</f>
        <v>125.57183874706618</v>
      </c>
      <c r="I196" s="249">
        <f>Dat_02!G195</f>
        <v>0</v>
      </c>
      <c r="J196" s="259" t="str">
        <f>IF(Dat_02!H195=0,"",Dat_02!H195)</f>
        <v/>
      </c>
    </row>
    <row r="197" spans="2:10">
      <c r="B197" s="245"/>
      <c r="C197" s="246">
        <f>Dat_02!B196</f>
        <v>44237</v>
      </c>
      <c r="D197" s="245"/>
      <c r="E197" s="248">
        <f>Dat_02!C196</f>
        <v>328.34874569002187</v>
      </c>
      <c r="F197" s="248">
        <f>Dat_02!D196</f>
        <v>125.57183874706618</v>
      </c>
      <c r="G197" s="248">
        <f>Dat_02!E196</f>
        <v>125.57183874706618</v>
      </c>
      <c r="I197" s="249">
        <f>Dat_02!G196</f>
        <v>0</v>
      </c>
      <c r="J197" s="259" t="str">
        <f>IF(Dat_02!H196=0,"",Dat_02!H196)</f>
        <v/>
      </c>
    </row>
    <row r="198" spans="2:10">
      <c r="B198" s="245"/>
      <c r="C198" s="246">
        <f>Dat_02!B197</f>
        <v>44238</v>
      </c>
      <c r="D198" s="245"/>
      <c r="E198" s="248">
        <f>Dat_02!C197</f>
        <v>338.46501590801824</v>
      </c>
      <c r="F198" s="248">
        <f>Dat_02!D197</f>
        <v>125.57183874706618</v>
      </c>
      <c r="G198" s="248">
        <f>Dat_02!E197</f>
        <v>125.57183874706618</v>
      </c>
      <c r="I198" s="249">
        <f>Dat_02!G197</f>
        <v>0</v>
      </c>
      <c r="J198" s="259" t="str">
        <f>IF(Dat_02!H197=0,"",Dat_02!H197)</f>
        <v/>
      </c>
    </row>
    <row r="199" spans="2:10">
      <c r="B199" s="245"/>
      <c r="C199" s="246">
        <f>Dat_02!B198</f>
        <v>44239</v>
      </c>
      <c r="D199" s="245"/>
      <c r="E199" s="248">
        <f>Dat_02!C198</f>
        <v>330.21476903802005</v>
      </c>
      <c r="F199" s="248">
        <f>Dat_02!D198</f>
        <v>125.57183874706618</v>
      </c>
      <c r="G199" s="248">
        <f>Dat_02!E198</f>
        <v>125.57183874706618</v>
      </c>
      <c r="I199" s="249">
        <f>Dat_02!G198</f>
        <v>0</v>
      </c>
      <c r="J199" s="259" t="str">
        <f>IF(Dat_02!H198=0,"",Dat_02!H198)</f>
        <v/>
      </c>
    </row>
    <row r="200" spans="2:10">
      <c r="B200" s="245"/>
      <c r="C200" s="246">
        <f>Dat_02!B199</f>
        <v>44240</v>
      </c>
      <c r="D200" s="245"/>
      <c r="E200" s="248">
        <f>Dat_02!C199</f>
        <v>329.21339539802193</v>
      </c>
      <c r="F200" s="248">
        <f>Dat_02!D199</f>
        <v>125.57183874706618</v>
      </c>
      <c r="G200" s="248">
        <f>Dat_02!E199</f>
        <v>125.57183874706618</v>
      </c>
      <c r="I200" s="249" t="str">
        <f>Dat_02!G199</f>
        <v/>
      </c>
      <c r="J200" s="259" t="str">
        <f>IF(Dat_02!H199=0,"",Dat_02!H199)</f>
        <v/>
      </c>
    </row>
    <row r="201" spans="2:10">
      <c r="B201" s="245"/>
      <c r="C201" s="246">
        <f>Dat_02!B200</f>
        <v>44241</v>
      </c>
      <c r="D201" s="245"/>
      <c r="E201" s="248">
        <f>Dat_02!C200</f>
        <v>318.23482610201825</v>
      </c>
      <c r="F201" s="248">
        <f>Dat_02!D200</f>
        <v>125.57183874706618</v>
      </c>
      <c r="G201" s="248">
        <f>Dat_02!E200</f>
        <v>125.57183874706618</v>
      </c>
      <c r="I201" s="309" t="str">
        <f>Dat_02!G200</f>
        <v/>
      </c>
      <c r="J201" s="259" t="str">
        <f>IF(Dat_02!H200=0,"",Dat_02!H200)</f>
        <v/>
      </c>
    </row>
    <row r="202" spans="2:10">
      <c r="B202" s="245"/>
      <c r="C202" s="246">
        <f>Dat_02!B201</f>
        <v>44242</v>
      </c>
      <c r="D202" s="245"/>
      <c r="E202" s="248">
        <f>Dat_02!C201</f>
        <v>312.73986280202377</v>
      </c>
      <c r="F202" s="248">
        <f>Dat_02!D201</f>
        <v>125.57183874706618</v>
      </c>
      <c r="G202" s="248">
        <f>Dat_02!E201</f>
        <v>125.57183874706618</v>
      </c>
      <c r="I202" s="249">
        <f>Dat_02!G201</f>
        <v>125.57183874706618</v>
      </c>
      <c r="J202" s="259" t="str">
        <f>IF(Dat_02!H201=0,"",Dat_02!H201)</f>
        <v/>
      </c>
    </row>
    <row r="203" spans="2:10">
      <c r="B203" s="245"/>
      <c r="C203" s="246">
        <f>Dat_02!B202</f>
        <v>44243</v>
      </c>
      <c r="D203" s="245"/>
      <c r="E203" s="248">
        <f>Dat_02!C202</f>
        <v>324.37056173601815</v>
      </c>
      <c r="F203" s="248">
        <f>Dat_02!D202</f>
        <v>125.57183874706618</v>
      </c>
      <c r="G203" s="248">
        <f>Dat_02!E202</f>
        <v>125.57183874706618</v>
      </c>
      <c r="I203" s="249">
        <f>Dat_02!G202</f>
        <v>0</v>
      </c>
      <c r="J203" s="259" t="str">
        <f>IF(Dat_02!H202=0,"",Dat_02!H202)</f>
        <v/>
      </c>
    </row>
    <row r="204" spans="2:10">
      <c r="B204" s="245"/>
      <c r="C204" s="246">
        <f>Dat_02!B203</f>
        <v>44244</v>
      </c>
      <c r="D204" s="245"/>
      <c r="E204" s="248">
        <f>Dat_02!C203</f>
        <v>252.24015034147993</v>
      </c>
      <c r="F204" s="248">
        <f>Dat_02!D203</f>
        <v>125.57183874706618</v>
      </c>
      <c r="G204" s="248">
        <f>Dat_02!E203</f>
        <v>125.57183874706618</v>
      </c>
      <c r="I204" s="249">
        <f>Dat_02!G203</f>
        <v>0</v>
      </c>
      <c r="J204" s="259" t="str">
        <f>IF(Dat_02!H203=0,"",Dat_02!H203)</f>
        <v/>
      </c>
    </row>
    <row r="205" spans="2:10">
      <c r="B205" s="245"/>
      <c r="C205" s="246">
        <f>Dat_02!B204</f>
        <v>44245</v>
      </c>
      <c r="D205" s="245"/>
      <c r="E205" s="248">
        <f>Dat_02!C204</f>
        <v>250.5966354654818</v>
      </c>
      <c r="F205" s="248">
        <f>Dat_02!D204</f>
        <v>125.57183874706618</v>
      </c>
      <c r="G205" s="248">
        <f>Dat_02!E204</f>
        <v>125.57183874706618</v>
      </c>
      <c r="I205" s="249">
        <f>Dat_02!G204</f>
        <v>0</v>
      </c>
      <c r="J205" s="259" t="str">
        <f>IF(Dat_02!H204=0,"",Dat_02!H204)</f>
        <v/>
      </c>
    </row>
    <row r="206" spans="2:10">
      <c r="B206" s="245"/>
      <c r="C206" s="246">
        <f>Dat_02!B205</f>
        <v>44246</v>
      </c>
      <c r="D206" s="245"/>
      <c r="E206" s="248">
        <f>Dat_02!C205</f>
        <v>245.0859520234799</v>
      </c>
      <c r="F206" s="248">
        <f>Dat_02!D205</f>
        <v>125.57183874706618</v>
      </c>
      <c r="G206" s="248">
        <f>Dat_02!E205</f>
        <v>125.57183874706618</v>
      </c>
      <c r="I206" s="249">
        <f>Dat_02!G205</f>
        <v>0</v>
      </c>
      <c r="J206" s="259" t="str">
        <f>IF(Dat_02!H205=0,"",Dat_02!H205)</f>
        <v/>
      </c>
    </row>
    <row r="207" spans="2:10">
      <c r="B207" s="245"/>
      <c r="C207" s="246">
        <f>Dat_02!B206</f>
        <v>44247</v>
      </c>
      <c r="D207" s="245"/>
      <c r="E207" s="248">
        <f>Dat_02!C206</f>
        <v>229.47356413947804</v>
      </c>
      <c r="F207" s="248">
        <f>Dat_02!D206</f>
        <v>125.57183874706618</v>
      </c>
      <c r="G207" s="248">
        <f>Dat_02!E206</f>
        <v>125.57183874706618</v>
      </c>
      <c r="I207" s="249">
        <f>Dat_02!G206</f>
        <v>0</v>
      </c>
      <c r="J207" s="259" t="str">
        <f>IF(Dat_02!H206=0,"",Dat_02!H206)</f>
        <v/>
      </c>
    </row>
    <row r="208" spans="2:10">
      <c r="B208" s="245"/>
      <c r="C208" s="246">
        <f>Dat_02!B207</f>
        <v>44248</v>
      </c>
      <c r="D208" s="245"/>
      <c r="E208" s="248">
        <f>Dat_02!C207</f>
        <v>231.6456424094799</v>
      </c>
      <c r="F208" s="248">
        <f>Dat_02!D207</f>
        <v>125.57183874706618</v>
      </c>
      <c r="G208" s="248">
        <f>Dat_02!E207</f>
        <v>125.57183874706618</v>
      </c>
      <c r="I208" s="249">
        <f>Dat_02!G207</f>
        <v>0</v>
      </c>
      <c r="J208" s="259" t="str">
        <f>IF(Dat_02!H207=0,"",Dat_02!H207)</f>
        <v/>
      </c>
    </row>
    <row r="209" spans="2:10">
      <c r="B209" s="245"/>
      <c r="C209" s="246">
        <f>Dat_02!B208</f>
        <v>44249</v>
      </c>
      <c r="D209" s="245"/>
      <c r="E209" s="248">
        <f>Dat_02!C208</f>
        <v>255.84068907347992</v>
      </c>
      <c r="F209" s="248">
        <f>Dat_02!D208</f>
        <v>125.57183874706618</v>
      </c>
      <c r="G209" s="248">
        <f>Dat_02!E208</f>
        <v>125.57183874706618</v>
      </c>
      <c r="I209" s="249">
        <f>Dat_02!G208</f>
        <v>0</v>
      </c>
      <c r="J209" s="259" t="str">
        <f>IF(Dat_02!H208=0,"",Dat_02!H208)</f>
        <v/>
      </c>
    </row>
    <row r="210" spans="2:10">
      <c r="B210" s="245"/>
      <c r="C210" s="246">
        <f>Dat_02!B209</f>
        <v>44250</v>
      </c>
      <c r="D210" s="245"/>
      <c r="E210" s="248">
        <f>Dat_02!C209</f>
        <v>251.36531480148363</v>
      </c>
      <c r="F210" s="248">
        <f>Dat_02!D209</f>
        <v>125.57183874706618</v>
      </c>
      <c r="G210" s="248">
        <f>Dat_02!E209</f>
        <v>125.57183874706618</v>
      </c>
      <c r="I210" s="249">
        <f>Dat_02!G209</f>
        <v>0</v>
      </c>
      <c r="J210" s="259" t="str">
        <f>IF(Dat_02!H209=0,"",Dat_02!H209)</f>
        <v/>
      </c>
    </row>
    <row r="211" spans="2:10">
      <c r="B211" s="245"/>
      <c r="C211" s="246">
        <f>Dat_02!B210</f>
        <v>44251</v>
      </c>
      <c r="D211" s="245"/>
      <c r="E211" s="248">
        <f>Dat_02!C210</f>
        <v>198.79276894217784</v>
      </c>
      <c r="F211" s="248">
        <f>Dat_02!D210</f>
        <v>125.57183874706618</v>
      </c>
      <c r="G211" s="248">
        <f>Dat_02!E210</f>
        <v>125.57183874706618</v>
      </c>
      <c r="I211" s="249">
        <f>Dat_02!G210</f>
        <v>0</v>
      </c>
      <c r="J211" s="259" t="str">
        <f>IF(Dat_02!H210=0,"",Dat_02!H210)</f>
        <v/>
      </c>
    </row>
    <row r="212" spans="2:10">
      <c r="B212" s="245"/>
      <c r="C212" s="246">
        <f>Dat_02!B211</f>
        <v>44252</v>
      </c>
      <c r="D212" s="245"/>
      <c r="E212" s="248">
        <f>Dat_02!C211</f>
        <v>215.04038210418344</v>
      </c>
      <c r="F212" s="248">
        <f>Dat_02!D211</f>
        <v>125.57183874706618</v>
      </c>
      <c r="G212" s="248">
        <f>Dat_02!E211</f>
        <v>125.57183874706618</v>
      </c>
      <c r="I212" s="249">
        <f>Dat_02!G211</f>
        <v>0</v>
      </c>
      <c r="J212" s="259" t="str">
        <f>IF(Dat_02!H211=0,"",Dat_02!H211)</f>
        <v/>
      </c>
    </row>
    <row r="213" spans="2:10">
      <c r="B213" s="245"/>
      <c r="C213" s="246">
        <f>Dat_02!B212</f>
        <v>44253</v>
      </c>
      <c r="D213" s="245"/>
      <c r="E213" s="248">
        <f>Dat_02!C212</f>
        <v>213.22118856817971</v>
      </c>
      <c r="F213" s="248">
        <f>Dat_02!D212</f>
        <v>125.57183874706618</v>
      </c>
      <c r="G213" s="248">
        <f>Dat_02!E212</f>
        <v>125.57183874706618</v>
      </c>
      <c r="I213" s="249">
        <f>Dat_02!G212</f>
        <v>0</v>
      </c>
      <c r="J213" s="259" t="str">
        <f>IF(Dat_02!H212=0,"",Dat_02!H212)</f>
        <v/>
      </c>
    </row>
    <row r="214" spans="2:10">
      <c r="B214" s="245"/>
      <c r="C214" s="246">
        <f>Dat_02!B213</f>
        <v>44254</v>
      </c>
      <c r="D214" s="245"/>
      <c r="E214" s="248">
        <f>Dat_02!C213</f>
        <v>180.77740014617967</v>
      </c>
      <c r="F214" s="248">
        <f>Dat_02!D213</f>
        <v>125.57183874706618</v>
      </c>
      <c r="G214" s="248">
        <f>Dat_02!E213</f>
        <v>125.57183874706618</v>
      </c>
      <c r="I214" s="249">
        <f>Dat_02!G213</f>
        <v>0</v>
      </c>
      <c r="J214" s="259" t="str">
        <f>IF(Dat_02!H213=0,"",Dat_02!H213)</f>
        <v/>
      </c>
    </row>
    <row r="215" spans="2:10">
      <c r="B215" s="245"/>
      <c r="C215" s="246">
        <f>Dat_02!B214</f>
        <v>44255</v>
      </c>
      <c r="D215" s="245"/>
      <c r="E215" s="248">
        <f>Dat_02!C214</f>
        <v>158.85748814818342</v>
      </c>
      <c r="F215" s="248">
        <f>Dat_02!D214</f>
        <v>125.57183874706618</v>
      </c>
      <c r="G215" s="248">
        <f>Dat_02!E214</f>
        <v>125.57183874706618</v>
      </c>
      <c r="I215" s="249">
        <f>Dat_02!G214</f>
        <v>0</v>
      </c>
      <c r="J215" s="259" t="str">
        <f>IF(Dat_02!H214=0,"",Dat_02!H214)</f>
        <v/>
      </c>
    </row>
    <row r="216" spans="2:10">
      <c r="B216" s="245"/>
      <c r="C216" s="246">
        <f>Dat_02!B215</f>
        <v>44256</v>
      </c>
      <c r="D216" s="245"/>
      <c r="E216" s="248">
        <f>Dat_02!C215</f>
        <v>180.43640221617972</v>
      </c>
      <c r="F216" s="248">
        <f>Dat_02!D215</f>
        <v>136.7399554485423</v>
      </c>
      <c r="G216" s="248">
        <f>Dat_02!E215</f>
        <v>136.7399554485423</v>
      </c>
      <c r="I216" s="249">
        <f>Dat_02!G215</f>
        <v>0</v>
      </c>
      <c r="J216" s="259" t="str">
        <f>IF(Dat_02!H215=0,"",Dat_02!H215)</f>
        <v/>
      </c>
    </row>
    <row r="217" spans="2:10">
      <c r="B217" s="247"/>
      <c r="C217" s="246">
        <f>Dat_02!B216</f>
        <v>44257</v>
      </c>
      <c r="D217" s="247"/>
      <c r="E217" s="248">
        <f>Dat_02!C216</f>
        <v>201.88414813417785</v>
      </c>
      <c r="F217" s="248">
        <f>Dat_02!D216</f>
        <v>136.7399554485423</v>
      </c>
      <c r="G217" s="248">
        <f>Dat_02!E216</f>
        <v>136.7399554485423</v>
      </c>
      <c r="I217" s="249">
        <f>Dat_02!G216</f>
        <v>0</v>
      </c>
      <c r="J217" s="259" t="str">
        <f>IF(Dat_02!H216=0,"",Dat_02!H216)</f>
        <v/>
      </c>
    </row>
    <row r="218" spans="2:10">
      <c r="B218" s="247" t="s">
        <v>217</v>
      </c>
      <c r="C218" s="246">
        <f>Dat_02!B217</f>
        <v>44258</v>
      </c>
      <c r="D218" s="247"/>
      <c r="E218" s="248">
        <f>Dat_02!C217</f>
        <v>170.96153258492194</v>
      </c>
      <c r="F218" s="248">
        <f>Dat_02!D217</f>
        <v>136.7399554485423</v>
      </c>
      <c r="G218" s="248">
        <f>Dat_02!E217</f>
        <v>136.7399554485423</v>
      </c>
      <c r="I218" s="249">
        <f>Dat_02!G217</f>
        <v>0</v>
      </c>
      <c r="J218" s="259" t="str">
        <f>IF(Dat_02!H217=0,"",Dat_02!H217)</f>
        <v/>
      </c>
    </row>
    <row r="219" spans="2:10">
      <c r="B219" s="247"/>
      <c r="C219" s="246">
        <f>Dat_02!B218</f>
        <v>44259</v>
      </c>
      <c r="D219" s="247"/>
      <c r="E219" s="248">
        <f>Dat_02!C218</f>
        <v>157.94996440092009</v>
      </c>
      <c r="F219" s="248">
        <f>Dat_02!D218</f>
        <v>136.7399554485423</v>
      </c>
      <c r="G219" s="248">
        <f>Dat_02!E218</f>
        <v>136.7399554485423</v>
      </c>
      <c r="I219" s="249">
        <f>Dat_02!G218</f>
        <v>0</v>
      </c>
      <c r="J219" s="259" t="str">
        <f>IF(Dat_02!H218=0,"",Dat_02!H218)</f>
        <v/>
      </c>
    </row>
    <row r="220" spans="2:10">
      <c r="B220" s="247"/>
      <c r="C220" s="246">
        <f>Dat_02!B219</f>
        <v>44260</v>
      </c>
      <c r="D220" s="247"/>
      <c r="E220" s="248">
        <f>Dat_02!C219</f>
        <v>146.89804492091821</v>
      </c>
      <c r="F220" s="248">
        <f>Dat_02!D219</f>
        <v>136.7399554485423</v>
      </c>
      <c r="G220" s="248">
        <f>Dat_02!E219</f>
        <v>136.7399554485423</v>
      </c>
      <c r="I220" s="249">
        <f>Dat_02!G219</f>
        <v>0</v>
      </c>
      <c r="J220" s="259" t="str">
        <f>IF(Dat_02!H219=0,"",Dat_02!H219)</f>
        <v/>
      </c>
    </row>
    <row r="221" spans="2:10">
      <c r="B221" s="245"/>
      <c r="C221" s="246">
        <f>Dat_02!B220</f>
        <v>44261</v>
      </c>
      <c r="D221" s="245"/>
      <c r="E221" s="248">
        <f>Dat_02!C220</f>
        <v>129.02562271292007</v>
      </c>
      <c r="F221" s="248">
        <f>Dat_02!D220</f>
        <v>136.7399554485423</v>
      </c>
      <c r="G221" s="248">
        <f>Dat_02!E220</f>
        <v>129.02562271292007</v>
      </c>
      <c r="I221" s="249">
        <f>Dat_02!G220</f>
        <v>0</v>
      </c>
      <c r="J221" s="259" t="str">
        <f>IF(Dat_02!H220=0,"",Dat_02!H220)</f>
        <v/>
      </c>
    </row>
    <row r="222" spans="2:10">
      <c r="B222" s="245"/>
      <c r="C222" s="246">
        <f>Dat_02!B221</f>
        <v>44262</v>
      </c>
      <c r="D222" s="245"/>
      <c r="E222" s="248">
        <f>Dat_02!C221</f>
        <v>122.20455098892009</v>
      </c>
      <c r="F222" s="248">
        <f>Dat_02!D221</f>
        <v>136.7399554485423</v>
      </c>
      <c r="G222" s="248">
        <f>Dat_02!E221</f>
        <v>122.20455098892009</v>
      </c>
      <c r="I222" s="249">
        <f>Dat_02!G221</f>
        <v>0</v>
      </c>
      <c r="J222" s="259" t="str">
        <f>IF(Dat_02!H221=0,"",Dat_02!H221)</f>
        <v/>
      </c>
    </row>
    <row r="223" spans="2:10">
      <c r="B223" s="245"/>
      <c r="C223" s="246">
        <f>Dat_02!B222</f>
        <v>44263</v>
      </c>
      <c r="D223" s="245"/>
      <c r="E223" s="248">
        <f>Dat_02!C222</f>
        <v>153.32439297692008</v>
      </c>
      <c r="F223" s="248">
        <f>Dat_02!D222</f>
        <v>136.7399554485423</v>
      </c>
      <c r="G223" s="248">
        <f>Dat_02!E222</f>
        <v>136.7399554485423</v>
      </c>
      <c r="I223" s="249">
        <f>Dat_02!G222</f>
        <v>0</v>
      </c>
      <c r="J223" s="259" t="str">
        <f>IF(Dat_02!H222=0,"",Dat_02!H222)</f>
        <v/>
      </c>
    </row>
    <row r="224" spans="2:10">
      <c r="B224" s="245"/>
      <c r="C224" s="246">
        <f>Dat_02!B223</f>
        <v>44264</v>
      </c>
      <c r="D224" s="245"/>
      <c r="E224" s="248">
        <f>Dat_02!C223</f>
        <v>149.22961850492007</v>
      </c>
      <c r="F224" s="248">
        <f>Dat_02!D223</f>
        <v>136.7399554485423</v>
      </c>
      <c r="G224" s="248">
        <f>Dat_02!E223</f>
        <v>136.7399554485423</v>
      </c>
      <c r="I224" s="249">
        <f>Dat_02!G223</f>
        <v>0</v>
      </c>
      <c r="J224" s="259" t="str">
        <f>IF(Dat_02!H223=0,"",Dat_02!H223)</f>
        <v/>
      </c>
    </row>
    <row r="225" spans="2:10">
      <c r="B225" s="245"/>
      <c r="C225" s="246">
        <f>Dat_02!B224</f>
        <v>44265</v>
      </c>
      <c r="D225" s="245"/>
      <c r="E225" s="248">
        <f>Dat_02!C224</f>
        <v>129.11398864011255</v>
      </c>
      <c r="F225" s="248">
        <f>Dat_02!D224</f>
        <v>136.7399554485423</v>
      </c>
      <c r="G225" s="248">
        <f>Dat_02!E224</f>
        <v>129.11398864011255</v>
      </c>
      <c r="I225" s="249">
        <f>Dat_02!G224</f>
        <v>0</v>
      </c>
      <c r="J225" s="259" t="str">
        <f>IF(Dat_02!H224=0,"",Dat_02!H224)</f>
        <v/>
      </c>
    </row>
    <row r="226" spans="2:10">
      <c r="B226" s="245"/>
      <c r="C226" s="246">
        <f>Dat_02!B225</f>
        <v>44266</v>
      </c>
      <c r="D226" s="245"/>
      <c r="E226" s="248">
        <f>Dat_02!C225</f>
        <v>101.23949998610881</v>
      </c>
      <c r="F226" s="248">
        <f>Dat_02!D225</f>
        <v>136.7399554485423</v>
      </c>
      <c r="G226" s="248">
        <f>Dat_02!E225</f>
        <v>101.23949998610881</v>
      </c>
      <c r="I226" s="249">
        <f>Dat_02!G225</f>
        <v>0</v>
      </c>
      <c r="J226" s="259" t="str">
        <f>IF(Dat_02!H225=0,"",Dat_02!H225)</f>
        <v/>
      </c>
    </row>
    <row r="227" spans="2:10">
      <c r="B227" s="245"/>
      <c r="C227" s="246">
        <f>Dat_02!B226</f>
        <v>44267</v>
      </c>
      <c r="D227" s="245"/>
      <c r="E227" s="248">
        <f>Dat_02!C226</f>
        <v>100.59290683211253</v>
      </c>
      <c r="F227" s="248">
        <f>Dat_02!D226</f>
        <v>136.7399554485423</v>
      </c>
      <c r="G227" s="248">
        <f>Dat_02!E226</f>
        <v>100.59290683211253</v>
      </c>
      <c r="I227" s="249">
        <f>Dat_02!G226</f>
        <v>0</v>
      </c>
      <c r="J227" s="259" t="str">
        <f>IF(Dat_02!H226=0,"",Dat_02!H226)</f>
        <v/>
      </c>
    </row>
    <row r="228" spans="2:10">
      <c r="B228" s="245"/>
      <c r="C228" s="246">
        <f>Dat_02!B227</f>
        <v>44268</v>
      </c>
      <c r="D228" s="245"/>
      <c r="E228" s="248">
        <f>Dat_02!C227</f>
        <v>72.324729336108817</v>
      </c>
      <c r="F228" s="248">
        <f>Dat_02!D227</f>
        <v>136.7399554485423</v>
      </c>
      <c r="G228" s="248">
        <f>Dat_02!E227</f>
        <v>72.324729336108817</v>
      </c>
      <c r="I228" s="249">
        <f>Dat_02!G227</f>
        <v>0</v>
      </c>
      <c r="J228" s="259" t="str">
        <f>IF(Dat_02!H227=0,"",Dat_02!H227)</f>
        <v/>
      </c>
    </row>
    <row r="229" spans="2:10">
      <c r="B229" s="245"/>
      <c r="C229" s="246">
        <f>Dat_02!B228</f>
        <v>44269</v>
      </c>
      <c r="D229" s="245"/>
      <c r="E229" s="248">
        <f>Dat_02!C228</f>
        <v>68.548257946110681</v>
      </c>
      <c r="F229" s="248">
        <f>Dat_02!D228</f>
        <v>136.7399554485423</v>
      </c>
      <c r="G229" s="248">
        <f>Dat_02!E228</f>
        <v>68.548257946110681</v>
      </c>
      <c r="I229" s="249">
        <f>Dat_02!G228</f>
        <v>0</v>
      </c>
      <c r="J229" s="259" t="str">
        <f>IF(Dat_02!H228=0,"",Dat_02!H228)</f>
        <v/>
      </c>
    </row>
    <row r="230" spans="2:10">
      <c r="B230" s="245"/>
      <c r="C230" s="246">
        <f>Dat_02!B229</f>
        <v>44270</v>
      </c>
      <c r="D230" s="245"/>
      <c r="E230" s="248">
        <f>Dat_02!C229</f>
        <v>105.35541978611255</v>
      </c>
      <c r="F230" s="248">
        <f>Dat_02!D229</f>
        <v>136.7399554485423</v>
      </c>
      <c r="G230" s="248">
        <f>Dat_02!E229</f>
        <v>105.35541978611255</v>
      </c>
      <c r="I230" s="249">
        <f>Dat_02!G229</f>
        <v>136.7399554485423</v>
      </c>
      <c r="J230" s="259" t="str">
        <f>IF(Dat_02!H229=0,"",Dat_02!H229)</f>
        <v/>
      </c>
    </row>
    <row r="231" spans="2:10">
      <c r="B231" s="245"/>
      <c r="C231" s="246">
        <f>Dat_02!B230</f>
        <v>44271</v>
      </c>
      <c r="D231" s="245"/>
      <c r="E231" s="248">
        <f>Dat_02!C230</f>
        <v>84.458917064108817</v>
      </c>
      <c r="F231" s="248">
        <f>Dat_02!D230</f>
        <v>136.7399554485423</v>
      </c>
      <c r="G231" s="248">
        <f>Dat_02!E230</f>
        <v>84.458917064108817</v>
      </c>
      <c r="I231" s="249" t="str">
        <f>Dat_02!G230</f>
        <v/>
      </c>
      <c r="J231" s="259" t="str">
        <f>IF(Dat_02!H230=0,"",Dat_02!H230)</f>
        <v/>
      </c>
    </row>
    <row r="232" spans="2:10">
      <c r="B232" s="245"/>
      <c r="C232" s="246">
        <f>Dat_02!B231</f>
        <v>44272</v>
      </c>
      <c r="D232" s="245"/>
      <c r="E232" s="248">
        <f>Dat_02!C231</f>
        <v>78.6456522491697</v>
      </c>
      <c r="F232" s="248">
        <f>Dat_02!D231</f>
        <v>136.7399554485423</v>
      </c>
      <c r="G232" s="248">
        <f>Dat_02!E231</f>
        <v>78.6456522491697</v>
      </c>
      <c r="I232" s="309" t="str">
        <f>Dat_02!G231</f>
        <v/>
      </c>
      <c r="J232" s="259" t="str">
        <f>IF(Dat_02!H231=0,"",Dat_02!H231)</f>
        <v/>
      </c>
    </row>
    <row r="233" spans="2:10">
      <c r="B233" s="245"/>
      <c r="C233" s="246">
        <f>Dat_02!B232</f>
        <v>44273</v>
      </c>
      <c r="D233" s="245"/>
      <c r="E233" s="248">
        <f>Dat_02!C232</f>
        <v>92.181539105165967</v>
      </c>
      <c r="F233" s="248">
        <f>Dat_02!D232</f>
        <v>136.7399554485423</v>
      </c>
      <c r="G233" s="248">
        <f>Dat_02!E232</f>
        <v>92.181539105165967</v>
      </c>
      <c r="I233" s="249" t="str">
        <f>Dat_02!G232</f>
        <v/>
      </c>
      <c r="J233" s="259" t="str">
        <f>IF(Dat_02!H232=0,"",Dat_02!H232)</f>
        <v/>
      </c>
    </row>
    <row r="234" spans="2:10">
      <c r="B234" s="245"/>
      <c r="C234" s="246">
        <f>Dat_02!B233</f>
        <v>44274</v>
      </c>
      <c r="D234" s="245"/>
      <c r="E234" s="248">
        <f>Dat_02!C233</f>
        <v>86.720284863165972</v>
      </c>
      <c r="F234" s="248">
        <f>Dat_02!D233</f>
        <v>136.7399554485423</v>
      </c>
      <c r="G234" s="248">
        <f>Dat_02!E233</f>
        <v>86.720284863165972</v>
      </c>
      <c r="I234" s="249">
        <f>Dat_02!G233</f>
        <v>0</v>
      </c>
      <c r="J234" s="259" t="str">
        <f>IF(Dat_02!H233=0,"",Dat_02!H233)</f>
        <v/>
      </c>
    </row>
    <row r="235" spans="2:10">
      <c r="B235" s="245"/>
      <c r="C235" s="246">
        <f>Dat_02!B234</f>
        <v>44275</v>
      </c>
      <c r="D235" s="245"/>
      <c r="E235" s="248">
        <f>Dat_02!C234</f>
        <v>43.176069023169696</v>
      </c>
      <c r="F235" s="248">
        <f>Dat_02!D234</f>
        <v>136.7399554485423</v>
      </c>
      <c r="G235" s="248">
        <f>Dat_02!E234</f>
        <v>43.176069023169696</v>
      </c>
      <c r="I235" s="249">
        <f>Dat_02!G234</f>
        <v>0</v>
      </c>
      <c r="J235" s="259" t="str">
        <f>IF(Dat_02!H234=0,"",Dat_02!H234)</f>
        <v/>
      </c>
    </row>
    <row r="236" spans="2:10">
      <c r="B236" s="245"/>
      <c r="C236" s="246">
        <f>Dat_02!B235</f>
        <v>44276</v>
      </c>
      <c r="D236" s="245"/>
      <c r="E236" s="248">
        <f>Dat_02!C235</f>
        <v>48.579112891164108</v>
      </c>
      <c r="F236" s="248">
        <f>Dat_02!D235</f>
        <v>136.7399554485423</v>
      </c>
      <c r="G236" s="248">
        <f>Dat_02!E235</f>
        <v>48.579112891164108</v>
      </c>
      <c r="I236" s="249">
        <f>Dat_02!G235</f>
        <v>0</v>
      </c>
      <c r="J236" s="259" t="str">
        <f>IF(Dat_02!H235=0,"",Dat_02!H235)</f>
        <v/>
      </c>
    </row>
    <row r="237" spans="2:10">
      <c r="B237" s="245"/>
      <c r="C237" s="246">
        <f>Dat_02!B236</f>
        <v>44277</v>
      </c>
      <c r="D237" s="245"/>
      <c r="E237" s="248">
        <f>Dat_02!C236</f>
        <v>100.11940646116783</v>
      </c>
      <c r="F237" s="248">
        <f>Dat_02!D236</f>
        <v>136.7399554485423</v>
      </c>
      <c r="G237" s="248">
        <f>Dat_02!E236</f>
        <v>100.11940646116783</v>
      </c>
      <c r="I237" s="249">
        <f>Dat_02!G236</f>
        <v>0</v>
      </c>
      <c r="J237" s="259" t="str">
        <f>IF(Dat_02!H236=0,"",Dat_02!H236)</f>
        <v/>
      </c>
    </row>
    <row r="238" spans="2:10">
      <c r="B238" s="245"/>
      <c r="C238" s="246">
        <f>Dat_02!B237</f>
        <v>44278</v>
      </c>
      <c r="D238" s="245"/>
      <c r="E238" s="248">
        <f>Dat_02!C237</f>
        <v>123.59558988916784</v>
      </c>
      <c r="F238" s="248">
        <f>Dat_02!D237</f>
        <v>136.7399554485423</v>
      </c>
      <c r="G238" s="248">
        <f>Dat_02!E237</f>
        <v>123.59558988916784</v>
      </c>
      <c r="I238" s="249">
        <f>Dat_02!G237</f>
        <v>0</v>
      </c>
      <c r="J238" s="259" t="str">
        <f>IF(Dat_02!H237=0,"",Dat_02!H237)</f>
        <v/>
      </c>
    </row>
    <row r="239" spans="2:10">
      <c r="B239" s="245"/>
      <c r="C239" s="246">
        <f>Dat_02!B238</f>
        <v>44279</v>
      </c>
      <c r="D239" s="245"/>
      <c r="E239" s="248">
        <f>Dat_02!C238</f>
        <v>101.68231273701706</v>
      </c>
      <c r="F239" s="248">
        <f>Dat_02!D238</f>
        <v>136.7399554485423</v>
      </c>
      <c r="G239" s="248">
        <f>Dat_02!E238</f>
        <v>101.68231273701706</v>
      </c>
      <c r="I239" s="249">
        <f>Dat_02!G238</f>
        <v>0</v>
      </c>
      <c r="J239" s="259" t="str">
        <f>IF(Dat_02!H238=0,"",Dat_02!H238)</f>
        <v/>
      </c>
    </row>
    <row r="240" spans="2:10">
      <c r="B240" s="245"/>
      <c r="C240" s="246">
        <f>Dat_02!B239</f>
        <v>44280</v>
      </c>
      <c r="D240" s="245"/>
      <c r="E240" s="248">
        <f>Dat_02!C239</f>
        <v>100.98737631301704</v>
      </c>
      <c r="F240" s="248">
        <f>Dat_02!D239</f>
        <v>136.7399554485423</v>
      </c>
      <c r="G240" s="248">
        <f>Dat_02!E239</f>
        <v>100.98737631301704</v>
      </c>
      <c r="I240" s="249">
        <f>Dat_02!G239</f>
        <v>0</v>
      </c>
      <c r="J240" s="259" t="str">
        <f>IF(Dat_02!H239=0,"",Dat_02!H239)</f>
        <v/>
      </c>
    </row>
    <row r="241" spans="2:10">
      <c r="B241" s="245"/>
      <c r="C241" s="246">
        <f>Dat_02!B240</f>
        <v>44281</v>
      </c>
      <c r="D241" s="245"/>
      <c r="E241" s="248">
        <f>Dat_02!C240</f>
        <v>86.623203501018921</v>
      </c>
      <c r="F241" s="248">
        <f>Dat_02!D240</f>
        <v>136.7399554485423</v>
      </c>
      <c r="G241" s="248">
        <f>Dat_02!E240</f>
        <v>86.623203501018921</v>
      </c>
      <c r="I241" s="249">
        <f>Dat_02!G240</f>
        <v>0</v>
      </c>
      <c r="J241" s="259" t="str">
        <f>IF(Dat_02!H240=0,"",Dat_02!H240)</f>
        <v/>
      </c>
    </row>
    <row r="242" spans="2:10">
      <c r="B242" s="245"/>
      <c r="C242" s="246">
        <f>Dat_02!B241</f>
        <v>44282</v>
      </c>
      <c r="D242" s="245"/>
      <c r="E242" s="248">
        <f>Dat_02!C241</f>
        <v>52.267094185018912</v>
      </c>
      <c r="F242" s="248">
        <f>Dat_02!D241</f>
        <v>136.7399554485423</v>
      </c>
      <c r="G242" s="248">
        <f>Dat_02!E241</f>
        <v>52.267094185018912</v>
      </c>
      <c r="I242" s="249">
        <f>Dat_02!G241</f>
        <v>0</v>
      </c>
      <c r="J242" s="259" t="str">
        <f>IF(Dat_02!H241=0,"",Dat_02!H241)</f>
        <v/>
      </c>
    </row>
    <row r="243" spans="2:10">
      <c r="B243" s="245"/>
      <c r="C243" s="246">
        <f>Dat_02!B242</f>
        <v>44283</v>
      </c>
      <c r="D243" s="245"/>
      <c r="E243" s="248">
        <f>Dat_02!C242</f>
        <v>22.305643741017047</v>
      </c>
      <c r="F243" s="248">
        <f>Dat_02!D242</f>
        <v>136.7399554485423</v>
      </c>
      <c r="G243" s="248">
        <f>Dat_02!E242</f>
        <v>22.305643741017047</v>
      </c>
      <c r="I243" s="249">
        <f>Dat_02!G242</f>
        <v>0</v>
      </c>
      <c r="J243" s="259" t="str">
        <f>IF(Dat_02!H242=0,"",Dat_02!H242)</f>
        <v/>
      </c>
    </row>
    <row r="244" spans="2:10">
      <c r="B244" s="245"/>
      <c r="C244" s="246">
        <f>Dat_02!B243</f>
        <v>44284</v>
      </c>
      <c r="D244" s="245"/>
      <c r="E244" s="248">
        <f>Dat_02!C243</f>
        <v>50.199117601017058</v>
      </c>
      <c r="F244" s="248">
        <f>Dat_02!D243</f>
        <v>136.7399554485423</v>
      </c>
      <c r="G244" s="248">
        <f>Dat_02!E243</f>
        <v>50.199117601017058</v>
      </c>
      <c r="I244" s="249">
        <f>Dat_02!G243</f>
        <v>0</v>
      </c>
      <c r="J244" s="259" t="str">
        <f>IF(Dat_02!H243=0,"",Dat_02!H243)</f>
        <v/>
      </c>
    </row>
    <row r="245" spans="2:10">
      <c r="B245" s="245"/>
      <c r="C245" s="246">
        <f>Dat_02!B244</f>
        <v>44285</v>
      </c>
      <c r="D245" s="245"/>
      <c r="E245" s="248">
        <f>Dat_02!C244</f>
        <v>60.649499513017055</v>
      </c>
      <c r="F245" s="248">
        <f>Dat_02!D244</f>
        <v>136.7399554485423</v>
      </c>
      <c r="G245" s="248">
        <f>Dat_02!E244</f>
        <v>60.649499513017055</v>
      </c>
      <c r="I245" s="249">
        <f>Dat_02!G244</f>
        <v>0</v>
      </c>
      <c r="J245" s="259" t="str">
        <f>IF(Dat_02!H244=0,"",Dat_02!H244)</f>
        <v/>
      </c>
    </row>
    <row r="246" spans="2:10">
      <c r="B246" s="245"/>
      <c r="C246" s="246">
        <f>Dat_02!B245</f>
        <v>44286</v>
      </c>
      <c r="D246" s="245"/>
      <c r="E246" s="248">
        <f>Dat_02!C245</f>
        <v>75.16902626648239</v>
      </c>
      <c r="F246" s="248">
        <f>Dat_02!D245</f>
        <v>136.7399554485423</v>
      </c>
      <c r="G246" s="248">
        <f>Dat_02!E245</f>
        <v>75.16902626648239</v>
      </c>
      <c r="I246" s="249">
        <f>Dat_02!G245</f>
        <v>0</v>
      </c>
      <c r="J246" s="259" t="str">
        <f>IF(Dat_02!H245=0,"",Dat_02!H245)</f>
        <v/>
      </c>
    </row>
    <row r="247" spans="2:10">
      <c r="B247" s="247"/>
      <c r="C247" s="246">
        <f>Dat_02!B246</f>
        <v>44287</v>
      </c>
      <c r="D247" s="245"/>
      <c r="E247" s="248">
        <f>Dat_02!C246</f>
        <v>63.751534450480527</v>
      </c>
      <c r="F247" s="248">
        <f>Dat_02!D246</f>
        <v>128.52573371940508</v>
      </c>
      <c r="G247" s="248">
        <f>Dat_02!E246</f>
        <v>63.751534450480527</v>
      </c>
      <c r="I247" s="249">
        <f>Dat_02!G246</f>
        <v>0</v>
      </c>
      <c r="J247" s="259" t="str">
        <f>IF(Dat_02!H246=0,"",Dat_02!H246)</f>
        <v/>
      </c>
    </row>
    <row r="248" spans="2:10">
      <c r="B248" s="247"/>
      <c r="C248" s="246">
        <f>Dat_02!B247</f>
        <v>44288</v>
      </c>
      <c r="D248" s="247"/>
      <c r="E248" s="248">
        <f>Dat_02!C247</f>
        <v>65.469556810482388</v>
      </c>
      <c r="F248" s="248">
        <f>Dat_02!D247</f>
        <v>128.52573371940508</v>
      </c>
      <c r="G248" s="248">
        <f>Dat_02!E247</f>
        <v>65.469556810482388</v>
      </c>
      <c r="I248" s="249">
        <f>Dat_02!G247</f>
        <v>0</v>
      </c>
      <c r="J248" s="259" t="str">
        <f>IF(Dat_02!H247=0,"",Dat_02!H247)</f>
        <v/>
      </c>
    </row>
    <row r="249" spans="2:10">
      <c r="B249" s="245" t="s">
        <v>218</v>
      </c>
      <c r="C249" s="246">
        <f>Dat_02!B248</f>
        <v>44289</v>
      </c>
      <c r="D249" s="247"/>
      <c r="E249" s="248">
        <f>Dat_02!C248</f>
        <v>42.394872066480531</v>
      </c>
      <c r="F249" s="248">
        <f>Dat_02!D248</f>
        <v>128.52573371940508</v>
      </c>
      <c r="G249" s="248">
        <f>Dat_02!E248</f>
        <v>42.394872066480531</v>
      </c>
      <c r="I249" s="249">
        <f>Dat_02!G248</f>
        <v>0</v>
      </c>
      <c r="J249" s="259" t="str">
        <f>IF(Dat_02!H248=0,"",Dat_02!H248)</f>
        <v/>
      </c>
    </row>
    <row r="250" spans="2:10">
      <c r="B250" s="245"/>
      <c r="C250" s="246">
        <f>Dat_02!B249</f>
        <v>44290</v>
      </c>
      <c r="D250" s="247"/>
      <c r="E250" s="248">
        <f>Dat_02!C249</f>
        <v>41.921852302478669</v>
      </c>
      <c r="F250" s="248">
        <f>Dat_02!D249</f>
        <v>128.52573371940508</v>
      </c>
      <c r="G250" s="248">
        <f>Dat_02!E249</f>
        <v>41.921852302478669</v>
      </c>
      <c r="I250" s="249">
        <f>Dat_02!G249</f>
        <v>0</v>
      </c>
      <c r="J250" s="259" t="str">
        <f>IF(Dat_02!H249=0,"",Dat_02!H249)</f>
        <v/>
      </c>
    </row>
    <row r="251" spans="2:10">
      <c r="B251" s="245"/>
      <c r="C251" s="246">
        <f>Dat_02!B250</f>
        <v>44291</v>
      </c>
      <c r="D251" s="247"/>
      <c r="E251" s="248">
        <f>Dat_02!C250</f>
        <v>57.200811402480525</v>
      </c>
      <c r="F251" s="248">
        <f>Dat_02!D250</f>
        <v>128.52573371940508</v>
      </c>
      <c r="G251" s="248">
        <f>Dat_02!E250</f>
        <v>57.200811402480525</v>
      </c>
      <c r="I251" s="249">
        <f>Dat_02!G250</f>
        <v>0</v>
      </c>
      <c r="J251" s="259" t="str">
        <f>IF(Dat_02!H250=0,"",Dat_02!H250)</f>
        <v/>
      </c>
    </row>
    <row r="252" spans="2:10">
      <c r="B252" s="245"/>
      <c r="C252" s="246">
        <f>Dat_02!B251</f>
        <v>44292</v>
      </c>
      <c r="D252" s="245"/>
      <c r="E252" s="248">
        <f>Dat_02!C251</f>
        <v>72.491779494480539</v>
      </c>
      <c r="F252" s="248">
        <f>Dat_02!D251</f>
        <v>128.52573371940508</v>
      </c>
      <c r="G252" s="248">
        <f>Dat_02!E251</f>
        <v>72.491779494480539</v>
      </c>
      <c r="I252" s="249">
        <f>Dat_02!G251</f>
        <v>0</v>
      </c>
      <c r="J252" s="259" t="str">
        <f>IF(Dat_02!H251=0,"",Dat_02!H251)</f>
        <v/>
      </c>
    </row>
    <row r="253" spans="2:10">
      <c r="B253" s="245"/>
      <c r="C253" s="246">
        <f>Dat_02!B252</f>
        <v>44293</v>
      </c>
      <c r="D253" s="245"/>
      <c r="E253" s="248">
        <f>Dat_02!C252</f>
        <v>73.096940716146577</v>
      </c>
      <c r="F253" s="248">
        <f>Dat_02!D252</f>
        <v>128.52573371940508</v>
      </c>
      <c r="G253" s="248">
        <f>Dat_02!E252</f>
        <v>73.096940716146577</v>
      </c>
      <c r="I253" s="249">
        <f>Dat_02!G252</f>
        <v>0</v>
      </c>
      <c r="J253" s="259" t="str">
        <f>IF(Dat_02!H252=0,"",Dat_02!H252)</f>
        <v/>
      </c>
    </row>
    <row r="254" spans="2:10">
      <c r="B254" s="245"/>
      <c r="C254" s="246">
        <f>Dat_02!B253</f>
        <v>44294</v>
      </c>
      <c r="D254" s="245"/>
      <c r="E254" s="248">
        <f>Dat_02!C253</f>
        <v>97.066670200148423</v>
      </c>
      <c r="F254" s="248">
        <f>Dat_02!D253</f>
        <v>128.52573371940508</v>
      </c>
      <c r="G254" s="248">
        <f>Dat_02!E253</f>
        <v>97.066670200148423</v>
      </c>
      <c r="I254" s="249">
        <f>Dat_02!G253</f>
        <v>0</v>
      </c>
      <c r="J254" s="259" t="str">
        <f>IF(Dat_02!H253=0,"",Dat_02!H253)</f>
        <v/>
      </c>
    </row>
    <row r="255" spans="2:10">
      <c r="B255" s="245"/>
      <c r="C255" s="246">
        <f>Dat_02!B254</f>
        <v>44295</v>
      </c>
      <c r="D255" s="245"/>
      <c r="E255" s="248">
        <f>Dat_02!C254</f>
        <v>89.112006520142856</v>
      </c>
      <c r="F255" s="248">
        <f>Dat_02!D254</f>
        <v>128.52573371940508</v>
      </c>
      <c r="G255" s="248">
        <f>Dat_02!E254</f>
        <v>89.112006520142856</v>
      </c>
      <c r="I255" s="249">
        <f>Dat_02!G254</f>
        <v>0</v>
      </c>
      <c r="J255" s="259" t="str">
        <f>IF(Dat_02!H254=0,"",Dat_02!H254)</f>
        <v/>
      </c>
    </row>
    <row r="256" spans="2:10">
      <c r="B256" s="245"/>
      <c r="C256" s="246">
        <f>Dat_02!B255</f>
        <v>44296</v>
      </c>
      <c r="D256" s="245"/>
      <c r="E256" s="248">
        <f>Dat_02!C255</f>
        <v>59.675219168146576</v>
      </c>
      <c r="F256" s="248">
        <f>Dat_02!D255</f>
        <v>128.52573371940508</v>
      </c>
      <c r="G256" s="248">
        <f>Dat_02!E255</f>
        <v>59.675219168146576</v>
      </c>
      <c r="I256" s="249">
        <f>Dat_02!G255</f>
        <v>0</v>
      </c>
      <c r="J256" s="259" t="str">
        <f>IF(Dat_02!H255=0,"",Dat_02!H255)</f>
        <v/>
      </c>
    </row>
    <row r="257" spans="2:10">
      <c r="B257" s="245"/>
      <c r="C257" s="246">
        <f>Dat_02!B256</f>
        <v>44297</v>
      </c>
      <c r="D257" s="245"/>
      <c r="E257" s="248">
        <f>Dat_02!C256</f>
        <v>36.012027652150294</v>
      </c>
      <c r="F257" s="248">
        <f>Dat_02!D256</f>
        <v>128.52573371940508</v>
      </c>
      <c r="G257" s="248">
        <f>Dat_02!E256</f>
        <v>36.012027652150294</v>
      </c>
      <c r="I257" s="249">
        <f>Dat_02!G256</f>
        <v>0</v>
      </c>
      <c r="J257" s="259" t="str">
        <f>IF(Dat_02!H256=0,"",Dat_02!H256)</f>
        <v/>
      </c>
    </row>
    <row r="258" spans="2:10">
      <c r="B258" s="245"/>
      <c r="C258" s="246">
        <f>Dat_02!B257</f>
        <v>44298</v>
      </c>
      <c r="D258" s="245"/>
      <c r="E258" s="248">
        <f>Dat_02!C257</f>
        <v>71.971308904144706</v>
      </c>
      <c r="F258" s="248">
        <f>Dat_02!D257</f>
        <v>128.52573371940508</v>
      </c>
      <c r="G258" s="248">
        <f>Dat_02!E257</f>
        <v>71.971308904144706</v>
      </c>
      <c r="I258" s="249">
        <f>Dat_02!G257</f>
        <v>0</v>
      </c>
      <c r="J258" s="259" t="str">
        <f>IF(Dat_02!H257=0,"",Dat_02!H257)</f>
        <v/>
      </c>
    </row>
    <row r="259" spans="2:10">
      <c r="B259" s="245"/>
      <c r="C259" s="246">
        <f>Dat_02!B258</f>
        <v>44299</v>
      </c>
      <c r="D259" s="245"/>
      <c r="E259" s="248">
        <f>Dat_02!C258</f>
        <v>87.948379396146578</v>
      </c>
      <c r="F259" s="248">
        <f>Dat_02!D258</f>
        <v>128.52573371940508</v>
      </c>
      <c r="G259" s="248">
        <f>Dat_02!E258</f>
        <v>87.948379396146578</v>
      </c>
      <c r="I259" s="249">
        <f>Dat_02!G258</f>
        <v>0</v>
      </c>
      <c r="J259" s="259" t="str">
        <f>IF(Dat_02!H258=0,"",Dat_02!H258)</f>
        <v/>
      </c>
    </row>
    <row r="260" spans="2:10">
      <c r="B260" s="245"/>
      <c r="C260" s="246">
        <f>Dat_02!B259</f>
        <v>44300</v>
      </c>
      <c r="D260" s="245"/>
      <c r="E260" s="248">
        <f>Dat_02!C259</f>
        <v>74.086402859665498</v>
      </c>
      <c r="F260" s="248">
        <f>Dat_02!D259</f>
        <v>128.52573371940508</v>
      </c>
      <c r="G260" s="248">
        <f>Dat_02!E259</f>
        <v>74.086402859665498</v>
      </c>
      <c r="I260" s="249">
        <f>Dat_02!G259</f>
        <v>0</v>
      </c>
      <c r="J260" s="259" t="str">
        <f>IF(Dat_02!H259=0,"",Dat_02!H259)</f>
        <v/>
      </c>
    </row>
    <row r="261" spans="2:10">
      <c r="B261" s="245"/>
      <c r="C261" s="246">
        <f>Dat_02!B260</f>
        <v>44301</v>
      </c>
      <c r="D261" s="245"/>
      <c r="E261" s="248">
        <f>Dat_02!C260</f>
        <v>65.578525103665498</v>
      </c>
      <c r="F261" s="248">
        <f>Dat_02!D260</f>
        <v>128.52573371940508</v>
      </c>
      <c r="G261" s="248">
        <f>Dat_02!E260</f>
        <v>65.578525103665498</v>
      </c>
      <c r="I261" s="249">
        <f>Dat_02!G260</f>
        <v>128.52573371940508</v>
      </c>
      <c r="J261" s="259" t="str">
        <f>IF(Dat_02!H260=0,"",Dat_02!H260)</f>
        <v/>
      </c>
    </row>
    <row r="262" spans="2:10">
      <c r="B262" s="245"/>
      <c r="C262" s="246">
        <f>Dat_02!B261</f>
        <v>44302</v>
      </c>
      <c r="D262" s="245"/>
      <c r="E262" s="248">
        <f>Dat_02!C261</f>
        <v>52.700916831667364</v>
      </c>
      <c r="F262" s="248">
        <f>Dat_02!D261</f>
        <v>128.52573371940508</v>
      </c>
      <c r="G262" s="248">
        <f>Dat_02!E261</f>
        <v>52.700916831667364</v>
      </c>
      <c r="I262" s="309" t="str">
        <f>Dat_02!G261</f>
        <v/>
      </c>
      <c r="J262" s="259" t="str">
        <f>IF(Dat_02!H261=0,"",Dat_02!H261)</f>
        <v/>
      </c>
    </row>
    <row r="263" spans="2:10">
      <c r="B263" s="245"/>
      <c r="C263" s="246">
        <f>Dat_02!B262</f>
        <v>44303</v>
      </c>
      <c r="D263" s="245"/>
      <c r="E263" s="248">
        <f>Dat_02!C262</f>
        <v>28.047646551661767</v>
      </c>
      <c r="F263" s="248">
        <f>Dat_02!D262</f>
        <v>128.52573371940508</v>
      </c>
      <c r="G263" s="248">
        <f>Dat_02!E262</f>
        <v>28.047646551661767</v>
      </c>
      <c r="I263" s="249" t="str">
        <f>Dat_02!G262</f>
        <v/>
      </c>
      <c r="J263" s="259" t="str">
        <f>IF(Dat_02!H262=0,"",Dat_02!H262)</f>
        <v/>
      </c>
    </row>
    <row r="264" spans="2:10">
      <c r="B264" s="245"/>
      <c r="C264" s="246">
        <f>Dat_02!B263</f>
        <v>44304</v>
      </c>
      <c r="D264" s="245"/>
      <c r="E264" s="248">
        <f>Dat_02!C263</f>
        <v>25.637126475665493</v>
      </c>
      <c r="F264" s="248">
        <f>Dat_02!D263</f>
        <v>128.52573371940508</v>
      </c>
      <c r="G264" s="248">
        <f>Dat_02!E263</f>
        <v>25.637126475665493</v>
      </c>
      <c r="I264" s="249">
        <f>Dat_02!G263</f>
        <v>0</v>
      </c>
      <c r="J264" s="259" t="str">
        <f>IF(Dat_02!H263=0,"",Dat_02!H263)</f>
        <v/>
      </c>
    </row>
    <row r="265" spans="2:10">
      <c r="B265" s="245"/>
      <c r="C265" s="246">
        <f>Dat_02!B264</f>
        <v>44305</v>
      </c>
      <c r="D265" s="245"/>
      <c r="E265" s="248">
        <f>Dat_02!C264</f>
        <v>67.720498807665493</v>
      </c>
      <c r="F265" s="248">
        <f>Dat_02!D264</f>
        <v>128.52573371940508</v>
      </c>
      <c r="G265" s="248">
        <f>Dat_02!E264</f>
        <v>67.720498807665493</v>
      </c>
      <c r="I265" s="249">
        <f>Dat_02!G264</f>
        <v>0</v>
      </c>
      <c r="J265" s="259" t="str">
        <f>IF(Dat_02!H264=0,"",Dat_02!H264)</f>
        <v/>
      </c>
    </row>
    <row r="266" spans="2:10">
      <c r="B266" s="245"/>
      <c r="C266" s="246">
        <f>Dat_02!B265</f>
        <v>44306</v>
      </c>
      <c r="D266" s="245"/>
      <c r="E266" s="248">
        <f>Dat_02!C265</f>
        <v>64.438045755665499</v>
      </c>
      <c r="F266" s="248">
        <f>Dat_02!D265</f>
        <v>128.52573371940508</v>
      </c>
      <c r="G266" s="248">
        <f>Dat_02!E265</f>
        <v>64.438045755665499</v>
      </c>
      <c r="I266" s="249">
        <f>Dat_02!G265</f>
        <v>0</v>
      </c>
      <c r="J266" s="259" t="str">
        <f>IF(Dat_02!H265=0,"",Dat_02!H265)</f>
        <v/>
      </c>
    </row>
    <row r="267" spans="2:10">
      <c r="B267" s="245"/>
      <c r="C267" s="246">
        <f>Dat_02!B266</f>
        <v>44307</v>
      </c>
      <c r="D267" s="245"/>
      <c r="E267" s="248">
        <f>Dat_02!C266</f>
        <v>77.927893818515969</v>
      </c>
      <c r="F267" s="248">
        <f>Dat_02!D266</f>
        <v>128.52573371940508</v>
      </c>
      <c r="G267" s="248">
        <f>Dat_02!E266</f>
        <v>77.927893818515969</v>
      </c>
      <c r="I267" s="249">
        <f>Dat_02!G266</f>
        <v>0</v>
      </c>
      <c r="J267" s="259" t="str">
        <f>IF(Dat_02!H266=0,"",Dat_02!H266)</f>
        <v/>
      </c>
    </row>
    <row r="268" spans="2:10">
      <c r="B268" s="245"/>
      <c r="C268" s="246">
        <f>Dat_02!B267</f>
        <v>44308</v>
      </c>
      <c r="D268" s="245"/>
      <c r="E268" s="248">
        <f>Dat_02!C267</f>
        <v>70.428506162521543</v>
      </c>
      <c r="F268" s="248">
        <f>Dat_02!D267</f>
        <v>128.52573371940508</v>
      </c>
      <c r="G268" s="248">
        <f>Dat_02!E267</f>
        <v>70.428506162521543</v>
      </c>
      <c r="I268" s="249">
        <f>Dat_02!G267</f>
        <v>0</v>
      </c>
      <c r="J268" s="259" t="str">
        <f>IF(Dat_02!H267=0,"",Dat_02!H267)</f>
        <v/>
      </c>
    </row>
    <row r="269" spans="2:10">
      <c r="B269" s="245"/>
      <c r="C269" s="246">
        <f>Dat_02!B268</f>
        <v>44309</v>
      </c>
      <c r="D269" s="245"/>
      <c r="E269" s="248">
        <f>Dat_02!C268</f>
        <v>33.339995286519681</v>
      </c>
      <c r="F269" s="248">
        <f>Dat_02!D268</f>
        <v>128.52573371940508</v>
      </c>
      <c r="G269" s="248">
        <f>Dat_02!E268</f>
        <v>33.339995286519681</v>
      </c>
      <c r="I269" s="249">
        <f>Dat_02!G268</f>
        <v>0</v>
      </c>
      <c r="J269" s="259" t="str">
        <f>IF(Dat_02!H268=0,"",Dat_02!H268)</f>
        <v/>
      </c>
    </row>
    <row r="270" spans="2:10">
      <c r="B270" s="245"/>
      <c r="C270" s="246">
        <f>Dat_02!B269</f>
        <v>44310</v>
      </c>
      <c r="D270" s="245"/>
      <c r="E270" s="248">
        <f>Dat_02!C269</f>
        <v>20.937989170515962</v>
      </c>
      <c r="F270" s="248">
        <f>Dat_02!D269</f>
        <v>128.52573371940508</v>
      </c>
      <c r="G270" s="248">
        <f>Dat_02!E269</f>
        <v>20.937989170515962</v>
      </c>
      <c r="I270" s="249">
        <f>Dat_02!G269</f>
        <v>0</v>
      </c>
      <c r="J270" s="259" t="str">
        <f>IF(Dat_02!H269=0,"",Dat_02!H269)</f>
        <v/>
      </c>
    </row>
    <row r="271" spans="2:10">
      <c r="B271" s="245"/>
      <c r="C271" s="246">
        <f>Dat_02!B270</f>
        <v>44311</v>
      </c>
      <c r="D271" s="245"/>
      <c r="E271" s="248">
        <f>Dat_02!C270</f>
        <v>29.937314190521544</v>
      </c>
      <c r="F271" s="248">
        <f>Dat_02!D270</f>
        <v>128.52573371940508</v>
      </c>
      <c r="G271" s="248">
        <f>Dat_02!E270</f>
        <v>29.937314190521544</v>
      </c>
      <c r="I271" s="249">
        <f>Dat_02!G270</f>
        <v>0</v>
      </c>
      <c r="J271" s="259" t="str">
        <f>IF(Dat_02!H270=0,"",Dat_02!H270)</f>
        <v/>
      </c>
    </row>
    <row r="272" spans="2:10">
      <c r="B272" s="245"/>
      <c r="C272" s="246">
        <f>Dat_02!B271</f>
        <v>44312</v>
      </c>
      <c r="D272" s="245"/>
      <c r="E272" s="248">
        <f>Dat_02!C271</f>
        <v>70.082576902517815</v>
      </c>
      <c r="F272" s="248">
        <f>Dat_02!D271</f>
        <v>128.52573371940508</v>
      </c>
      <c r="G272" s="248">
        <f>Dat_02!E271</f>
        <v>70.082576902517815</v>
      </c>
      <c r="I272" s="249">
        <f>Dat_02!G271</f>
        <v>0</v>
      </c>
      <c r="J272" s="259" t="str">
        <f>IF(Dat_02!H271=0,"",Dat_02!H271)</f>
        <v/>
      </c>
    </row>
    <row r="273" spans="2:10">
      <c r="B273" s="245"/>
      <c r="C273" s="246">
        <f>Dat_02!B272</f>
        <v>44313</v>
      </c>
      <c r="D273" s="245"/>
      <c r="E273" s="248">
        <f>Dat_02!C272</f>
        <v>69.587241770521544</v>
      </c>
      <c r="F273" s="248">
        <f>Dat_02!D272</f>
        <v>128.52573371940508</v>
      </c>
      <c r="G273" s="248">
        <f>Dat_02!E272</f>
        <v>69.587241770521544</v>
      </c>
      <c r="I273" s="249">
        <f>Dat_02!G272</f>
        <v>0</v>
      </c>
      <c r="J273" s="259" t="str">
        <f>IF(Dat_02!H272=0,"",Dat_02!H272)</f>
        <v/>
      </c>
    </row>
    <row r="274" spans="2:10">
      <c r="B274" s="245"/>
      <c r="C274" s="246">
        <f>Dat_02!B273</f>
        <v>44314</v>
      </c>
      <c r="D274" s="245"/>
      <c r="E274" s="248">
        <f>Dat_02!C273</f>
        <v>94.811122895477396</v>
      </c>
      <c r="F274" s="248">
        <f>Dat_02!D273</f>
        <v>128.52573371940508</v>
      </c>
      <c r="G274" s="248">
        <f>Dat_02!E273</f>
        <v>94.811122895477396</v>
      </c>
      <c r="I274" s="249">
        <f>Dat_02!G273</f>
        <v>0</v>
      </c>
      <c r="J274" s="259" t="str">
        <f>IF(Dat_02!H273=0,"",Dat_02!H273)</f>
        <v/>
      </c>
    </row>
    <row r="275" spans="2:10">
      <c r="B275" s="245"/>
      <c r="C275" s="246">
        <f>Dat_02!B274</f>
        <v>44315</v>
      </c>
      <c r="D275" s="245"/>
      <c r="E275" s="248">
        <f>Dat_02!C274</f>
        <v>98.490954667479258</v>
      </c>
      <c r="F275" s="248">
        <f>Dat_02!D274</f>
        <v>128.52573371940508</v>
      </c>
      <c r="G275" s="248">
        <f>Dat_02!E274</f>
        <v>98.490954667479258</v>
      </c>
      <c r="I275" s="249">
        <f>Dat_02!G274</f>
        <v>0</v>
      </c>
      <c r="J275" s="259" t="str">
        <f>IF(Dat_02!H274=0,"",Dat_02!H274)</f>
        <v/>
      </c>
    </row>
    <row r="276" spans="2:10">
      <c r="B276" s="245"/>
      <c r="C276" s="246">
        <f>Dat_02!B275</f>
        <v>44316</v>
      </c>
      <c r="D276" s="245"/>
      <c r="E276" s="248">
        <f>Dat_02!C275</f>
        <v>95.389488947479265</v>
      </c>
      <c r="F276" s="248">
        <f>Dat_02!D275</f>
        <v>128.52573371940508</v>
      </c>
      <c r="G276" s="248">
        <f>Dat_02!E275</f>
        <v>95.389488947479265</v>
      </c>
      <c r="I276" s="249">
        <f>Dat_02!G275</f>
        <v>0</v>
      </c>
      <c r="J276" s="259" t="str">
        <f>IF(Dat_02!H275=0,"",Dat_02!H275)</f>
        <v/>
      </c>
    </row>
    <row r="277" spans="2:10">
      <c r="B277" s="245"/>
      <c r="C277" s="246">
        <f>Dat_02!B276</f>
        <v>44317</v>
      </c>
      <c r="D277" s="245"/>
      <c r="E277" s="248">
        <f>Dat_02!C276</f>
        <v>42.147848663479259</v>
      </c>
      <c r="F277" s="248">
        <f>Dat_02!D276</f>
        <v>101.55332277089387</v>
      </c>
      <c r="G277" s="248">
        <f>Dat_02!E276</f>
        <v>42.147848663479259</v>
      </c>
      <c r="I277" s="249">
        <f>Dat_02!G276</f>
        <v>0</v>
      </c>
      <c r="J277" s="259" t="str">
        <f>IF(Dat_02!H276=0,"",Dat_02!H276)</f>
        <v/>
      </c>
    </row>
    <row r="278" spans="2:10">
      <c r="B278" s="247"/>
      <c r="C278" s="246">
        <f>Dat_02!B277</f>
        <v>44318</v>
      </c>
      <c r="D278" s="247"/>
      <c r="E278" s="248">
        <f>Dat_02!C277</f>
        <v>37.578915619477392</v>
      </c>
      <c r="F278" s="248">
        <f>Dat_02!D277</f>
        <v>101.55332277089387</v>
      </c>
      <c r="G278" s="248">
        <f>Dat_02!E277</f>
        <v>37.578915619477392</v>
      </c>
      <c r="I278" s="249">
        <f>Dat_02!G277</f>
        <v>0</v>
      </c>
      <c r="J278" s="259" t="str">
        <f>IF(Dat_02!H277=0,"",Dat_02!H277)</f>
        <v/>
      </c>
    </row>
    <row r="279" spans="2:10">
      <c r="B279" s="247"/>
      <c r="C279" s="246">
        <f>Dat_02!B278</f>
        <v>44319</v>
      </c>
      <c r="D279" s="247"/>
      <c r="E279" s="248">
        <f>Dat_02!C278</f>
        <v>62.32738921948112</v>
      </c>
      <c r="F279" s="248">
        <f>Dat_02!D278</f>
        <v>101.55332277089387</v>
      </c>
      <c r="G279" s="248">
        <f>Dat_02!E278</f>
        <v>62.32738921948112</v>
      </c>
      <c r="I279" s="249">
        <f>Dat_02!G278</f>
        <v>0</v>
      </c>
      <c r="J279" s="259" t="str">
        <f>IF(Dat_02!H278=0,"",Dat_02!H278)</f>
        <v/>
      </c>
    </row>
    <row r="280" spans="2:10">
      <c r="B280" s="245" t="s">
        <v>219</v>
      </c>
      <c r="C280" s="246">
        <f>Dat_02!B279</f>
        <v>44320</v>
      </c>
      <c r="D280" s="245"/>
      <c r="E280" s="248">
        <f>Dat_02!C279</f>
        <v>72.060014443477399</v>
      </c>
      <c r="F280" s="248">
        <f>Dat_02!D279</f>
        <v>101.55332277089387</v>
      </c>
      <c r="G280" s="248">
        <f>Dat_02!E279</f>
        <v>72.060014443477399</v>
      </c>
      <c r="I280" s="249">
        <f>Dat_02!G279</f>
        <v>0</v>
      </c>
      <c r="J280" s="259" t="str">
        <f>IF(Dat_02!H279=0,"",Dat_02!H279)</f>
        <v/>
      </c>
    </row>
    <row r="281" spans="2:10">
      <c r="B281" s="245"/>
      <c r="C281" s="246">
        <f>Dat_02!B280</f>
        <v>44321</v>
      </c>
      <c r="D281" s="245"/>
      <c r="E281" s="248">
        <f>Dat_02!C280</f>
        <v>64.883841791812969</v>
      </c>
      <c r="F281" s="248">
        <f>Dat_02!D280</f>
        <v>101.55332277089387</v>
      </c>
      <c r="G281" s="248">
        <f>Dat_02!E280</f>
        <v>64.883841791812969</v>
      </c>
      <c r="I281" s="249">
        <f>Dat_02!G280</f>
        <v>0</v>
      </c>
      <c r="J281" s="259" t="str">
        <f>IF(Dat_02!H280=0,"",Dat_02!H280)</f>
        <v/>
      </c>
    </row>
    <row r="282" spans="2:10">
      <c r="B282" s="245"/>
      <c r="C282" s="246">
        <f>Dat_02!B281</f>
        <v>44322</v>
      </c>
      <c r="D282" s="245"/>
      <c r="E282" s="248">
        <f>Dat_02!C281</f>
        <v>60.960911771811105</v>
      </c>
      <c r="F282" s="248">
        <f>Dat_02!D281</f>
        <v>101.55332277089387</v>
      </c>
      <c r="G282" s="248">
        <f>Dat_02!E281</f>
        <v>60.960911771811105</v>
      </c>
      <c r="I282" s="249">
        <f>Dat_02!G281</f>
        <v>0</v>
      </c>
      <c r="J282" s="259" t="str">
        <f>IF(Dat_02!H281=0,"",Dat_02!H281)</f>
        <v/>
      </c>
    </row>
    <row r="283" spans="2:10">
      <c r="B283" s="245"/>
      <c r="C283" s="246">
        <f>Dat_02!B282</f>
        <v>44323</v>
      </c>
      <c r="D283" s="245"/>
      <c r="E283" s="248">
        <f>Dat_02!C282</f>
        <v>70.572683851807383</v>
      </c>
      <c r="F283" s="248">
        <f>Dat_02!D282</f>
        <v>101.55332277089387</v>
      </c>
      <c r="G283" s="248">
        <f>Dat_02!E282</f>
        <v>70.572683851807383</v>
      </c>
      <c r="I283" s="249">
        <f>Dat_02!G282</f>
        <v>0</v>
      </c>
      <c r="J283" s="259" t="str">
        <f>IF(Dat_02!H282=0,"",Dat_02!H282)</f>
        <v/>
      </c>
    </row>
    <row r="284" spans="2:10">
      <c r="B284" s="245"/>
      <c r="C284" s="246">
        <f>Dat_02!B283</f>
        <v>44324</v>
      </c>
      <c r="D284" s="245"/>
      <c r="E284" s="248">
        <f>Dat_02!C283</f>
        <v>41.411578935811107</v>
      </c>
      <c r="F284" s="248">
        <f>Dat_02!D283</f>
        <v>101.55332277089387</v>
      </c>
      <c r="G284" s="248">
        <f>Dat_02!E283</f>
        <v>41.411578935811107</v>
      </c>
      <c r="I284" s="249">
        <f>Dat_02!G283</f>
        <v>0</v>
      </c>
      <c r="J284" s="259" t="str">
        <f>IF(Dat_02!H283=0,"",Dat_02!H283)</f>
        <v/>
      </c>
    </row>
    <row r="285" spans="2:10">
      <c r="B285" s="245"/>
      <c r="C285" s="246">
        <f>Dat_02!B284</f>
        <v>44325</v>
      </c>
      <c r="D285" s="245"/>
      <c r="E285" s="248">
        <f>Dat_02!C284</f>
        <v>41.354636751809245</v>
      </c>
      <c r="F285" s="248">
        <f>Dat_02!D284</f>
        <v>101.55332277089387</v>
      </c>
      <c r="G285" s="248">
        <f>Dat_02!E284</f>
        <v>41.354636751809245</v>
      </c>
      <c r="I285" s="249">
        <f>Dat_02!G284</f>
        <v>0</v>
      </c>
      <c r="J285" s="259" t="str">
        <f>IF(Dat_02!H284=0,"",Dat_02!H284)</f>
        <v/>
      </c>
    </row>
    <row r="286" spans="2:10">
      <c r="B286" s="245"/>
      <c r="C286" s="246">
        <f>Dat_02!B285</f>
        <v>44326</v>
      </c>
      <c r="D286" s="245"/>
      <c r="E286" s="248">
        <f>Dat_02!C285</f>
        <v>60.27062237980924</v>
      </c>
      <c r="F286" s="248">
        <f>Dat_02!D285</f>
        <v>101.55332277089387</v>
      </c>
      <c r="G286" s="248">
        <f>Dat_02!E285</f>
        <v>60.27062237980924</v>
      </c>
      <c r="I286" s="249">
        <f>Dat_02!G285</f>
        <v>0</v>
      </c>
      <c r="J286" s="259" t="str">
        <f>IF(Dat_02!H285=0,"",Dat_02!H285)</f>
        <v/>
      </c>
    </row>
    <row r="287" spans="2:10">
      <c r="B287" s="245"/>
      <c r="C287" s="246">
        <f>Dat_02!B286</f>
        <v>44327</v>
      </c>
      <c r="D287" s="245"/>
      <c r="E287" s="248">
        <f>Dat_02!C286</f>
        <v>56.165441323812964</v>
      </c>
      <c r="F287" s="248">
        <f>Dat_02!D286</f>
        <v>101.55332277089387</v>
      </c>
      <c r="G287" s="248">
        <f>Dat_02!E286</f>
        <v>56.165441323812964</v>
      </c>
      <c r="I287" s="249">
        <f>Dat_02!G286</f>
        <v>0</v>
      </c>
      <c r="J287" s="259" t="str">
        <f>IF(Dat_02!H286=0,"",Dat_02!H286)</f>
        <v/>
      </c>
    </row>
    <row r="288" spans="2:10">
      <c r="B288" s="245"/>
      <c r="C288" s="246">
        <f>Dat_02!B287</f>
        <v>44328</v>
      </c>
      <c r="D288" s="245"/>
      <c r="E288" s="248">
        <f>Dat_02!C287</f>
        <v>64.953505773205393</v>
      </c>
      <c r="F288" s="248">
        <f>Dat_02!D287</f>
        <v>101.55332277089387</v>
      </c>
      <c r="G288" s="248">
        <f>Dat_02!E287</f>
        <v>64.953505773205393</v>
      </c>
      <c r="I288" s="249">
        <f>Dat_02!G287</f>
        <v>0</v>
      </c>
      <c r="J288" s="259" t="str">
        <f>IF(Dat_02!H287=0,"",Dat_02!H287)</f>
        <v/>
      </c>
    </row>
    <row r="289" spans="2:10">
      <c r="B289" s="245"/>
      <c r="C289" s="246">
        <f>Dat_02!B288</f>
        <v>44329</v>
      </c>
      <c r="D289" s="245"/>
      <c r="E289" s="248">
        <f>Dat_02!C288</f>
        <v>70.248995309207274</v>
      </c>
      <c r="F289" s="248">
        <f>Dat_02!D288</f>
        <v>101.55332277089387</v>
      </c>
      <c r="G289" s="248">
        <f>Dat_02!E288</f>
        <v>70.248995309207274</v>
      </c>
      <c r="I289" s="249">
        <f>Dat_02!G288</f>
        <v>0</v>
      </c>
      <c r="J289" s="259" t="str">
        <f>IF(Dat_02!H288=0,"",Dat_02!H288)</f>
        <v/>
      </c>
    </row>
    <row r="290" spans="2:10">
      <c r="B290" s="245"/>
      <c r="C290" s="246">
        <f>Dat_02!B289</f>
        <v>44330</v>
      </c>
      <c r="D290" s="245"/>
      <c r="E290" s="248">
        <f>Dat_02!C289</f>
        <v>73.449084457207263</v>
      </c>
      <c r="F290" s="248">
        <f>Dat_02!D289</f>
        <v>101.55332277089387</v>
      </c>
      <c r="G290" s="248">
        <f>Dat_02!E289</f>
        <v>73.449084457207263</v>
      </c>
      <c r="I290" s="249">
        <f>Dat_02!G289</f>
        <v>0</v>
      </c>
      <c r="J290" s="259" t="str">
        <f>IF(Dat_02!H289=0,"",Dat_02!H289)</f>
        <v/>
      </c>
    </row>
    <row r="291" spans="2:10">
      <c r="B291" s="245"/>
      <c r="C291" s="246">
        <f>Dat_02!B290</f>
        <v>44331</v>
      </c>
      <c r="D291" s="245"/>
      <c r="E291" s="248">
        <f>Dat_02!C290</f>
        <v>61.409645237210988</v>
      </c>
      <c r="F291" s="248">
        <f>Dat_02!D290</f>
        <v>101.55332277089387</v>
      </c>
      <c r="G291" s="248">
        <f>Dat_02!E290</f>
        <v>61.409645237210988</v>
      </c>
      <c r="I291" s="249">
        <f>Dat_02!G290</f>
        <v>101.55332277089387</v>
      </c>
      <c r="J291" s="259" t="str">
        <f>IF(Dat_02!H290=0,"",Dat_02!H290)</f>
        <v/>
      </c>
    </row>
    <row r="292" spans="2:10">
      <c r="B292" s="245"/>
      <c r="C292" s="246">
        <f>Dat_02!B291</f>
        <v>44332</v>
      </c>
      <c r="D292" s="245"/>
      <c r="E292" s="248">
        <f>Dat_02!C291</f>
        <v>62.933085797205401</v>
      </c>
      <c r="F292" s="248">
        <f>Dat_02!D291</f>
        <v>101.55332277089387</v>
      </c>
      <c r="G292" s="248">
        <f>Dat_02!E291</f>
        <v>62.933085797205401</v>
      </c>
      <c r="I292" s="249" t="str">
        <f>Dat_02!G291</f>
        <v/>
      </c>
      <c r="J292" s="259" t="str">
        <f>IF(Dat_02!H291=0,"",Dat_02!H291)</f>
        <v/>
      </c>
    </row>
    <row r="293" spans="2:10">
      <c r="B293" s="245"/>
      <c r="C293" s="246">
        <f>Dat_02!B292</f>
        <v>44333</v>
      </c>
      <c r="D293" s="245"/>
      <c r="E293" s="248">
        <f>Dat_02!C292</f>
        <v>84.705796105210993</v>
      </c>
      <c r="F293" s="248">
        <f>Dat_02!D292</f>
        <v>101.55332277089387</v>
      </c>
      <c r="G293" s="248">
        <f>Dat_02!E292</f>
        <v>84.705796105210993</v>
      </c>
      <c r="I293" s="309" t="str">
        <f>Dat_02!G292</f>
        <v/>
      </c>
      <c r="J293" s="259" t="str">
        <f>IF(Dat_02!H292=0,"",Dat_02!H292)</f>
        <v/>
      </c>
    </row>
    <row r="294" spans="2:10">
      <c r="B294" s="245"/>
      <c r="C294" s="246">
        <f>Dat_02!B293</f>
        <v>44334</v>
      </c>
      <c r="D294" s="245"/>
      <c r="E294" s="248">
        <f>Dat_02!C293</f>
        <v>82.96181858520913</v>
      </c>
      <c r="F294" s="248">
        <f>Dat_02!D293</f>
        <v>101.55332277089387</v>
      </c>
      <c r="G294" s="248">
        <f>Dat_02!E293</f>
        <v>82.96181858520913</v>
      </c>
      <c r="I294" s="249" t="str">
        <f>Dat_02!G293</f>
        <v/>
      </c>
      <c r="J294" s="259" t="str">
        <f>IF(Dat_02!H293=0,"",Dat_02!H293)</f>
        <v/>
      </c>
    </row>
    <row r="295" spans="2:10">
      <c r="B295" s="245"/>
      <c r="C295" s="246">
        <f>Dat_02!B294</f>
        <v>44335</v>
      </c>
      <c r="D295" s="245"/>
      <c r="E295" s="248">
        <f>Dat_02!C294</f>
        <v>88.422067961818541</v>
      </c>
      <c r="F295" s="248">
        <f>Dat_02!D294</f>
        <v>101.55332277089387</v>
      </c>
      <c r="G295" s="248">
        <f>Dat_02!E294</f>
        <v>88.422067961818541</v>
      </c>
      <c r="I295" s="249">
        <f>Dat_02!G294</f>
        <v>0</v>
      </c>
      <c r="J295" s="259" t="str">
        <f>IF(Dat_02!H294=0,"",Dat_02!H294)</f>
        <v/>
      </c>
    </row>
    <row r="296" spans="2:10">
      <c r="B296" s="245"/>
      <c r="C296" s="246">
        <f>Dat_02!B295</f>
        <v>44336</v>
      </c>
      <c r="D296" s="245"/>
      <c r="E296" s="248">
        <f>Dat_02!C295</f>
        <v>87.487187521816665</v>
      </c>
      <c r="F296" s="248">
        <f>Dat_02!D295</f>
        <v>101.55332277089387</v>
      </c>
      <c r="G296" s="248">
        <f>Dat_02!E295</f>
        <v>87.487187521816665</v>
      </c>
      <c r="I296" s="249">
        <f>Dat_02!G295</f>
        <v>0</v>
      </c>
      <c r="J296" s="259" t="str">
        <f>IF(Dat_02!H295=0,"",Dat_02!H295)</f>
        <v/>
      </c>
    </row>
    <row r="297" spans="2:10">
      <c r="B297" s="245"/>
      <c r="C297" s="246">
        <f>Dat_02!B296</f>
        <v>44337</v>
      </c>
      <c r="D297" s="245"/>
      <c r="E297" s="248">
        <f>Dat_02!C296</f>
        <v>81.833325337818536</v>
      </c>
      <c r="F297" s="248">
        <f>Dat_02!D296</f>
        <v>101.55332277089387</v>
      </c>
      <c r="G297" s="248">
        <f>Dat_02!E296</f>
        <v>81.833325337818536</v>
      </c>
      <c r="I297" s="249">
        <f>Dat_02!G296</f>
        <v>0</v>
      </c>
      <c r="J297" s="259" t="str">
        <f>IF(Dat_02!H296=0,"",Dat_02!H296)</f>
        <v/>
      </c>
    </row>
    <row r="298" spans="2:10">
      <c r="B298" s="245"/>
      <c r="C298" s="246">
        <f>Dat_02!B297</f>
        <v>44338</v>
      </c>
      <c r="D298" s="245"/>
      <c r="E298" s="248">
        <f>Dat_02!C297</f>
        <v>85.378086121820388</v>
      </c>
      <c r="F298" s="248">
        <f>Dat_02!D297</f>
        <v>101.55332277089387</v>
      </c>
      <c r="G298" s="248">
        <f>Dat_02!E297</f>
        <v>85.378086121820388</v>
      </c>
      <c r="I298" s="249">
        <f>Dat_02!G297</f>
        <v>0</v>
      </c>
      <c r="J298" s="259" t="str">
        <f>IF(Dat_02!H297=0,"",Dat_02!H297)</f>
        <v/>
      </c>
    </row>
    <row r="299" spans="2:10">
      <c r="B299" s="245"/>
      <c r="C299" s="246">
        <f>Dat_02!B298</f>
        <v>44339</v>
      </c>
      <c r="D299" s="245"/>
      <c r="E299" s="248">
        <f>Dat_02!C298</f>
        <v>63.705421921816672</v>
      </c>
      <c r="F299" s="248">
        <f>Dat_02!D298</f>
        <v>101.55332277089387</v>
      </c>
      <c r="G299" s="248">
        <f>Dat_02!E298</f>
        <v>63.705421921816672</v>
      </c>
      <c r="I299" s="249">
        <f>Dat_02!G298</f>
        <v>0</v>
      </c>
      <c r="J299" s="259" t="str">
        <f>IF(Dat_02!H298=0,"",Dat_02!H298)</f>
        <v/>
      </c>
    </row>
    <row r="300" spans="2:10">
      <c r="B300" s="245"/>
      <c r="C300" s="246">
        <f>Dat_02!B299</f>
        <v>44340</v>
      </c>
      <c r="D300" s="245"/>
      <c r="E300" s="248">
        <f>Dat_02!C299</f>
        <v>71.866288133820404</v>
      </c>
      <c r="F300" s="248">
        <f>Dat_02!D299</f>
        <v>101.55332277089387</v>
      </c>
      <c r="G300" s="248">
        <f>Dat_02!E299</f>
        <v>71.866288133820404</v>
      </c>
      <c r="I300" s="249">
        <f>Dat_02!G299</f>
        <v>0</v>
      </c>
      <c r="J300" s="259" t="str">
        <f>IF(Dat_02!H299=0,"",Dat_02!H299)</f>
        <v/>
      </c>
    </row>
    <row r="301" spans="2:10">
      <c r="B301" s="245"/>
      <c r="C301" s="246">
        <f>Dat_02!B300</f>
        <v>44341</v>
      </c>
      <c r="D301" s="245"/>
      <c r="E301" s="248">
        <f>Dat_02!C300</f>
        <v>76.699483453822268</v>
      </c>
      <c r="F301" s="248">
        <f>Dat_02!D300</f>
        <v>101.55332277089387</v>
      </c>
      <c r="G301" s="248">
        <f>Dat_02!E300</f>
        <v>76.699483453822268</v>
      </c>
      <c r="I301" s="249">
        <f>Dat_02!G300</f>
        <v>0</v>
      </c>
      <c r="J301" s="259" t="str">
        <f>IF(Dat_02!H300=0,"",Dat_02!H300)</f>
        <v/>
      </c>
    </row>
    <row r="302" spans="2:10">
      <c r="B302" s="245"/>
      <c r="C302" s="246">
        <f>Dat_02!B301</f>
        <v>44342</v>
      </c>
      <c r="D302" s="245"/>
      <c r="E302" s="248">
        <f>Dat_02!C301</f>
        <v>44.951141361653775</v>
      </c>
      <c r="F302" s="248">
        <f>Dat_02!D301</f>
        <v>101.55332277089387</v>
      </c>
      <c r="G302" s="248">
        <f>Dat_02!E301</f>
        <v>44.951141361653775</v>
      </c>
      <c r="I302" s="249">
        <f>Dat_02!G301</f>
        <v>0</v>
      </c>
      <c r="J302" s="259" t="str">
        <f>IF(Dat_02!H301=0,"",Dat_02!H301)</f>
        <v/>
      </c>
    </row>
    <row r="303" spans="2:10">
      <c r="B303" s="245"/>
      <c r="C303" s="246">
        <f>Dat_02!B302</f>
        <v>44343</v>
      </c>
      <c r="D303" s="245"/>
      <c r="E303" s="248">
        <f>Dat_02!C302</f>
        <v>84.566878257655645</v>
      </c>
      <c r="F303" s="248">
        <f>Dat_02!D302</f>
        <v>101.55332277089387</v>
      </c>
      <c r="G303" s="248">
        <f>Dat_02!E302</f>
        <v>84.566878257655645</v>
      </c>
      <c r="I303" s="249">
        <f>Dat_02!G302</f>
        <v>0</v>
      </c>
      <c r="J303" s="259" t="str">
        <f>IF(Dat_02!H302=0,"",Dat_02!H302)</f>
        <v/>
      </c>
    </row>
    <row r="304" spans="2:10">
      <c r="B304" s="245"/>
      <c r="C304" s="246">
        <f>Dat_02!B303</f>
        <v>44344</v>
      </c>
      <c r="D304" s="245"/>
      <c r="E304" s="248">
        <f>Dat_02!C303</f>
        <v>51.342713629655641</v>
      </c>
      <c r="F304" s="248">
        <f>Dat_02!D303</f>
        <v>101.55332277089387</v>
      </c>
      <c r="G304" s="248">
        <f>Dat_02!E303</f>
        <v>51.342713629655641</v>
      </c>
      <c r="I304" s="249">
        <f>Dat_02!G303</f>
        <v>0</v>
      </c>
      <c r="J304" s="259" t="str">
        <f>IF(Dat_02!H303=0,"",Dat_02!H303)</f>
        <v/>
      </c>
    </row>
    <row r="305" spans="2:10">
      <c r="B305" s="245"/>
      <c r="C305" s="246">
        <f>Dat_02!B304</f>
        <v>44345</v>
      </c>
      <c r="D305" s="245"/>
      <c r="E305" s="248">
        <f>Dat_02!C304</f>
        <v>47.232078169655637</v>
      </c>
      <c r="F305" s="248">
        <f>Dat_02!D304</f>
        <v>101.55332277089387</v>
      </c>
      <c r="G305" s="248">
        <f>Dat_02!E304</f>
        <v>47.232078169655637</v>
      </c>
      <c r="I305" s="249">
        <f>Dat_02!G304</f>
        <v>0</v>
      </c>
      <c r="J305" s="259" t="str">
        <f>IF(Dat_02!H304=0,"",Dat_02!H304)</f>
        <v/>
      </c>
    </row>
    <row r="306" spans="2:10">
      <c r="B306" s="245"/>
      <c r="C306" s="246">
        <f>Dat_02!B305</f>
        <v>44346</v>
      </c>
      <c r="D306" s="245"/>
      <c r="E306" s="248">
        <f>Dat_02!C305</f>
        <v>30.955034121657505</v>
      </c>
      <c r="F306" s="248">
        <f>Dat_02!D305</f>
        <v>101.55332277089387</v>
      </c>
      <c r="G306" s="248">
        <f>Dat_02!E305</f>
        <v>30.955034121657505</v>
      </c>
      <c r="I306" s="249">
        <f>Dat_02!G305</f>
        <v>0</v>
      </c>
      <c r="J306" s="259" t="str">
        <f>IF(Dat_02!H305=0,"",Dat_02!H305)</f>
        <v/>
      </c>
    </row>
    <row r="307" spans="2:10">
      <c r="B307" s="245"/>
      <c r="C307" s="246">
        <f>Dat_02!B306</f>
        <v>44347</v>
      </c>
      <c r="D307" s="245"/>
      <c r="E307" s="248">
        <f>Dat_02!C306</f>
        <v>46.388749833651922</v>
      </c>
      <c r="F307" s="248">
        <f>Dat_02!D306</f>
        <v>101.55332277089387</v>
      </c>
      <c r="G307" s="248">
        <f>Dat_02!E306</f>
        <v>46.388749833651922</v>
      </c>
      <c r="I307" s="249">
        <f>Dat_02!G306</f>
        <v>0</v>
      </c>
      <c r="J307" s="259" t="str">
        <f>IF(Dat_02!H306=0,"",Dat_02!H306)</f>
        <v/>
      </c>
    </row>
    <row r="308" spans="2:10">
      <c r="B308" s="247" t="s">
        <v>220</v>
      </c>
      <c r="C308" s="246">
        <f>Dat_02!B307</f>
        <v>44348</v>
      </c>
      <c r="D308" s="245"/>
      <c r="E308" s="248">
        <f>Dat_02!C307</f>
        <v>49.73479088165751</v>
      </c>
      <c r="F308" s="248">
        <f>Dat_02!D307</f>
        <v>64.002517723929074</v>
      </c>
      <c r="G308" s="248">
        <f>Dat_02!E307</f>
        <v>49.73479088165751</v>
      </c>
      <c r="I308" s="249">
        <f>Dat_02!G307</f>
        <v>0</v>
      </c>
      <c r="J308" s="259" t="str">
        <f>IF(Dat_02!H307=0,"",Dat_02!H307)</f>
        <v/>
      </c>
    </row>
    <row r="309" spans="2:10">
      <c r="B309" s="245"/>
      <c r="C309" s="246">
        <f>Dat_02!B308</f>
        <v>44349</v>
      </c>
      <c r="D309" s="247"/>
      <c r="E309" s="248">
        <f>Dat_02!C308</f>
        <v>59.617974735076743</v>
      </c>
      <c r="F309" s="248">
        <f>Dat_02!D308</f>
        <v>64.002517723929074</v>
      </c>
      <c r="G309" s="248">
        <f>Dat_02!E308</f>
        <v>59.617974735076743</v>
      </c>
      <c r="I309" s="249">
        <f>Dat_02!G308</f>
        <v>0</v>
      </c>
      <c r="J309" s="259" t="str">
        <f>IF(Dat_02!H308=0,"",Dat_02!H308)</f>
        <v/>
      </c>
    </row>
    <row r="310" spans="2:10">
      <c r="B310" s="247"/>
      <c r="C310" s="246">
        <f>Dat_02!B309</f>
        <v>44350</v>
      </c>
      <c r="D310" s="247"/>
      <c r="E310" s="248">
        <f>Dat_02!C309</f>
        <v>43.37929787908233</v>
      </c>
      <c r="F310" s="248">
        <f>Dat_02!D309</f>
        <v>64.002517723929074</v>
      </c>
      <c r="G310" s="248">
        <f>Dat_02!E309</f>
        <v>43.37929787908233</v>
      </c>
      <c r="I310" s="249">
        <f>Dat_02!G309</f>
        <v>0</v>
      </c>
      <c r="J310" s="259" t="str">
        <f>IF(Dat_02!H309=0,"",Dat_02!H309)</f>
        <v/>
      </c>
    </row>
    <row r="311" spans="2:10">
      <c r="B311" s="245"/>
      <c r="C311" s="246">
        <f>Dat_02!B310</f>
        <v>44351</v>
      </c>
      <c r="D311" s="245"/>
      <c r="E311" s="248">
        <f>Dat_02!C310</f>
        <v>51.371324187080461</v>
      </c>
      <c r="F311" s="248">
        <f>Dat_02!D310</f>
        <v>64.002517723929074</v>
      </c>
      <c r="G311" s="248">
        <f>Dat_02!E310</f>
        <v>51.371324187080461</v>
      </c>
      <c r="I311" s="249">
        <f>Dat_02!G310</f>
        <v>0</v>
      </c>
      <c r="J311" s="259" t="str">
        <f>IF(Dat_02!H310=0,"",Dat_02!H310)</f>
        <v/>
      </c>
    </row>
    <row r="312" spans="2:10">
      <c r="B312" s="245"/>
      <c r="C312" s="246">
        <f>Dat_02!B311</f>
        <v>44352</v>
      </c>
      <c r="D312" s="245"/>
      <c r="E312" s="248">
        <f>Dat_02!C311</f>
        <v>46.97342677108233</v>
      </c>
      <c r="F312" s="248">
        <f>Dat_02!D311</f>
        <v>64.002517723929074</v>
      </c>
      <c r="G312" s="248">
        <f>Dat_02!E311</f>
        <v>46.97342677108233</v>
      </c>
      <c r="I312" s="249">
        <f>Dat_02!G311</f>
        <v>0</v>
      </c>
      <c r="J312" s="259" t="str">
        <f>IF(Dat_02!H311=0,"",Dat_02!H311)</f>
        <v/>
      </c>
    </row>
    <row r="313" spans="2:10">
      <c r="B313" s="245"/>
      <c r="C313" s="246">
        <f>Dat_02!B312</f>
        <v>44353</v>
      </c>
      <c r="D313" s="245"/>
      <c r="E313" s="248">
        <f>Dat_02!C312</f>
        <v>38.841300715080472</v>
      </c>
      <c r="F313" s="248">
        <f>Dat_02!D312</f>
        <v>64.002517723929074</v>
      </c>
      <c r="G313" s="248">
        <f>Dat_02!E312</f>
        <v>38.841300715080472</v>
      </c>
      <c r="I313" s="249">
        <f>Dat_02!G312</f>
        <v>0</v>
      </c>
      <c r="J313" s="259" t="str">
        <f>IF(Dat_02!H312=0,"",Dat_02!H312)</f>
        <v/>
      </c>
    </row>
    <row r="314" spans="2:10">
      <c r="B314" s="245"/>
      <c r="C314" s="246">
        <f>Dat_02!B313</f>
        <v>44354</v>
      </c>
      <c r="D314" s="245"/>
      <c r="E314" s="248">
        <f>Dat_02!C313</f>
        <v>42.244757895078607</v>
      </c>
      <c r="F314" s="248">
        <f>Dat_02!D313</f>
        <v>64.002517723929074</v>
      </c>
      <c r="G314" s="248">
        <f>Dat_02!E313</f>
        <v>42.244757895078607</v>
      </c>
      <c r="I314" s="249">
        <f>Dat_02!G313</f>
        <v>0</v>
      </c>
      <c r="J314" s="259" t="str">
        <f>IF(Dat_02!H313=0,"",Dat_02!H313)</f>
        <v/>
      </c>
    </row>
    <row r="315" spans="2:10">
      <c r="B315" s="245"/>
      <c r="C315" s="246">
        <f>Dat_02!B314</f>
        <v>44355</v>
      </c>
      <c r="D315" s="245"/>
      <c r="E315" s="248">
        <f>Dat_02!C314</f>
        <v>48.828998183082334</v>
      </c>
      <c r="F315" s="248">
        <f>Dat_02!D314</f>
        <v>64.002517723929074</v>
      </c>
      <c r="G315" s="248">
        <f>Dat_02!E314</f>
        <v>48.828998183082334</v>
      </c>
      <c r="I315" s="249">
        <f>Dat_02!G314</f>
        <v>0</v>
      </c>
      <c r="J315" s="259" t="str">
        <f>IF(Dat_02!H314=0,"",Dat_02!H314)</f>
        <v/>
      </c>
    </row>
    <row r="316" spans="2:10">
      <c r="B316" s="245"/>
      <c r="C316" s="246">
        <f>Dat_02!B315</f>
        <v>44356</v>
      </c>
      <c r="D316" s="245"/>
      <c r="E316" s="248">
        <f>Dat_02!C315</f>
        <v>39.648429428078103</v>
      </c>
      <c r="F316" s="248">
        <f>Dat_02!D315</f>
        <v>64.002517723929074</v>
      </c>
      <c r="G316" s="248">
        <f>Dat_02!E315</f>
        <v>39.648429428078103</v>
      </c>
      <c r="I316" s="249">
        <f>Dat_02!G315</f>
        <v>0</v>
      </c>
      <c r="J316" s="259" t="str">
        <f>IF(Dat_02!H315=0,"",Dat_02!H315)</f>
        <v/>
      </c>
    </row>
    <row r="317" spans="2:10">
      <c r="B317" s="245"/>
      <c r="C317" s="246">
        <f>Dat_02!B316</f>
        <v>44357</v>
      </c>
      <c r="D317" s="245"/>
      <c r="E317" s="248">
        <f>Dat_02!C316</f>
        <v>56.527545168078113</v>
      </c>
      <c r="F317" s="248">
        <f>Dat_02!D316</f>
        <v>64.002517723929074</v>
      </c>
      <c r="G317" s="248">
        <f>Dat_02!E316</f>
        <v>56.527545168078113</v>
      </c>
      <c r="I317" s="249">
        <f>Dat_02!G316</f>
        <v>0</v>
      </c>
      <c r="J317" s="259" t="str">
        <f>IF(Dat_02!H316=0,"",Dat_02!H316)</f>
        <v/>
      </c>
    </row>
    <row r="318" spans="2:10">
      <c r="B318" s="245"/>
      <c r="C318" s="246">
        <f>Dat_02!B317</f>
        <v>44358</v>
      </c>
      <c r="D318" s="245"/>
      <c r="E318" s="248">
        <f>Dat_02!C317</f>
        <v>35.841213328079974</v>
      </c>
      <c r="F318" s="248">
        <f>Dat_02!D317</f>
        <v>64.002517723929074</v>
      </c>
      <c r="G318" s="248">
        <f>Dat_02!E317</f>
        <v>35.841213328079974</v>
      </c>
      <c r="I318" s="249">
        <f>Dat_02!G317</f>
        <v>0</v>
      </c>
      <c r="J318" s="259" t="str">
        <f>IF(Dat_02!H317=0,"",Dat_02!H317)</f>
        <v/>
      </c>
    </row>
    <row r="319" spans="2:10">
      <c r="B319" s="245"/>
      <c r="C319" s="246">
        <f>Dat_02!B318</f>
        <v>44359</v>
      </c>
      <c r="D319" s="245"/>
      <c r="E319" s="248">
        <f>Dat_02!C318</f>
        <v>39.171942216074385</v>
      </c>
      <c r="F319" s="248">
        <f>Dat_02!D318</f>
        <v>64.002517723929074</v>
      </c>
      <c r="G319" s="248">
        <f>Dat_02!E318</f>
        <v>39.171942216074385</v>
      </c>
      <c r="I319" s="249">
        <f>Dat_02!G318</f>
        <v>0</v>
      </c>
      <c r="J319" s="259" t="str">
        <f>IF(Dat_02!H318=0,"",Dat_02!H318)</f>
        <v/>
      </c>
    </row>
    <row r="320" spans="2:10">
      <c r="B320" s="245"/>
      <c r="C320" s="246">
        <f>Dat_02!B319</f>
        <v>44360</v>
      </c>
      <c r="D320" s="245"/>
      <c r="E320" s="248">
        <f>Dat_02!C319</f>
        <v>34.74696514007811</v>
      </c>
      <c r="F320" s="248">
        <f>Dat_02!D319</f>
        <v>64.002517723929074</v>
      </c>
      <c r="G320" s="248">
        <f>Dat_02!E319</f>
        <v>34.74696514007811</v>
      </c>
      <c r="I320" s="249">
        <f>Dat_02!G319</f>
        <v>0</v>
      </c>
      <c r="J320" s="259" t="str">
        <f>IF(Dat_02!H319=0,"",Dat_02!H319)</f>
        <v/>
      </c>
    </row>
    <row r="321" spans="2:10">
      <c r="B321" s="245"/>
      <c r="C321" s="246">
        <f>Dat_02!B320</f>
        <v>44361</v>
      </c>
      <c r="D321" s="245"/>
      <c r="E321" s="248">
        <f>Dat_02!C320</f>
        <v>71.686713952078108</v>
      </c>
      <c r="F321" s="248">
        <f>Dat_02!D320</f>
        <v>64.002517723929074</v>
      </c>
      <c r="G321" s="248">
        <f>Dat_02!E320</f>
        <v>64.002517723929074</v>
      </c>
      <c r="I321" s="249">
        <f>Dat_02!G320</f>
        <v>0</v>
      </c>
      <c r="J321" s="259" t="str">
        <f>IF(Dat_02!H320=0,"",Dat_02!H320)</f>
        <v/>
      </c>
    </row>
    <row r="322" spans="2:10">
      <c r="B322" s="245"/>
      <c r="C322" s="246">
        <f>Dat_02!B321</f>
        <v>44362</v>
      </c>
      <c r="D322" s="245"/>
      <c r="E322" s="248">
        <f>Dat_02!C321</f>
        <v>67.60618080007626</v>
      </c>
      <c r="F322" s="248">
        <f>Dat_02!D321</f>
        <v>64.002517723929074</v>
      </c>
      <c r="G322" s="248">
        <f>Dat_02!E321</f>
        <v>64.002517723929074</v>
      </c>
      <c r="I322" s="249">
        <f>Dat_02!G321</f>
        <v>64.002517723929074</v>
      </c>
      <c r="J322" s="259" t="str">
        <f>IF(Dat_02!H321=0,"",Dat_02!H321)</f>
        <v/>
      </c>
    </row>
    <row r="323" spans="2:10">
      <c r="B323" s="245"/>
      <c r="C323" s="246">
        <f>Dat_02!B322</f>
        <v>44363</v>
      </c>
      <c r="D323" s="245"/>
      <c r="E323" s="248">
        <f>Dat_02!C322</f>
        <v>62.689481339110458</v>
      </c>
      <c r="F323" s="248">
        <f>Dat_02!D322</f>
        <v>64.002517723929074</v>
      </c>
      <c r="G323" s="248">
        <f>Dat_02!E322</f>
        <v>62.689481339110458</v>
      </c>
      <c r="I323" s="249">
        <f>Dat_02!G322</f>
        <v>0</v>
      </c>
      <c r="J323" s="259" t="str">
        <f>IF(Dat_02!H322=0,"",Dat_02!H322)</f>
        <v/>
      </c>
    </row>
    <row r="324" spans="2:10">
      <c r="B324" s="245"/>
      <c r="C324" s="246">
        <f>Dat_02!B323</f>
        <v>44364</v>
      </c>
      <c r="D324" s="245"/>
      <c r="E324" s="248">
        <f>Dat_02!C323</f>
        <v>64.265702743110467</v>
      </c>
      <c r="F324" s="248">
        <f>Dat_02!D323</f>
        <v>64.002517723929074</v>
      </c>
      <c r="G324" s="248">
        <f>Dat_02!E323</f>
        <v>64.002517723929074</v>
      </c>
      <c r="I324" s="309" t="str">
        <f>Dat_02!G323</f>
        <v/>
      </c>
      <c r="J324" s="259" t="str">
        <f>IF(Dat_02!H323=0,"",Dat_02!H323)</f>
        <v/>
      </c>
    </row>
    <row r="325" spans="2:10">
      <c r="B325" s="245"/>
      <c r="C325" s="246">
        <f>Dat_02!B324</f>
        <v>44365</v>
      </c>
      <c r="D325" s="245"/>
      <c r="E325" s="248">
        <f>Dat_02!C324</f>
        <v>51.675803331110465</v>
      </c>
      <c r="F325" s="248">
        <f>Dat_02!D324</f>
        <v>64.002517723929074</v>
      </c>
      <c r="G325" s="248">
        <f>Dat_02!E324</f>
        <v>51.675803331110465</v>
      </c>
      <c r="I325" s="249">
        <f>Dat_02!G324</f>
        <v>0</v>
      </c>
      <c r="J325" s="259" t="str">
        <f>IF(Dat_02!H324=0,"",Dat_02!H324)</f>
        <v/>
      </c>
    </row>
    <row r="326" spans="2:10">
      <c r="B326" s="245"/>
      <c r="C326" s="246">
        <f>Dat_02!B325</f>
        <v>44366</v>
      </c>
      <c r="D326" s="245"/>
      <c r="E326" s="248">
        <f>Dat_02!C325</f>
        <v>42.534247635112315</v>
      </c>
      <c r="F326" s="248">
        <f>Dat_02!D325</f>
        <v>64.002517723929074</v>
      </c>
      <c r="G326" s="248">
        <f>Dat_02!E325</f>
        <v>42.534247635112315</v>
      </c>
      <c r="I326" s="249">
        <f>Dat_02!G325</f>
        <v>0</v>
      </c>
      <c r="J326" s="259" t="str">
        <f>IF(Dat_02!H325=0,"",Dat_02!H325)</f>
        <v/>
      </c>
    </row>
    <row r="327" spans="2:10">
      <c r="B327" s="245"/>
      <c r="C327" s="246">
        <f>Dat_02!B326</f>
        <v>44367</v>
      </c>
      <c r="D327" s="245"/>
      <c r="E327" s="248">
        <f>Dat_02!C326</f>
        <v>30.050284127108601</v>
      </c>
      <c r="F327" s="248">
        <f>Dat_02!D326</f>
        <v>64.002517723929074</v>
      </c>
      <c r="G327" s="248">
        <f>Dat_02!E326</f>
        <v>30.050284127108601</v>
      </c>
      <c r="I327" s="249">
        <f>Dat_02!G326</f>
        <v>0</v>
      </c>
      <c r="J327" s="259" t="str">
        <f>IF(Dat_02!H326=0,"",Dat_02!H326)</f>
        <v/>
      </c>
    </row>
    <row r="328" spans="2:10">
      <c r="B328" s="245"/>
      <c r="C328" s="246">
        <f>Dat_02!B327</f>
        <v>44368</v>
      </c>
      <c r="D328" s="245"/>
      <c r="E328" s="248">
        <f>Dat_02!C327</f>
        <v>41.428065483112327</v>
      </c>
      <c r="F328" s="248">
        <f>Dat_02!D327</f>
        <v>64.002517723929074</v>
      </c>
      <c r="G328" s="248">
        <f>Dat_02!E327</f>
        <v>41.428065483112327</v>
      </c>
      <c r="I328" s="249">
        <f>Dat_02!G327</f>
        <v>0</v>
      </c>
      <c r="J328" s="259" t="str">
        <f>IF(Dat_02!H327=0,"",Dat_02!H327)</f>
        <v/>
      </c>
    </row>
    <row r="329" spans="2:10">
      <c r="B329" s="245"/>
      <c r="C329" s="246">
        <f>Dat_02!B328</f>
        <v>44369</v>
      </c>
      <c r="D329" s="245"/>
      <c r="E329" s="248">
        <f>Dat_02!C328</f>
        <v>51.540481843110463</v>
      </c>
      <c r="F329" s="248">
        <f>Dat_02!D328</f>
        <v>64.002517723929074</v>
      </c>
      <c r="G329" s="248">
        <f>Dat_02!E328</f>
        <v>51.540481843110463</v>
      </c>
      <c r="I329" s="249">
        <f>Dat_02!G328</f>
        <v>0</v>
      </c>
      <c r="J329" s="259" t="str">
        <f>IF(Dat_02!H328=0,"",Dat_02!H328)</f>
        <v/>
      </c>
    </row>
    <row r="330" spans="2:10">
      <c r="B330" s="245"/>
      <c r="C330" s="246">
        <f>Dat_02!B329</f>
        <v>44370</v>
      </c>
      <c r="D330" s="245"/>
      <c r="E330" s="248">
        <f>Dat_02!C329</f>
        <v>56.056425707417425</v>
      </c>
      <c r="F330" s="248">
        <f>Dat_02!D329</f>
        <v>64.002517723929074</v>
      </c>
      <c r="G330" s="248">
        <f>Dat_02!E329</f>
        <v>56.056425707417425</v>
      </c>
      <c r="I330" s="249">
        <f>Dat_02!G329</f>
        <v>0</v>
      </c>
      <c r="J330" s="259" t="str">
        <f>IF(Dat_02!H329=0,"",Dat_02!H329)</f>
        <v/>
      </c>
    </row>
    <row r="331" spans="2:10">
      <c r="B331" s="245"/>
      <c r="C331" s="246">
        <f>Dat_02!B330</f>
        <v>44371</v>
      </c>
      <c r="D331" s="245"/>
      <c r="E331" s="248">
        <f>Dat_02!C330</f>
        <v>62.016783663419297</v>
      </c>
      <c r="F331" s="248">
        <f>Dat_02!D330</f>
        <v>64.002517723929074</v>
      </c>
      <c r="G331" s="248">
        <f>Dat_02!E330</f>
        <v>62.016783663419297</v>
      </c>
      <c r="I331" s="249">
        <f>Dat_02!G330</f>
        <v>0</v>
      </c>
      <c r="J331" s="259" t="str">
        <f>IF(Dat_02!H330=0,"",Dat_02!H330)</f>
        <v/>
      </c>
    </row>
    <row r="332" spans="2:10">
      <c r="B332" s="245"/>
      <c r="C332" s="246">
        <f>Dat_02!B331</f>
        <v>44372</v>
      </c>
      <c r="D332" s="245"/>
      <c r="E332" s="248">
        <f>Dat_02!C331</f>
        <v>59.49135100341929</v>
      </c>
      <c r="F332" s="248">
        <f>Dat_02!D331</f>
        <v>64.002517723929074</v>
      </c>
      <c r="G332" s="248">
        <f>Dat_02!E331</f>
        <v>59.49135100341929</v>
      </c>
      <c r="I332" s="249">
        <f>Dat_02!G331</f>
        <v>0</v>
      </c>
      <c r="J332" s="259" t="str">
        <f>IF(Dat_02!H331=0,"",Dat_02!H331)</f>
        <v/>
      </c>
    </row>
    <row r="333" spans="2:10">
      <c r="B333" s="245"/>
      <c r="C333" s="246">
        <f>Dat_02!B332</f>
        <v>44373</v>
      </c>
      <c r="D333" s="245"/>
      <c r="E333" s="248">
        <f>Dat_02!C332</f>
        <v>43.936819075419287</v>
      </c>
      <c r="F333" s="248">
        <f>Dat_02!D332</f>
        <v>64.002517723929074</v>
      </c>
      <c r="G333" s="248">
        <f>Dat_02!E332</f>
        <v>43.936819075419287</v>
      </c>
      <c r="I333" s="249">
        <f>Dat_02!G332</f>
        <v>0</v>
      </c>
      <c r="J333" s="259" t="str">
        <f>IF(Dat_02!H332=0,"",Dat_02!H332)</f>
        <v/>
      </c>
    </row>
    <row r="334" spans="2:10">
      <c r="B334" s="245"/>
      <c r="C334" s="246">
        <f>Dat_02!B333</f>
        <v>44374</v>
      </c>
      <c r="D334" s="245"/>
      <c r="E334" s="248">
        <f>Dat_02!C333</f>
        <v>35.327830939419286</v>
      </c>
      <c r="F334" s="248">
        <f>Dat_02!D333</f>
        <v>64.002517723929074</v>
      </c>
      <c r="G334" s="248">
        <f>Dat_02!E333</f>
        <v>35.327830939419286</v>
      </c>
      <c r="I334" s="249">
        <f>Dat_02!G333</f>
        <v>0</v>
      </c>
      <c r="J334" s="259" t="str">
        <f>IF(Dat_02!H333=0,"",Dat_02!H333)</f>
        <v/>
      </c>
    </row>
    <row r="335" spans="2:10">
      <c r="B335" s="245"/>
      <c r="C335" s="246">
        <f>Dat_02!B334</f>
        <v>44375</v>
      </c>
      <c r="D335" s="245"/>
      <c r="E335" s="248">
        <f>Dat_02!C334</f>
        <v>57.667929875419283</v>
      </c>
      <c r="F335" s="248">
        <f>Dat_02!D334</f>
        <v>64.002517723929074</v>
      </c>
      <c r="G335" s="248">
        <f>Dat_02!E334</f>
        <v>57.667929875419283</v>
      </c>
      <c r="I335" s="249">
        <f>Dat_02!G334</f>
        <v>0</v>
      </c>
      <c r="J335" s="259" t="str">
        <f>IF(Dat_02!H334=0,"",Dat_02!H334)</f>
        <v/>
      </c>
    </row>
    <row r="336" spans="2:10">
      <c r="B336" s="245"/>
      <c r="C336" s="246">
        <f>Dat_02!B335</f>
        <v>44376</v>
      </c>
      <c r="D336" s="245"/>
      <c r="E336" s="248">
        <f>Dat_02!C335</f>
        <v>56.549637343419292</v>
      </c>
      <c r="F336" s="248">
        <f>Dat_02!D335</f>
        <v>64.002517723929074</v>
      </c>
      <c r="G336" s="248">
        <f>Dat_02!E335</f>
        <v>56.549637343419292</v>
      </c>
      <c r="I336" s="249">
        <f>Dat_02!G335</f>
        <v>0</v>
      </c>
      <c r="J336" s="259" t="str">
        <f>IF(Dat_02!H335=0,"",Dat_02!H335)</f>
        <v/>
      </c>
    </row>
    <row r="337" spans="2:10">
      <c r="B337" s="245"/>
      <c r="C337" s="246">
        <f>Dat_02!B336</f>
        <v>44377</v>
      </c>
      <c r="D337" s="245"/>
      <c r="E337" s="248">
        <f>Dat_02!C336</f>
        <v>38.569192130302397</v>
      </c>
      <c r="F337" s="248">
        <f>Dat_02!D336</f>
        <v>64.002517723929074</v>
      </c>
      <c r="G337" s="248">
        <f>Dat_02!E336</f>
        <v>38.569192130302397</v>
      </c>
      <c r="I337" s="249">
        <f>Dat_02!G336</f>
        <v>0</v>
      </c>
      <c r="J337" s="259" t="str">
        <f>IF(Dat_02!H336=0,"",Dat_02!H336)</f>
        <v/>
      </c>
    </row>
    <row r="338" spans="2:10">
      <c r="B338" s="247"/>
      <c r="C338" s="246">
        <f>Dat_02!B337</f>
        <v>44378</v>
      </c>
      <c r="D338" s="245"/>
      <c r="E338" s="248">
        <f>Dat_02!C337</f>
        <v>44.534868314304255</v>
      </c>
      <c r="F338" s="248">
        <f>Dat_02!D337</f>
        <v>28.264017142829317</v>
      </c>
      <c r="G338" s="248">
        <f>Dat_02!E337</f>
        <v>28.264017142829317</v>
      </c>
      <c r="I338" s="249">
        <f>Dat_02!G337</f>
        <v>0</v>
      </c>
      <c r="J338" s="259" t="str">
        <f>IF(Dat_02!H337=0,"",Dat_02!H337)</f>
        <v/>
      </c>
    </row>
    <row r="339" spans="2:10">
      <c r="B339" s="245" t="s">
        <v>221</v>
      </c>
      <c r="C339" s="246">
        <f>Dat_02!B338</f>
        <v>44379</v>
      </c>
      <c r="D339" s="247"/>
      <c r="E339" s="248">
        <f>Dat_02!C338</f>
        <v>42.339254178304252</v>
      </c>
      <c r="F339" s="248">
        <f>Dat_02!D338</f>
        <v>28.264017142829317</v>
      </c>
      <c r="G339" s="248">
        <f>Dat_02!E338</f>
        <v>28.264017142829317</v>
      </c>
      <c r="I339" s="249">
        <f>Dat_02!G338</f>
        <v>0</v>
      </c>
      <c r="J339" s="259" t="str">
        <f>IF(Dat_02!H338=0,"",Dat_02!H338)</f>
        <v/>
      </c>
    </row>
    <row r="340" spans="2:10">
      <c r="B340" s="245"/>
      <c r="C340" s="246">
        <f>Dat_02!B339</f>
        <v>44380</v>
      </c>
      <c r="D340" s="247"/>
      <c r="E340" s="248">
        <f>Dat_02!C339</f>
        <v>38.478154278302391</v>
      </c>
      <c r="F340" s="248">
        <f>Dat_02!D339</f>
        <v>28.264017142829317</v>
      </c>
      <c r="G340" s="248">
        <f>Dat_02!E339</f>
        <v>28.264017142829317</v>
      </c>
      <c r="I340" s="249">
        <f>Dat_02!G339</f>
        <v>0</v>
      </c>
      <c r="J340" s="259" t="str">
        <f>IF(Dat_02!H339=0,"",Dat_02!H339)</f>
        <v/>
      </c>
    </row>
    <row r="341" spans="2:10">
      <c r="B341" s="245"/>
      <c r="C341" s="246">
        <f>Dat_02!B340</f>
        <v>44381</v>
      </c>
      <c r="D341" s="245"/>
      <c r="E341" s="248">
        <f>Dat_02!C340</f>
        <v>4.5154322943023946</v>
      </c>
      <c r="F341" s="248">
        <f>Dat_02!D340</f>
        <v>28.264017142829317</v>
      </c>
      <c r="G341" s="248">
        <f>Dat_02!E340</f>
        <v>4.5154322943023946</v>
      </c>
      <c r="I341" s="249">
        <f>Dat_02!G340</f>
        <v>0</v>
      </c>
      <c r="J341" s="259" t="str">
        <f>IF(Dat_02!H340=0,"",Dat_02!H340)</f>
        <v/>
      </c>
    </row>
    <row r="342" spans="2:10">
      <c r="B342" s="245"/>
      <c r="C342" s="246">
        <f>Dat_02!B341</f>
        <v>44382</v>
      </c>
      <c r="D342" s="245"/>
      <c r="E342" s="248">
        <f>Dat_02!C341</f>
        <v>37.397826742304254</v>
      </c>
      <c r="F342" s="248">
        <f>Dat_02!D341</f>
        <v>28.264017142829317</v>
      </c>
      <c r="G342" s="248">
        <f>Dat_02!E341</f>
        <v>28.264017142829317</v>
      </c>
      <c r="I342" s="249">
        <f>Dat_02!G341</f>
        <v>0</v>
      </c>
      <c r="J342" s="259" t="str">
        <f>IF(Dat_02!H341=0,"",Dat_02!H341)</f>
        <v/>
      </c>
    </row>
    <row r="343" spans="2:10">
      <c r="B343" s="245"/>
      <c r="C343" s="246">
        <f>Dat_02!B342</f>
        <v>44383</v>
      </c>
      <c r="D343" s="245"/>
      <c r="E343" s="248">
        <f>Dat_02!C342</f>
        <v>40.407536394304259</v>
      </c>
      <c r="F343" s="248">
        <f>Dat_02!D342</f>
        <v>28.264017142829317</v>
      </c>
      <c r="G343" s="248">
        <f>Dat_02!E342</f>
        <v>28.264017142829317</v>
      </c>
      <c r="I343" s="249">
        <f>Dat_02!G342</f>
        <v>0</v>
      </c>
      <c r="J343" s="259" t="str">
        <f>IF(Dat_02!H342=0,"",Dat_02!H342)</f>
        <v/>
      </c>
    </row>
    <row r="344" spans="2:10">
      <c r="B344" s="245"/>
      <c r="C344" s="246">
        <f>Dat_02!B343</f>
        <v>44384</v>
      </c>
      <c r="D344" s="245"/>
      <c r="E344" s="248">
        <f>Dat_02!C343</f>
        <v>37.398910876303212</v>
      </c>
      <c r="F344" s="248">
        <f>Dat_02!D343</f>
        <v>28.264017142829317</v>
      </c>
      <c r="G344" s="248">
        <f>Dat_02!E343</f>
        <v>28.264017142829317</v>
      </c>
      <c r="I344" s="249">
        <f>Dat_02!G343</f>
        <v>0</v>
      </c>
      <c r="J344" s="259" t="str">
        <f>IF(Dat_02!H343=0,"",Dat_02!H343)</f>
        <v/>
      </c>
    </row>
    <row r="345" spans="2:10">
      <c r="B345" s="245"/>
      <c r="C345" s="246">
        <f>Dat_02!B344</f>
        <v>44385</v>
      </c>
      <c r="D345" s="245"/>
      <c r="E345" s="248">
        <f>Dat_02!C344</f>
        <v>25.159698888306941</v>
      </c>
      <c r="F345" s="248">
        <f>Dat_02!D344</f>
        <v>28.264017142829317</v>
      </c>
      <c r="G345" s="248">
        <f>Dat_02!E344</f>
        <v>25.159698888306941</v>
      </c>
      <c r="I345" s="249">
        <f>Dat_02!G344</f>
        <v>0</v>
      </c>
      <c r="J345" s="259" t="str">
        <f>IF(Dat_02!H344=0,"",Dat_02!H344)</f>
        <v/>
      </c>
    </row>
    <row r="346" spans="2:10">
      <c r="B346" s="245"/>
      <c r="C346" s="246">
        <f>Dat_02!B345</f>
        <v>44386</v>
      </c>
      <c r="D346" s="245"/>
      <c r="E346" s="248">
        <f>Dat_02!C345</f>
        <v>24.742204244305075</v>
      </c>
      <c r="F346" s="248">
        <f>Dat_02!D345</f>
        <v>28.264017142829317</v>
      </c>
      <c r="G346" s="248">
        <f>Dat_02!E345</f>
        <v>24.742204244305075</v>
      </c>
      <c r="I346" s="249">
        <f>Dat_02!G345</f>
        <v>0</v>
      </c>
      <c r="J346" s="259" t="str">
        <f>IF(Dat_02!H345=0,"",Dat_02!H345)</f>
        <v/>
      </c>
    </row>
    <row r="347" spans="2:10">
      <c r="B347" s="245"/>
      <c r="C347" s="246">
        <f>Dat_02!B346</f>
        <v>44387</v>
      </c>
      <c r="D347" s="245"/>
      <c r="E347" s="248">
        <f>Dat_02!C346</f>
        <v>24.797153528305078</v>
      </c>
      <c r="F347" s="248">
        <f>Dat_02!D346</f>
        <v>28.264017142829317</v>
      </c>
      <c r="G347" s="248">
        <f>Dat_02!E346</f>
        <v>24.797153528305078</v>
      </c>
      <c r="I347" s="249">
        <f>Dat_02!G346</f>
        <v>0</v>
      </c>
      <c r="J347" s="259" t="str">
        <f>IF(Dat_02!H346=0,"",Dat_02!H346)</f>
        <v/>
      </c>
    </row>
    <row r="348" spans="2:10">
      <c r="B348" s="245"/>
      <c r="C348" s="246">
        <f>Dat_02!B347</f>
        <v>44388</v>
      </c>
      <c r="D348" s="245"/>
      <c r="E348" s="248">
        <f>Dat_02!C347</f>
        <v>24.48336876030508</v>
      </c>
      <c r="F348" s="248">
        <f>Dat_02!D347</f>
        <v>28.264017142829317</v>
      </c>
      <c r="G348" s="248">
        <f>Dat_02!E347</f>
        <v>24.48336876030508</v>
      </c>
      <c r="I348" s="249">
        <f>Dat_02!G347</f>
        <v>0</v>
      </c>
      <c r="J348" s="259" t="str">
        <f>IF(Dat_02!H347=0,"",Dat_02!H347)</f>
        <v/>
      </c>
    </row>
    <row r="349" spans="2:10">
      <c r="B349" s="245"/>
      <c r="C349" s="246">
        <f>Dat_02!B348</f>
        <v>44389</v>
      </c>
      <c r="D349" s="245"/>
      <c r="E349" s="248">
        <f>Dat_02!C348</f>
        <v>14.488888316305077</v>
      </c>
      <c r="F349" s="248">
        <f>Dat_02!D348</f>
        <v>28.264017142829317</v>
      </c>
      <c r="G349" s="248">
        <f>Dat_02!E348</f>
        <v>14.488888316305077</v>
      </c>
      <c r="I349" s="249">
        <f>Dat_02!G348</f>
        <v>0</v>
      </c>
      <c r="J349" s="259" t="str">
        <f>IF(Dat_02!H348=0,"",Dat_02!H348)</f>
        <v/>
      </c>
    </row>
    <row r="350" spans="2:10">
      <c r="B350" s="245"/>
      <c r="C350" s="246">
        <f>Dat_02!B349</f>
        <v>44390</v>
      </c>
      <c r="D350" s="245"/>
      <c r="E350" s="248">
        <f>Dat_02!C349</f>
        <v>17.369116352305078</v>
      </c>
      <c r="F350" s="248">
        <f>Dat_02!D349</f>
        <v>28.264017142829317</v>
      </c>
      <c r="G350" s="248">
        <f>Dat_02!E349</f>
        <v>17.369116352305078</v>
      </c>
      <c r="I350" s="249">
        <f>Dat_02!G349</f>
        <v>0</v>
      </c>
      <c r="J350" s="259" t="str">
        <f>IF(Dat_02!H349=0,"",Dat_02!H349)</f>
        <v/>
      </c>
    </row>
    <row r="351" spans="2:10">
      <c r="B351" s="245"/>
      <c r="C351" s="246">
        <f>Dat_02!B350</f>
        <v>44391</v>
      </c>
      <c r="D351" s="245"/>
      <c r="E351" s="248">
        <f>Dat_02!C350</f>
        <v>3.2072423586414223</v>
      </c>
      <c r="F351" s="248">
        <f>Dat_02!D350</f>
        <v>28.264017142829317</v>
      </c>
      <c r="G351" s="248">
        <f>Dat_02!E350</f>
        <v>3.2072423586414223</v>
      </c>
      <c r="I351" s="249">
        <f>Dat_02!G350</f>
        <v>0</v>
      </c>
      <c r="J351" s="259" t="str">
        <f>IF(Dat_02!H350=0,"",Dat_02!H350)</f>
        <v/>
      </c>
    </row>
    <row r="352" spans="2:10">
      <c r="B352" s="245"/>
      <c r="C352" s="246">
        <f>Dat_02!B351</f>
        <v>44392</v>
      </c>
      <c r="D352" s="245"/>
      <c r="E352" s="248">
        <f>Dat_02!C351</f>
        <v>3.4758885986414243</v>
      </c>
      <c r="F352" s="248">
        <f>Dat_02!D351</f>
        <v>28.264017142829317</v>
      </c>
      <c r="G352" s="248">
        <f>Dat_02!E351</f>
        <v>3.4758885986414243</v>
      </c>
      <c r="I352" s="309">
        <f>Dat_02!G351</f>
        <v>28.264017142829317</v>
      </c>
      <c r="J352" s="259" t="str">
        <f>IF(Dat_02!H351=0,"",Dat_02!H351)</f>
        <v/>
      </c>
    </row>
    <row r="353" spans="2:10">
      <c r="B353" s="245"/>
      <c r="C353" s="246">
        <f>Dat_02!B352</f>
        <v>44393</v>
      </c>
      <c r="D353" s="245"/>
      <c r="E353" s="248">
        <f>Dat_02!C352</f>
        <v>3.3561334426414251</v>
      </c>
      <c r="F353" s="248">
        <f>Dat_02!D352</f>
        <v>28.264017142829317</v>
      </c>
      <c r="G353" s="248">
        <f>Dat_02!E352</f>
        <v>3.3561334426414251</v>
      </c>
      <c r="I353" s="249" t="str">
        <f>Dat_02!G352</f>
        <v/>
      </c>
      <c r="J353" s="259" t="str">
        <f>IF(Dat_02!H352=0,"",Dat_02!H352)</f>
        <v/>
      </c>
    </row>
    <row r="354" spans="2:10">
      <c r="B354" s="245"/>
      <c r="C354" s="246">
        <f>Dat_02!B353</f>
        <v>44394</v>
      </c>
      <c r="D354" s="245"/>
      <c r="E354" s="248">
        <f>Dat_02!C353</f>
        <v>4.1169874026414179</v>
      </c>
      <c r="F354" s="248">
        <f>Dat_02!D353</f>
        <v>28.264017142829317</v>
      </c>
      <c r="G354" s="248">
        <f>Dat_02!E353</f>
        <v>4.1169874026414179</v>
      </c>
      <c r="I354" s="249">
        <f>Dat_02!G353</f>
        <v>0</v>
      </c>
      <c r="J354" s="259" t="str">
        <f>IF(Dat_02!H353=0,"",Dat_02!H353)</f>
        <v/>
      </c>
    </row>
    <row r="355" spans="2:10">
      <c r="B355" s="245"/>
      <c r="C355" s="246">
        <f>Dat_02!B354</f>
        <v>44395</v>
      </c>
      <c r="D355" s="245"/>
      <c r="E355" s="248">
        <f>Dat_02!C354</f>
        <v>4.8147068986432791</v>
      </c>
      <c r="F355" s="248">
        <f>Dat_02!D354</f>
        <v>28.264017142829317</v>
      </c>
      <c r="G355" s="248">
        <f>Dat_02!E354</f>
        <v>4.8147068986432791</v>
      </c>
      <c r="I355" s="249" t="str">
        <f>Dat_02!G354</f>
        <v/>
      </c>
      <c r="J355" s="259" t="str">
        <f>IF(Dat_02!H354=0,"",Dat_02!H354)</f>
        <v/>
      </c>
    </row>
    <row r="356" spans="2:10">
      <c r="B356" s="245"/>
      <c r="C356" s="246">
        <f>Dat_02!B355</f>
        <v>44396</v>
      </c>
      <c r="D356" s="245"/>
      <c r="E356" s="248">
        <f>Dat_02!C355</f>
        <v>3.6608772426414218</v>
      </c>
      <c r="F356" s="248">
        <f>Dat_02!D355</f>
        <v>28.264017142829317</v>
      </c>
      <c r="G356" s="248">
        <f>Dat_02!E355</f>
        <v>3.6608772426414218</v>
      </c>
      <c r="I356" s="249">
        <f>Dat_02!G355</f>
        <v>0</v>
      </c>
      <c r="J356" s="259" t="str">
        <f>IF(Dat_02!H355=0,"",Dat_02!H355)</f>
        <v/>
      </c>
    </row>
    <row r="357" spans="2:10">
      <c r="B357" s="245"/>
      <c r="C357" s="246">
        <f>Dat_02!B356</f>
        <v>44397</v>
      </c>
      <c r="D357" s="245"/>
      <c r="E357" s="248">
        <f>Dat_02!C356</f>
        <v>0.66537219064328379</v>
      </c>
      <c r="F357" s="248">
        <f>Dat_02!D356</f>
        <v>28.264017142829317</v>
      </c>
      <c r="G357" s="248">
        <f>Dat_02!E356</f>
        <v>0.66537219064328379</v>
      </c>
      <c r="I357" s="249">
        <f>Dat_02!G356</f>
        <v>0</v>
      </c>
      <c r="J357" s="259" t="str">
        <f>IF(Dat_02!H356=0,"",Dat_02!H356)</f>
        <v/>
      </c>
    </row>
    <row r="358" spans="2:10">
      <c r="B358" s="245"/>
      <c r="C358" s="246">
        <f>Dat_02!B357</f>
        <v>44398</v>
      </c>
      <c r="D358" s="245"/>
      <c r="E358" s="248">
        <f>Dat_02!C357</f>
        <v>19.232001297499554</v>
      </c>
      <c r="F358" s="248">
        <f>Dat_02!D357</f>
        <v>28.264017142829317</v>
      </c>
      <c r="G358" s="248">
        <f>Dat_02!E357</f>
        <v>19.232001297499554</v>
      </c>
      <c r="I358" s="249">
        <f>Dat_02!G357</f>
        <v>0</v>
      </c>
      <c r="J358" s="259" t="str">
        <f>IF(Dat_02!H357=0,"",Dat_02!H357)</f>
        <v/>
      </c>
    </row>
    <row r="359" spans="2:10">
      <c r="B359" s="245"/>
      <c r="C359" s="246">
        <f>Dat_02!B358</f>
        <v>44399</v>
      </c>
      <c r="D359" s="245"/>
      <c r="E359" s="248">
        <f>Dat_02!C358</f>
        <v>16.465821301501418</v>
      </c>
      <c r="F359" s="248">
        <f>Dat_02!D358</f>
        <v>28.264017142829317</v>
      </c>
      <c r="G359" s="248">
        <f>Dat_02!E358</f>
        <v>16.465821301501418</v>
      </c>
      <c r="I359" s="249">
        <f>Dat_02!G358</f>
        <v>0</v>
      </c>
      <c r="J359" s="259" t="str">
        <f>IF(Dat_02!H358=0,"",Dat_02!H358)</f>
        <v/>
      </c>
    </row>
    <row r="360" spans="2:10">
      <c r="B360" s="245"/>
      <c r="C360" s="246">
        <f>Dat_02!B359</f>
        <v>44400</v>
      </c>
      <c r="D360" s="245"/>
      <c r="E360" s="248">
        <f>Dat_02!C359</f>
        <v>13.174375153499554</v>
      </c>
      <c r="F360" s="248">
        <f>Dat_02!D359</f>
        <v>28.264017142829317</v>
      </c>
      <c r="G360" s="248">
        <f>Dat_02!E359</f>
        <v>13.174375153499554</v>
      </c>
      <c r="I360" s="249">
        <f>Dat_02!G359</f>
        <v>0</v>
      </c>
      <c r="J360" s="259" t="str">
        <f>IF(Dat_02!H359=0,"",Dat_02!H359)</f>
        <v/>
      </c>
    </row>
    <row r="361" spans="2:10">
      <c r="B361" s="245"/>
      <c r="C361" s="246">
        <f>Dat_02!B360</f>
        <v>44401</v>
      </c>
      <c r="D361" s="245"/>
      <c r="E361" s="248">
        <f>Dat_02!C360</f>
        <v>11.514703877501415</v>
      </c>
      <c r="F361" s="248">
        <f>Dat_02!D360</f>
        <v>28.264017142829317</v>
      </c>
      <c r="G361" s="248">
        <f>Dat_02!E360</f>
        <v>11.514703877501415</v>
      </c>
      <c r="I361" s="249">
        <f>Dat_02!G360</f>
        <v>0</v>
      </c>
      <c r="J361" s="259" t="str">
        <f>IF(Dat_02!H360=0,"",Dat_02!H360)</f>
        <v/>
      </c>
    </row>
    <row r="362" spans="2:10">
      <c r="B362" s="245"/>
      <c r="C362" s="246">
        <f>Dat_02!B361</f>
        <v>44402</v>
      </c>
      <c r="D362" s="245"/>
      <c r="E362" s="248">
        <f>Dat_02!C361</f>
        <v>7.0097984214995526</v>
      </c>
      <c r="F362" s="248">
        <f>Dat_02!D361</f>
        <v>28.264017142829317</v>
      </c>
      <c r="G362" s="248">
        <f>Dat_02!E361</f>
        <v>7.0097984214995526</v>
      </c>
      <c r="I362" s="249">
        <f>Dat_02!G361</f>
        <v>0</v>
      </c>
      <c r="J362" s="259" t="str">
        <f>IF(Dat_02!H361=0,"",Dat_02!H361)</f>
        <v/>
      </c>
    </row>
    <row r="363" spans="2:10">
      <c r="B363" s="245"/>
      <c r="C363" s="246">
        <f>Dat_02!B362</f>
        <v>44403</v>
      </c>
      <c r="D363" s="245"/>
      <c r="E363" s="248">
        <f>Dat_02!C362</f>
        <v>10.036056933501415</v>
      </c>
      <c r="F363" s="248">
        <f>Dat_02!D362</f>
        <v>28.264017142829317</v>
      </c>
      <c r="G363" s="248">
        <f>Dat_02!E362</f>
        <v>10.036056933501415</v>
      </c>
      <c r="I363" s="249">
        <f>Dat_02!G362</f>
        <v>0</v>
      </c>
      <c r="J363" s="259" t="str">
        <f>IF(Dat_02!H362=0,"",Dat_02!H362)</f>
        <v/>
      </c>
    </row>
    <row r="364" spans="2:10">
      <c r="B364" s="245"/>
      <c r="C364" s="246">
        <f>Dat_02!B363</f>
        <v>44404</v>
      </c>
      <c r="D364" s="245"/>
      <c r="E364" s="248">
        <f>Dat_02!C363</f>
        <v>9.0594030974995547</v>
      </c>
      <c r="F364" s="248">
        <f>Dat_02!D363</f>
        <v>28.264017142829317</v>
      </c>
      <c r="G364" s="248">
        <f>Dat_02!E363</f>
        <v>9.0594030974995547</v>
      </c>
      <c r="I364" s="249">
        <f>Dat_02!G363</f>
        <v>0</v>
      </c>
      <c r="J364" s="259" t="str">
        <f>IF(Dat_02!H363=0,"",Dat_02!H363)</f>
        <v/>
      </c>
    </row>
    <row r="365" spans="2:10">
      <c r="B365" s="245"/>
      <c r="C365" s="246">
        <f>Dat_02!B364</f>
        <v>44405</v>
      </c>
      <c r="D365" s="245"/>
      <c r="E365" s="248">
        <f>Dat_02!C364</f>
        <v>6.2810819010995766</v>
      </c>
      <c r="F365" s="248">
        <f>Dat_02!D364</f>
        <v>28.264017142829317</v>
      </c>
      <c r="G365" s="248">
        <f>Dat_02!E364</f>
        <v>6.2810819010995766</v>
      </c>
      <c r="I365" s="249">
        <f>Dat_02!G364</f>
        <v>0</v>
      </c>
      <c r="J365" s="259" t="str">
        <f>IF(Dat_02!H364=0,"",Dat_02!H364)</f>
        <v/>
      </c>
    </row>
    <row r="366" spans="2:10">
      <c r="B366" s="245"/>
      <c r="C366" s="246">
        <f>Dat_02!B365</f>
        <v>44406</v>
      </c>
      <c r="D366" s="245"/>
      <c r="E366" s="248">
        <f>Dat_02!C365</f>
        <v>18.516500529097712</v>
      </c>
      <c r="F366" s="248">
        <f>Dat_02!D365</f>
        <v>28.264017142829317</v>
      </c>
      <c r="G366" s="248">
        <f>Dat_02!E365</f>
        <v>18.516500529097712</v>
      </c>
      <c r="I366" s="249">
        <f>Dat_02!G365</f>
        <v>0</v>
      </c>
      <c r="J366" s="259" t="str">
        <f>IF(Dat_02!H365=0,"",Dat_02!H365)</f>
        <v/>
      </c>
    </row>
    <row r="367" spans="2:10">
      <c r="B367" s="245"/>
      <c r="C367" s="246">
        <f>Dat_02!B366</f>
        <v>44407</v>
      </c>
      <c r="D367" s="245"/>
      <c r="E367" s="248">
        <f>Dat_02!C366</f>
        <v>18.053295577097714</v>
      </c>
      <c r="F367" s="248">
        <f>Dat_02!D366</f>
        <v>28.264017142829317</v>
      </c>
      <c r="G367" s="248">
        <f>Dat_02!E366</f>
        <v>18.053295577097714</v>
      </c>
      <c r="I367" s="249">
        <f>Dat_02!G366</f>
        <v>0</v>
      </c>
      <c r="J367" s="259" t="str">
        <f>IF(Dat_02!H366=0,"",Dat_02!H366)</f>
        <v/>
      </c>
    </row>
    <row r="368" spans="2:10">
      <c r="B368" s="245"/>
      <c r="C368" s="246">
        <f>Dat_02!B367</f>
        <v>44408</v>
      </c>
      <c r="D368" s="245"/>
      <c r="E368" s="248">
        <f>Dat_02!C367</f>
        <v>3.7941773750977155</v>
      </c>
      <c r="F368" s="248">
        <f>Dat_02!D367</f>
        <v>28.264017142829317</v>
      </c>
      <c r="G368" s="248">
        <f>Dat_02!E367</f>
        <v>3.7941773750977155</v>
      </c>
      <c r="I368" s="249">
        <f>Dat_02!G367</f>
        <v>0</v>
      </c>
      <c r="J368" s="259" t="str">
        <f>IF(Dat_02!H367=0,"",Dat_02!H367)</f>
        <v/>
      </c>
    </row>
    <row r="369" spans="2:10">
      <c r="B369" s="247" t="s">
        <v>223</v>
      </c>
      <c r="C369" s="246">
        <f>Dat_02!B368</f>
        <v>44409</v>
      </c>
      <c r="D369" s="247"/>
      <c r="E369" s="248">
        <f>Dat_02!C368</f>
        <v>4.4792705870995775</v>
      </c>
      <c r="F369" s="248">
        <f>Dat_02!D368</f>
        <v>17.06077530949155</v>
      </c>
      <c r="G369" s="248">
        <f>Dat_02!E368</f>
        <v>4.4792705870995775</v>
      </c>
      <c r="I369" s="249">
        <f>Dat_02!G368</f>
        <v>0</v>
      </c>
      <c r="J369" s="259" t="str">
        <f>IF(Dat_02!H368=0,"",Dat_02!H368)</f>
        <v/>
      </c>
    </row>
    <row r="370" spans="2:10">
      <c r="B370" s="245"/>
      <c r="C370" s="246">
        <f>Dat_02!B369</f>
        <v>44410</v>
      </c>
      <c r="D370" s="247"/>
      <c r="E370" s="248">
        <f>Dat_02!C369</f>
        <v>24.123671195101444</v>
      </c>
      <c r="F370" s="248">
        <f>Dat_02!D369</f>
        <v>17.06077530949155</v>
      </c>
      <c r="G370" s="248">
        <f>Dat_02!E369</f>
        <v>17.06077530949155</v>
      </c>
      <c r="I370" s="249">
        <f>Dat_02!G369</f>
        <v>0</v>
      </c>
      <c r="J370" s="259" t="str">
        <f>IF(Dat_02!H369=0,"",Dat_02!H369)</f>
        <v/>
      </c>
    </row>
    <row r="371" spans="2:10">
      <c r="B371" s="245"/>
      <c r="C371" s="246">
        <f>Dat_02!B370</f>
        <v>44411</v>
      </c>
      <c r="D371" s="245"/>
      <c r="E371" s="248">
        <f>Dat_02!C370</f>
        <v>22.841631373095851</v>
      </c>
      <c r="F371" s="248">
        <f>Dat_02!D370</f>
        <v>17.06077530949155</v>
      </c>
      <c r="G371" s="248">
        <f>Dat_02!E370</f>
        <v>17.06077530949155</v>
      </c>
      <c r="I371" s="249">
        <f>Dat_02!G370</f>
        <v>0</v>
      </c>
      <c r="J371" s="259" t="str">
        <f>IF(Dat_02!H370=0,"",Dat_02!H370)</f>
        <v/>
      </c>
    </row>
    <row r="372" spans="2:10">
      <c r="B372" s="245"/>
      <c r="C372" s="246">
        <f>Dat_02!B371</f>
        <v>44412</v>
      </c>
      <c r="D372" s="245"/>
      <c r="E372" s="248">
        <f>Dat_02!C371</f>
        <v>20.830578048340772</v>
      </c>
      <c r="F372" s="248">
        <f>Dat_02!D371</f>
        <v>17.06077530949155</v>
      </c>
      <c r="G372" s="248">
        <f>Dat_02!E371</f>
        <v>17.06077530949155</v>
      </c>
      <c r="I372" s="249">
        <f>Dat_02!G371</f>
        <v>0</v>
      </c>
      <c r="J372" s="259" t="str">
        <f>IF(Dat_02!H371=0,"",Dat_02!H371)</f>
        <v/>
      </c>
    </row>
    <row r="373" spans="2:10">
      <c r="B373" s="245"/>
      <c r="C373" s="246">
        <f>Dat_02!B372</f>
        <v>44413</v>
      </c>
      <c r="D373" s="245"/>
      <c r="E373" s="248">
        <f>Dat_02!C372</f>
        <v>20.409677116342632</v>
      </c>
      <c r="F373" s="248">
        <f>Dat_02!D372</f>
        <v>17.06077530949155</v>
      </c>
      <c r="G373" s="248">
        <f>Dat_02!E372</f>
        <v>17.06077530949155</v>
      </c>
      <c r="I373" s="249">
        <f>Dat_02!G372</f>
        <v>0</v>
      </c>
      <c r="J373" s="259" t="str">
        <f>IF(Dat_02!H372=0,"",Dat_02!H372)</f>
        <v/>
      </c>
    </row>
    <row r="374" spans="2:10">
      <c r="B374" s="245"/>
      <c r="C374" s="246">
        <f>Dat_02!B373</f>
        <v>44414</v>
      </c>
      <c r="D374" s="245"/>
      <c r="E374" s="248">
        <f>Dat_02!C373</f>
        <v>5.42220691034077</v>
      </c>
      <c r="F374" s="248">
        <f>Dat_02!D373</f>
        <v>17.06077530949155</v>
      </c>
      <c r="G374" s="248">
        <f>Dat_02!E373</f>
        <v>5.42220691034077</v>
      </c>
      <c r="I374" s="249">
        <f>Dat_02!G373</f>
        <v>0</v>
      </c>
      <c r="J374" s="259" t="str">
        <f>IF(Dat_02!H373=0,"",Dat_02!H373)</f>
        <v/>
      </c>
    </row>
    <row r="375" spans="2:10">
      <c r="B375" s="245"/>
      <c r="C375" s="246">
        <f>Dat_02!B374</f>
        <v>44415</v>
      </c>
      <c r="D375" s="245"/>
      <c r="E375" s="248">
        <f>Dat_02!C374</f>
        <v>3.9963943463426332</v>
      </c>
      <c r="F375" s="248">
        <f>Dat_02!D374</f>
        <v>17.06077530949155</v>
      </c>
      <c r="G375" s="248">
        <f>Dat_02!E374</f>
        <v>3.9963943463426332</v>
      </c>
      <c r="I375" s="249">
        <f>Dat_02!G374</f>
        <v>0</v>
      </c>
      <c r="J375" s="259" t="str">
        <f>IF(Dat_02!H374=0,"",Dat_02!H374)</f>
        <v/>
      </c>
    </row>
    <row r="376" spans="2:10">
      <c r="B376" s="245"/>
      <c r="C376" s="246">
        <f>Dat_02!B375</f>
        <v>44416</v>
      </c>
      <c r="D376" s="245"/>
      <c r="E376" s="248">
        <f>Dat_02!C375</f>
        <v>2.8785522423407675</v>
      </c>
      <c r="F376" s="248">
        <f>Dat_02!D375</f>
        <v>17.06077530949155</v>
      </c>
      <c r="G376" s="248">
        <f>Dat_02!E375</f>
        <v>2.8785522423407675</v>
      </c>
      <c r="I376" s="249">
        <f>Dat_02!G375</f>
        <v>0</v>
      </c>
      <c r="J376" s="259" t="str">
        <f>IF(Dat_02!H375=0,"",Dat_02!H375)</f>
        <v/>
      </c>
    </row>
    <row r="377" spans="2:10">
      <c r="B377" s="245"/>
      <c r="C377" s="246">
        <f>Dat_02!B376</f>
        <v>44417</v>
      </c>
      <c r="D377" s="245"/>
      <c r="E377" s="248">
        <f>Dat_02!C376</f>
        <v>16.042872728340765</v>
      </c>
      <c r="F377" s="248">
        <f>Dat_02!D376</f>
        <v>17.06077530949155</v>
      </c>
      <c r="G377" s="248">
        <f>Dat_02!E376</f>
        <v>16.042872728340765</v>
      </c>
      <c r="I377" s="249">
        <f>Dat_02!G376</f>
        <v>0</v>
      </c>
      <c r="J377" s="259" t="str">
        <f>IF(Dat_02!H376=0,"",Dat_02!H376)</f>
        <v/>
      </c>
    </row>
    <row r="378" spans="2:10">
      <c r="B378" s="245"/>
      <c r="C378" s="246">
        <f>Dat_02!B377</f>
        <v>44418</v>
      </c>
      <c r="D378" s="245"/>
      <c r="E378" s="248">
        <f>Dat_02!C377</f>
        <v>12.266544616340775</v>
      </c>
      <c r="F378" s="248">
        <f>Dat_02!D377</f>
        <v>17.06077530949155</v>
      </c>
      <c r="G378" s="248">
        <f>Dat_02!E377</f>
        <v>12.266544616340775</v>
      </c>
      <c r="I378" s="249">
        <f>Dat_02!G377</f>
        <v>0</v>
      </c>
      <c r="J378" s="259" t="str">
        <f>IF(Dat_02!H377=0,"",Dat_02!H377)</f>
        <v/>
      </c>
    </row>
    <row r="379" spans="2:10">
      <c r="B379" s="245"/>
      <c r="C379" s="246">
        <f>Dat_02!B378</f>
        <v>44419</v>
      </c>
      <c r="D379" s="245"/>
      <c r="E379" s="248">
        <f>Dat_02!C378</f>
        <v>12.804513353729009</v>
      </c>
      <c r="F379" s="248">
        <f>Dat_02!D378</f>
        <v>17.06077530949155</v>
      </c>
      <c r="G379" s="248">
        <f>Dat_02!E378</f>
        <v>12.804513353729009</v>
      </c>
      <c r="I379" s="249">
        <f>Dat_02!G378</f>
        <v>0</v>
      </c>
      <c r="J379" s="259" t="str">
        <f>IF(Dat_02!H378=0,"",Dat_02!H378)</f>
        <v/>
      </c>
    </row>
    <row r="380" spans="2:10">
      <c r="B380" s="245"/>
      <c r="C380" s="246">
        <f>Dat_02!B379</f>
        <v>44420</v>
      </c>
      <c r="D380" s="245"/>
      <c r="E380" s="248">
        <f>Dat_02!C379</f>
        <v>11.789653197727151</v>
      </c>
      <c r="F380" s="248">
        <f>Dat_02!D379</f>
        <v>17.06077530949155</v>
      </c>
      <c r="G380" s="248">
        <f>Dat_02!E379</f>
        <v>11.789653197727151</v>
      </c>
      <c r="I380" s="249">
        <f>Dat_02!G379</f>
        <v>0</v>
      </c>
      <c r="J380" s="259" t="str">
        <f>IF(Dat_02!H379=0,"",Dat_02!H379)</f>
        <v/>
      </c>
    </row>
    <row r="381" spans="2:10">
      <c r="B381" s="245"/>
      <c r="C381" s="246">
        <f>Dat_02!B380</f>
        <v>44421</v>
      </c>
      <c r="D381" s="245"/>
      <c r="E381" s="248">
        <f>Dat_02!C380</f>
        <v>10.618266341727153</v>
      </c>
      <c r="F381" s="248">
        <f>Dat_02!D380</f>
        <v>17.06077530949155</v>
      </c>
      <c r="G381" s="248">
        <f>Dat_02!E380</f>
        <v>10.618266341727153</v>
      </c>
      <c r="I381" s="249">
        <f>Dat_02!G380</f>
        <v>0</v>
      </c>
      <c r="J381" s="259" t="str">
        <f>IF(Dat_02!H380=0,"",Dat_02!H380)</f>
        <v/>
      </c>
    </row>
    <row r="382" spans="2:10">
      <c r="B382" s="245"/>
      <c r="C382" s="246">
        <f>Dat_02!B381</f>
        <v>44422</v>
      </c>
      <c r="D382" s="245"/>
      <c r="E382" s="248">
        <f>Dat_02!C381</f>
        <v>8.2967024137271501</v>
      </c>
      <c r="F382" s="248">
        <f>Dat_02!D381</f>
        <v>17.06077530949155</v>
      </c>
      <c r="G382" s="248">
        <f>Dat_02!E381</f>
        <v>8.2967024137271501</v>
      </c>
      <c r="I382" s="249">
        <f>Dat_02!G381</f>
        <v>0</v>
      </c>
      <c r="J382" s="259" t="str">
        <f>IF(Dat_02!H381=0,"",Dat_02!H381)</f>
        <v/>
      </c>
    </row>
    <row r="383" spans="2:10">
      <c r="B383" s="245"/>
      <c r="C383" s="246">
        <f>Dat_02!B382</f>
        <v>44423</v>
      </c>
      <c r="D383" s="245"/>
      <c r="E383" s="248">
        <f>Dat_02!C382</f>
        <v>2.8305311297280857</v>
      </c>
      <c r="F383" s="248">
        <f>Dat_02!D382</f>
        <v>17.06077530949155</v>
      </c>
      <c r="G383" s="248">
        <f>Dat_02!E382</f>
        <v>2.8305311297280857</v>
      </c>
      <c r="I383" s="309">
        <f>Dat_02!G382</f>
        <v>17.06077530949155</v>
      </c>
      <c r="J383" s="259" t="str">
        <f>IF(Dat_02!H382=0,"",Dat_02!H382)</f>
        <v/>
      </c>
    </row>
    <row r="384" spans="2:10">
      <c r="B384" s="245"/>
      <c r="C384" s="246">
        <f>Dat_02!B383</f>
        <v>44424</v>
      </c>
      <c r="D384" s="245"/>
      <c r="E384" s="248">
        <f>Dat_02!C383</f>
        <v>2.5193534617262192</v>
      </c>
      <c r="F384" s="248">
        <f>Dat_02!D383</f>
        <v>17.06077530949155</v>
      </c>
      <c r="G384" s="248">
        <f>Dat_02!E383</f>
        <v>2.5193534617262192</v>
      </c>
      <c r="I384" s="249" t="str">
        <f>Dat_02!G383</f>
        <v/>
      </c>
      <c r="J384" s="259" t="str">
        <f>IF(Dat_02!H383=0,"",Dat_02!H383)</f>
        <v/>
      </c>
    </row>
    <row r="385" spans="2:10">
      <c r="B385" s="245"/>
      <c r="C385" s="246">
        <f>Dat_02!B384</f>
        <v>44425</v>
      </c>
      <c r="D385" s="245"/>
      <c r="E385" s="248">
        <f>Dat_02!C384</f>
        <v>1.6410471217280864</v>
      </c>
      <c r="F385" s="248">
        <f>Dat_02!D384</f>
        <v>17.06077530949155</v>
      </c>
      <c r="G385" s="248">
        <f>Dat_02!E384</f>
        <v>1.6410471217280864</v>
      </c>
      <c r="I385" s="249">
        <f>Dat_02!G384</f>
        <v>0</v>
      </c>
      <c r="J385" s="259" t="str">
        <f>IF(Dat_02!H384=0,"",Dat_02!H384)</f>
        <v/>
      </c>
    </row>
    <row r="386" spans="2:10">
      <c r="B386" s="245"/>
      <c r="C386" s="246">
        <f>Dat_02!B385</f>
        <v>44426</v>
      </c>
      <c r="D386" s="245"/>
      <c r="E386" s="248">
        <f>Dat_02!C385</f>
        <v>1.1195935109318815</v>
      </c>
      <c r="F386" s="248">
        <f>Dat_02!D385</f>
        <v>17.06077530949155</v>
      </c>
      <c r="G386" s="248">
        <f>Dat_02!E385</f>
        <v>1.1195935109318815</v>
      </c>
      <c r="I386" s="249">
        <f>Dat_02!G385</f>
        <v>0</v>
      </c>
      <c r="J386" s="259" t="str">
        <f>IF(Dat_02!H385=0,"",Dat_02!H385)</f>
        <v/>
      </c>
    </row>
    <row r="387" spans="2:10">
      <c r="B387" s="245"/>
      <c r="C387" s="246">
        <f>Dat_02!B386</f>
        <v>44427</v>
      </c>
      <c r="D387" s="245"/>
      <c r="E387" s="248">
        <f>Dat_02!C386</f>
        <v>12.308320820931884</v>
      </c>
      <c r="F387" s="248">
        <f>Dat_02!D386</f>
        <v>17.06077530949155</v>
      </c>
      <c r="G387" s="248">
        <f>Dat_02!E386</f>
        <v>12.308320820931884</v>
      </c>
      <c r="I387" s="249">
        <f>Dat_02!G386</f>
        <v>0</v>
      </c>
      <c r="J387" s="259" t="str">
        <f>IF(Dat_02!H386=0,"",Dat_02!H386)</f>
        <v/>
      </c>
    </row>
    <row r="388" spans="2:10">
      <c r="B388" s="245"/>
      <c r="C388" s="246">
        <f>Dat_02!B387</f>
        <v>44428</v>
      </c>
      <c r="D388" s="245"/>
      <c r="E388" s="248">
        <f>Dat_02!C387</f>
        <v>10.066089832931882</v>
      </c>
      <c r="F388" s="248">
        <f>Dat_02!D387</f>
        <v>17.06077530949155</v>
      </c>
      <c r="G388" s="248">
        <f>Dat_02!E387</f>
        <v>10.066089832931882</v>
      </c>
      <c r="I388" s="249">
        <f>Dat_02!G387</f>
        <v>0</v>
      </c>
      <c r="J388" s="259" t="str">
        <f>IF(Dat_02!H387=0,"",Dat_02!H387)</f>
        <v/>
      </c>
    </row>
    <row r="389" spans="2:10">
      <c r="B389" s="245"/>
      <c r="C389" s="246">
        <f>Dat_02!B388</f>
        <v>44429</v>
      </c>
      <c r="D389" s="245"/>
      <c r="E389" s="248">
        <f>Dat_02!C388</f>
        <v>3.8468667969328161</v>
      </c>
      <c r="F389" s="248">
        <f>Dat_02!D388</f>
        <v>17.06077530949155</v>
      </c>
      <c r="G389" s="248">
        <f>Dat_02!E388</f>
        <v>3.8468667969328161</v>
      </c>
      <c r="I389" s="249">
        <f>Dat_02!G388</f>
        <v>0</v>
      </c>
      <c r="J389" s="259" t="str">
        <f>IF(Dat_02!H388=0,"",Dat_02!H388)</f>
        <v/>
      </c>
    </row>
    <row r="390" spans="2:10">
      <c r="B390" s="245"/>
      <c r="C390" s="246">
        <f>Dat_02!B389</f>
        <v>44430</v>
      </c>
      <c r="D390" s="245"/>
      <c r="E390" s="248">
        <f>Dat_02!C389</f>
        <v>0.508441244930953</v>
      </c>
      <c r="F390" s="248">
        <f>Dat_02!D389</f>
        <v>17.06077530949155</v>
      </c>
      <c r="G390" s="248">
        <f>Dat_02!E389</f>
        <v>0.508441244930953</v>
      </c>
      <c r="I390" s="249">
        <f>Dat_02!G389</f>
        <v>0</v>
      </c>
      <c r="J390" s="259" t="str">
        <f>IF(Dat_02!H389=0,"",Dat_02!H389)</f>
        <v/>
      </c>
    </row>
    <row r="391" spans="2:10">
      <c r="B391" s="245"/>
      <c r="C391" s="246">
        <f>Dat_02!B390</f>
        <v>44431</v>
      </c>
      <c r="D391" s="245"/>
      <c r="E391" s="248">
        <f>Dat_02!C390</f>
        <v>1.0553290569318852</v>
      </c>
      <c r="F391" s="248">
        <f>Dat_02!D390</f>
        <v>17.06077530949155</v>
      </c>
      <c r="G391" s="248">
        <f>Dat_02!E390</f>
        <v>1.0553290569318852</v>
      </c>
      <c r="I391" s="249">
        <f>Dat_02!G390</f>
        <v>0</v>
      </c>
      <c r="J391" s="259" t="str">
        <f>IF(Dat_02!H390=0,"",Dat_02!H390)</f>
        <v/>
      </c>
    </row>
    <row r="392" spans="2:10">
      <c r="B392" s="245"/>
      <c r="C392" s="246">
        <f>Dat_02!B391</f>
        <v>44432</v>
      </c>
      <c r="D392" s="245"/>
      <c r="E392" s="248">
        <f>Dat_02!C391</f>
        <v>0.95153298293281119</v>
      </c>
      <c r="F392" s="248">
        <f>Dat_02!D391</f>
        <v>17.06077530949155</v>
      </c>
      <c r="G392" s="248">
        <f>Dat_02!E391</f>
        <v>0.95153298293281119</v>
      </c>
      <c r="I392" s="249">
        <f>Dat_02!G391</f>
        <v>0</v>
      </c>
      <c r="J392" s="259" t="str">
        <f>IF(Dat_02!H391=0,"",Dat_02!H391)</f>
        <v/>
      </c>
    </row>
    <row r="393" spans="2:10">
      <c r="B393" s="245"/>
      <c r="C393" s="246">
        <f>Dat_02!B392</f>
        <v>44433</v>
      </c>
      <c r="D393" s="245"/>
      <c r="E393" s="248">
        <f>Dat_02!C392</f>
        <v>7.148299117668139</v>
      </c>
      <c r="F393" s="248">
        <f>Dat_02!D392</f>
        <v>17.06077530949155</v>
      </c>
      <c r="G393" s="248">
        <f>Dat_02!E392</f>
        <v>7.148299117668139</v>
      </c>
      <c r="I393" s="249">
        <f>Dat_02!G392</f>
        <v>0</v>
      </c>
      <c r="J393" s="259" t="str">
        <f>IF(Dat_02!H392=0,"",Dat_02!H392)</f>
        <v/>
      </c>
    </row>
    <row r="394" spans="2:10">
      <c r="B394" s="245"/>
      <c r="C394" s="246">
        <f>Dat_02!B393</f>
        <v>44434</v>
      </c>
      <c r="D394" s="245"/>
      <c r="E394" s="248">
        <f>Dat_02!C393</f>
        <v>9.1900503616690692</v>
      </c>
      <c r="F394" s="248">
        <f>Dat_02!D393</f>
        <v>17.06077530949155</v>
      </c>
      <c r="G394" s="248">
        <f>Dat_02!E393</f>
        <v>9.1900503616690692</v>
      </c>
      <c r="I394" s="249">
        <f>Dat_02!G393</f>
        <v>0</v>
      </c>
      <c r="J394" s="259" t="str">
        <f>IF(Dat_02!H393=0,"",Dat_02!H393)</f>
        <v/>
      </c>
    </row>
    <row r="395" spans="2:10">
      <c r="B395" s="245"/>
      <c r="C395" s="246">
        <f>Dat_02!B394</f>
        <v>44435</v>
      </c>
      <c r="D395" s="245"/>
      <c r="E395" s="248">
        <f>Dat_02!C394</f>
        <v>4.0983882336709359</v>
      </c>
      <c r="F395" s="248">
        <f>Dat_02!D394</f>
        <v>17.06077530949155</v>
      </c>
      <c r="G395" s="248">
        <f>Dat_02!E394</f>
        <v>4.0983882336709359</v>
      </c>
      <c r="I395" s="249">
        <f>Dat_02!G394</f>
        <v>0</v>
      </c>
      <c r="J395" s="259" t="str">
        <f>IF(Dat_02!H394=0,"",Dat_02!H394)</f>
        <v/>
      </c>
    </row>
    <row r="396" spans="2:10">
      <c r="B396" s="245"/>
      <c r="C396" s="246">
        <f>Dat_02!B395</f>
        <v>44436</v>
      </c>
      <c r="D396" s="245"/>
      <c r="E396" s="248">
        <f>Dat_02!C395</f>
        <v>0.76033149366814179</v>
      </c>
      <c r="F396" s="248">
        <f>Dat_02!D395</f>
        <v>17.06077530949155</v>
      </c>
      <c r="G396" s="248">
        <f>Dat_02!E395</f>
        <v>0.76033149366814179</v>
      </c>
      <c r="I396" s="249">
        <f>Dat_02!G395</f>
        <v>0</v>
      </c>
      <c r="J396" s="259" t="str">
        <f>IF(Dat_02!H395=0,"",Dat_02!H395)</f>
        <v/>
      </c>
    </row>
    <row r="397" spans="2:10">
      <c r="B397" s="245"/>
      <c r="C397" s="246">
        <f>Dat_02!B396</f>
        <v>44437</v>
      </c>
      <c r="D397" s="245"/>
      <c r="E397" s="248">
        <f>Dat_02!C396</f>
        <v>1.0641274536700003</v>
      </c>
      <c r="F397" s="248">
        <f>Dat_02!D396</f>
        <v>17.06077530949155</v>
      </c>
      <c r="G397" s="248">
        <f>Dat_02!E396</f>
        <v>1.0641274536700003</v>
      </c>
      <c r="I397" s="249">
        <f>Dat_02!G396</f>
        <v>0</v>
      </c>
      <c r="J397" s="259" t="str">
        <f>IF(Dat_02!H396=0,"",Dat_02!H396)</f>
        <v/>
      </c>
    </row>
    <row r="398" spans="2:10">
      <c r="B398" s="245"/>
      <c r="C398" s="246">
        <f>Dat_02!B397</f>
        <v>44438</v>
      </c>
      <c r="D398" s="245"/>
      <c r="E398" s="248">
        <f>Dat_02!C397</f>
        <v>10.115708249667207</v>
      </c>
      <c r="F398" s="248">
        <f>Dat_02!D397</f>
        <v>17.06077530949155</v>
      </c>
      <c r="G398" s="248">
        <f>Dat_02!E397</f>
        <v>10.115708249667207</v>
      </c>
      <c r="I398" s="249">
        <f>Dat_02!G397</f>
        <v>0</v>
      </c>
      <c r="J398" s="259" t="str">
        <f>IF(Dat_02!H397=0,"",Dat_02!H397)</f>
        <v/>
      </c>
    </row>
    <row r="399" spans="2:10">
      <c r="B399" s="245"/>
      <c r="C399" s="246">
        <f>Dat_02!B398</f>
        <v>44439</v>
      </c>
      <c r="D399" s="245"/>
      <c r="E399" s="248">
        <f>Dat_02!C398</f>
        <v>13.842601205670929</v>
      </c>
      <c r="F399" s="248">
        <f>Dat_02!D398</f>
        <v>17.06077530949155</v>
      </c>
      <c r="G399" s="248">
        <f>Dat_02!E398</f>
        <v>13.842601205670929</v>
      </c>
      <c r="I399" s="249">
        <f>Dat_02!G398</f>
        <v>0</v>
      </c>
      <c r="J399" s="259" t="str">
        <f>IF(Dat_02!H398=0,"",Dat_02!H398)</f>
        <v/>
      </c>
    </row>
    <row r="400" spans="2:10">
      <c r="B400" s="252"/>
      <c r="C400" s="253"/>
      <c r="D400" s="254"/>
      <c r="E400" s="254"/>
      <c r="F400" s="254"/>
      <c r="G400" s="254"/>
      <c r="I400" s="249">
        <f>Dat_02!G399</f>
        <v>0</v>
      </c>
      <c r="J400" s="244"/>
    </row>
    <row r="401" spans="2:10">
      <c r="B401" s="251"/>
      <c r="C401" s="251"/>
      <c r="D401" s="251"/>
      <c r="E401" s="255"/>
      <c r="F401" s="255"/>
      <c r="G401" s="256"/>
      <c r="H401" s="251"/>
      <c r="I401" s="250"/>
      <c r="J401" s="244"/>
    </row>
    <row r="402" spans="2:10">
      <c r="B402" s="251"/>
      <c r="C402" s="251"/>
      <c r="D402" s="251"/>
      <c r="E402" s="255"/>
      <c r="F402" s="255"/>
      <c r="G402" s="256"/>
      <c r="H402" s="251"/>
      <c r="I402" s="250"/>
      <c r="J402" s="244"/>
    </row>
    <row r="403" spans="2:10">
      <c r="B403" s="154"/>
      <c r="C403" s="251"/>
      <c r="D403" s="251"/>
      <c r="E403" s="255"/>
      <c r="F403" s="255"/>
      <c r="G403" s="256"/>
      <c r="H403" s="154"/>
      <c r="I403" s="257"/>
      <c r="J403" s="258"/>
    </row>
    <row r="404" spans="2:10">
      <c r="B404" s="154"/>
      <c r="C404" s="251"/>
      <c r="D404" s="251"/>
      <c r="E404" s="255"/>
      <c r="F404" s="255"/>
      <c r="G404" s="256"/>
      <c r="H404" s="154"/>
      <c r="I404" s="257"/>
      <c r="J404" s="258"/>
    </row>
    <row r="405" spans="2:10">
      <c r="B405" s="154"/>
      <c r="C405" s="251"/>
      <c r="D405" s="251"/>
      <c r="E405" s="255"/>
      <c r="F405" s="255"/>
      <c r="G405" s="256"/>
      <c r="H405" s="154"/>
      <c r="I405" s="257"/>
      <c r="J405" s="258"/>
    </row>
    <row r="406" spans="2:10">
      <c r="B406" s="154"/>
      <c r="C406" s="251"/>
      <c r="D406" s="251"/>
      <c r="E406" s="255"/>
      <c r="F406" s="255"/>
      <c r="G406" s="256"/>
      <c r="H406" s="154"/>
      <c r="I406" s="257"/>
      <c r="J406" s="258"/>
    </row>
    <row r="407" spans="2:10">
      <c r="B407" s="154"/>
      <c r="C407" s="251"/>
      <c r="D407" s="251"/>
      <c r="E407" s="255"/>
      <c r="F407" s="255"/>
      <c r="G407" s="256"/>
      <c r="H407" s="154"/>
      <c r="I407" s="257"/>
      <c r="J407" s="258"/>
    </row>
    <row r="408" spans="2:10">
      <c r="B408" s="154"/>
      <c r="C408" s="251"/>
      <c r="D408" s="251"/>
      <c r="E408" s="255"/>
      <c r="F408" s="255"/>
      <c r="G408" s="256"/>
      <c r="H408" s="154"/>
      <c r="I408" s="257"/>
      <c r="J408" s="258"/>
    </row>
    <row r="409" spans="2:10">
      <c r="B409" s="154"/>
      <c r="C409" s="251"/>
      <c r="D409" s="251"/>
      <c r="E409" s="255"/>
      <c r="F409" s="255"/>
      <c r="G409" s="256"/>
      <c r="H409" s="154"/>
      <c r="I409" s="257"/>
      <c r="J409" s="258"/>
    </row>
    <row r="410" spans="2:10">
      <c r="B410" s="154"/>
      <c r="C410" s="251"/>
      <c r="D410" s="251"/>
      <c r="E410" s="255"/>
      <c r="F410" s="255"/>
      <c r="G410" s="256"/>
      <c r="H410" s="154"/>
      <c r="I410" s="257"/>
      <c r="J410" s="258"/>
    </row>
    <row r="411" spans="2:10">
      <c r="B411" s="154"/>
      <c r="C411" s="251"/>
      <c r="D411" s="251"/>
      <c r="E411" s="255"/>
      <c r="F411" s="255"/>
      <c r="G411" s="256"/>
      <c r="H411" s="154"/>
      <c r="I411" s="257"/>
      <c r="J411" s="258"/>
    </row>
    <row r="412" spans="2:10">
      <c r="B412" s="154"/>
      <c r="C412" s="251"/>
      <c r="D412" s="251"/>
      <c r="E412" s="255"/>
      <c r="F412" s="255"/>
      <c r="G412" s="256"/>
      <c r="H412" s="154"/>
      <c r="I412" s="257"/>
      <c r="J412" s="258"/>
    </row>
    <row r="413" spans="2:10">
      <c r="B413" s="154"/>
      <c r="C413" s="251"/>
      <c r="D413" s="251"/>
      <c r="E413" s="255"/>
      <c r="F413" s="255"/>
      <c r="G413" s="256"/>
      <c r="H413" s="154"/>
      <c r="I413" s="257"/>
      <c r="J413" s="258"/>
    </row>
    <row r="414" spans="2:10">
      <c r="B414" s="154"/>
      <c r="C414" s="251"/>
      <c r="D414" s="251"/>
      <c r="E414" s="255"/>
      <c r="F414" s="255"/>
      <c r="G414" s="256"/>
      <c r="H414" s="154"/>
      <c r="I414" s="257"/>
      <c r="J414" s="258"/>
    </row>
    <row r="415" spans="2:10">
      <c r="B415" s="154"/>
      <c r="C415" s="251"/>
      <c r="D415" s="251"/>
      <c r="E415" s="255"/>
      <c r="F415" s="255"/>
      <c r="G415" s="256"/>
      <c r="H415" s="154"/>
      <c r="I415" s="250"/>
      <c r="J415" s="244"/>
    </row>
    <row r="416" spans="2:10">
      <c r="B416" s="154"/>
      <c r="C416" s="251"/>
      <c r="D416" s="251"/>
      <c r="E416" s="255"/>
      <c r="F416" s="255"/>
      <c r="G416" s="256"/>
      <c r="H416" s="154"/>
      <c r="I416" s="257"/>
      <c r="J416" s="258"/>
    </row>
    <row r="417" spans="2:10">
      <c r="B417" s="154"/>
      <c r="C417" s="251"/>
      <c r="D417" s="251"/>
      <c r="E417" s="255"/>
      <c r="F417" s="255"/>
      <c r="G417" s="256"/>
      <c r="H417" s="154"/>
      <c r="I417" s="257"/>
      <c r="J417" s="258"/>
    </row>
    <row r="418" spans="2:10">
      <c r="B418" s="154"/>
      <c r="C418" s="251"/>
      <c r="D418" s="251"/>
      <c r="E418" s="255"/>
      <c r="F418" s="255"/>
      <c r="G418" s="256"/>
      <c r="H418" s="154"/>
      <c r="I418" s="257"/>
      <c r="J418" s="258"/>
    </row>
    <row r="419" spans="2:10">
      <c r="B419" s="154"/>
      <c r="C419" s="251"/>
      <c r="D419" s="251"/>
      <c r="E419" s="255"/>
      <c r="F419" s="255"/>
      <c r="G419" s="256"/>
      <c r="H419" s="154"/>
      <c r="I419" s="257"/>
      <c r="J419" s="258"/>
    </row>
    <row r="420" spans="2:10">
      <c r="B420" s="154"/>
      <c r="C420" s="251"/>
      <c r="D420" s="251"/>
      <c r="E420" s="255"/>
      <c r="F420" s="255"/>
      <c r="G420" s="256"/>
      <c r="H420" s="154"/>
      <c r="I420" s="257"/>
      <c r="J420" s="258"/>
    </row>
    <row r="421" spans="2:10">
      <c r="B421" s="154"/>
      <c r="C421" s="251"/>
      <c r="D421" s="251"/>
      <c r="E421" s="255"/>
      <c r="F421" s="255"/>
      <c r="G421" s="256"/>
      <c r="H421" s="154"/>
      <c r="I421" s="257"/>
      <c r="J421" s="258"/>
    </row>
    <row r="422" spans="2:10">
      <c r="B422" s="154"/>
      <c r="C422" s="251"/>
      <c r="D422" s="251"/>
      <c r="E422" s="255"/>
      <c r="F422" s="255"/>
      <c r="G422" s="256"/>
      <c r="H422" s="154"/>
      <c r="I422" s="257"/>
      <c r="J422" s="258"/>
    </row>
    <row r="423" spans="2:10">
      <c r="B423" s="154"/>
      <c r="C423" s="251"/>
      <c r="D423" s="251"/>
      <c r="E423" s="255"/>
      <c r="F423" s="255"/>
      <c r="G423" s="256"/>
      <c r="H423" s="154"/>
      <c r="I423" s="257"/>
      <c r="J423" s="258"/>
    </row>
    <row r="424" spans="2:10">
      <c r="B424" s="154"/>
      <c r="C424" s="251"/>
      <c r="D424" s="251"/>
      <c r="E424" s="255"/>
      <c r="F424" s="255"/>
      <c r="G424" s="256"/>
      <c r="H424" s="154"/>
      <c r="I424" s="257"/>
      <c r="J424" s="258"/>
    </row>
    <row r="425" spans="2:10">
      <c r="B425" s="154"/>
      <c r="C425" s="251"/>
      <c r="D425" s="251"/>
      <c r="E425" s="255"/>
      <c r="F425" s="255"/>
      <c r="G425" s="256"/>
      <c r="H425" s="154"/>
      <c r="I425" s="257"/>
      <c r="J425" s="258"/>
    </row>
    <row r="426" spans="2:10">
      <c r="B426" s="154"/>
      <c r="C426" s="251"/>
      <c r="D426" s="251"/>
      <c r="E426" s="255"/>
      <c r="F426" s="255"/>
      <c r="G426" s="256"/>
      <c r="H426" s="251"/>
      <c r="I426" s="250"/>
      <c r="J426" s="258"/>
    </row>
    <row r="427" spans="2:10">
      <c r="B427" s="154"/>
      <c r="C427" s="251"/>
      <c r="D427" s="251"/>
      <c r="E427" s="255"/>
      <c r="F427" s="255"/>
      <c r="G427" s="256"/>
      <c r="H427" s="251"/>
      <c r="I427" s="250"/>
      <c r="J427" s="258"/>
    </row>
    <row r="428" spans="2:10">
      <c r="B428" s="154"/>
      <c r="C428" s="251"/>
      <c r="D428" s="251"/>
      <c r="E428" s="255"/>
      <c r="F428" s="255"/>
      <c r="G428" s="256"/>
      <c r="H428" s="251"/>
      <c r="I428" s="250"/>
      <c r="J428" s="258"/>
    </row>
    <row r="429" spans="2:10">
      <c r="B429" s="154"/>
      <c r="C429" s="251"/>
      <c r="D429" s="251"/>
      <c r="E429" s="255"/>
      <c r="F429" s="255"/>
      <c r="G429" s="256"/>
      <c r="H429" s="251"/>
      <c r="I429" s="250"/>
      <c r="J429" s="258"/>
    </row>
    <row r="430" spans="2:10">
      <c r="B430" s="154"/>
      <c r="C430" s="251"/>
      <c r="D430" s="251"/>
      <c r="E430" s="255"/>
      <c r="F430" s="255"/>
      <c r="G430" s="256"/>
      <c r="H430" s="251"/>
      <c r="I430" s="250"/>
      <c r="J430" s="258"/>
    </row>
    <row r="431" spans="2:10">
      <c r="B431" s="154"/>
      <c r="C431" s="251"/>
      <c r="D431" s="251"/>
      <c r="E431" s="255"/>
      <c r="F431" s="255"/>
      <c r="G431" s="256"/>
      <c r="H431" s="251"/>
      <c r="I431" s="250"/>
      <c r="J431" s="258"/>
    </row>
    <row r="432" spans="2:10">
      <c r="C432" s="251"/>
      <c r="D432" s="251"/>
      <c r="E432" s="255"/>
      <c r="F432" s="255"/>
      <c r="G432" s="256"/>
    </row>
    <row r="433" spans="3:7">
      <c r="C433" s="251"/>
      <c r="D433" s="251"/>
      <c r="E433" s="255"/>
      <c r="F433" s="255"/>
      <c r="G433" s="256"/>
    </row>
    <row r="434" spans="3:7">
      <c r="C434" s="251"/>
      <c r="D434" s="251"/>
      <c r="E434" s="255"/>
      <c r="F434" s="255"/>
      <c r="G434" s="256"/>
    </row>
    <row r="435" spans="3:7">
      <c r="C435" s="251"/>
      <c r="D435" s="251"/>
      <c r="E435" s="255"/>
      <c r="F435" s="255"/>
      <c r="G435" s="256"/>
    </row>
    <row r="436" spans="3:7">
      <c r="C436" s="251"/>
      <c r="D436" s="251"/>
      <c r="E436" s="255"/>
      <c r="F436" s="255"/>
      <c r="G436" s="256"/>
    </row>
    <row r="437" spans="3:7">
      <c r="C437" s="251"/>
      <c r="D437" s="251"/>
      <c r="E437" s="255"/>
      <c r="F437" s="255"/>
      <c r="G437" s="256"/>
    </row>
    <row r="438" spans="3:7">
      <c r="C438" s="251"/>
      <c r="D438" s="251"/>
      <c r="E438" s="255"/>
      <c r="F438" s="255"/>
      <c r="G438" s="256"/>
    </row>
    <row r="439" spans="3:7">
      <c r="C439" s="251"/>
      <c r="D439" s="251"/>
      <c r="E439" s="255"/>
      <c r="F439" s="255"/>
      <c r="G439" s="256"/>
    </row>
    <row r="440" spans="3:7">
      <c r="C440" s="251"/>
      <c r="D440" s="251"/>
      <c r="E440" s="255"/>
      <c r="F440" s="255"/>
      <c r="G440" s="256"/>
    </row>
    <row r="441" spans="3:7">
      <c r="C441" s="251"/>
      <c r="D441" s="251"/>
      <c r="E441" s="255"/>
      <c r="F441" s="255"/>
      <c r="G441" s="256"/>
    </row>
    <row r="442" spans="3:7">
      <c r="C442" s="251"/>
      <c r="D442" s="251"/>
      <c r="E442" s="255"/>
      <c r="F442" s="255"/>
      <c r="G442" s="256"/>
    </row>
    <row r="443" spans="3:7">
      <c r="C443" s="251"/>
      <c r="D443" s="251"/>
      <c r="E443" s="255"/>
      <c r="F443" s="255"/>
      <c r="G443" s="256"/>
    </row>
    <row r="444" spans="3:7">
      <c r="C444" s="251"/>
      <c r="D444" s="251"/>
      <c r="E444" s="255"/>
      <c r="F444" s="255"/>
      <c r="G444" s="256"/>
    </row>
    <row r="445" spans="3:7">
      <c r="C445" s="251"/>
      <c r="D445" s="251"/>
      <c r="E445" s="255"/>
      <c r="F445" s="255"/>
      <c r="G445" s="256"/>
    </row>
    <row r="446" spans="3:7">
      <c r="C446" s="251"/>
      <c r="D446" s="251"/>
      <c r="E446" s="255"/>
      <c r="F446" s="255"/>
      <c r="G446" s="256"/>
    </row>
    <row r="447" spans="3:7">
      <c r="C447" s="251"/>
      <c r="D447" s="251"/>
      <c r="E447" s="255"/>
      <c r="F447" s="255"/>
      <c r="G447" s="256"/>
    </row>
    <row r="448" spans="3:7">
      <c r="C448" s="251"/>
      <c r="D448" s="251"/>
      <c r="E448" s="255"/>
      <c r="F448" s="255"/>
      <c r="G448" s="256"/>
    </row>
    <row r="449" spans="3:7">
      <c r="C449" s="251"/>
      <c r="D449" s="251"/>
      <c r="E449" s="255"/>
      <c r="F449" s="255"/>
      <c r="G449" s="256"/>
    </row>
  </sheetData>
  <phoneticPr fontId="6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4"/>
  <sheetViews>
    <sheetView workbookViewId="0"/>
  </sheetViews>
  <sheetFormatPr baseColWidth="10" defaultRowHeight="12.75"/>
  <sheetData>
    <row r="1" spans="1:2">
      <c r="A1">
        <v>13</v>
      </c>
      <c r="B1" t="s">
        <v>246</v>
      </c>
    </row>
    <row r="2" spans="1:2">
      <c r="A2" t="s">
        <v>239</v>
      </c>
    </row>
    <row r="3" spans="1:2">
      <c r="A3" t="s">
        <v>236</v>
      </c>
    </row>
    <row r="4" spans="1:2">
      <c r="A4" t="s">
        <v>240</v>
      </c>
    </row>
    <row r="5" spans="1:2">
      <c r="A5" t="s">
        <v>242</v>
      </c>
    </row>
    <row r="6" spans="1:2">
      <c r="A6" t="s">
        <v>241</v>
      </c>
    </row>
    <row r="7" spans="1:2">
      <c r="A7" t="s">
        <v>232</v>
      </c>
    </row>
    <row r="8" spans="1:2">
      <c r="A8" t="s">
        <v>235</v>
      </c>
    </row>
    <row r="9" spans="1:2">
      <c r="A9" t="s">
        <v>230</v>
      </c>
    </row>
    <row r="10" spans="1:2">
      <c r="A10" t="s">
        <v>244</v>
      </c>
    </row>
    <row r="11" spans="1:2">
      <c r="A11" t="s">
        <v>209</v>
      </c>
    </row>
    <row r="12" spans="1:2">
      <c r="A12" t="s">
        <v>228</v>
      </c>
    </row>
    <row r="13" spans="1:2">
      <c r="A13" t="s">
        <v>247</v>
      </c>
    </row>
    <row r="14" spans="1:2">
      <c r="A14" t="s">
        <v>237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40" zoomScale="90" zoomScaleNormal="90" workbookViewId="0">
      <selection activeCell="D89" sqref="D89"/>
    </sheetView>
  </sheetViews>
  <sheetFormatPr baseColWidth="10" defaultColWidth="11.42578125" defaultRowHeight="11.25"/>
  <cols>
    <col min="1" max="1" width="11.42578125" style="165"/>
    <col min="2" max="2" width="20" style="165" bestFit="1" customWidth="1"/>
    <col min="3" max="16384" width="11.42578125" style="165"/>
  </cols>
  <sheetData>
    <row r="1" spans="2:22">
      <c r="B1" s="119"/>
      <c r="C1" s="119"/>
      <c r="D1" s="119"/>
      <c r="E1" s="119"/>
      <c r="F1" s="119"/>
      <c r="G1" s="119"/>
      <c r="H1" s="119"/>
      <c r="I1" s="119"/>
      <c r="J1" s="119"/>
    </row>
    <row r="2" spans="2:22">
      <c r="B2" s="149" t="s">
        <v>41</v>
      </c>
      <c r="C2" s="119"/>
      <c r="D2" s="119"/>
      <c r="E2" s="119"/>
      <c r="F2" s="119"/>
      <c r="G2" s="119"/>
      <c r="H2" s="119"/>
      <c r="I2" s="119"/>
      <c r="J2" s="119"/>
    </row>
    <row r="3" spans="2:22">
      <c r="B3" s="152"/>
      <c r="C3" s="152"/>
      <c r="D3" s="153"/>
      <c r="E3" s="153" t="s">
        <v>35</v>
      </c>
      <c r="F3" s="348" t="s">
        <v>36</v>
      </c>
      <c r="G3" s="348"/>
      <c r="H3" s="348"/>
      <c r="I3" s="251"/>
      <c r="J3" s="119"/>
    </row>
    <row r="4" spans="2:22">
      <c r="B4" s="155"/>
      <c r="C4" s="155"/>
      <c r="D4" s="156" t="s">
        <v>37</v>
      </c>
      <c r="E4" s="156" t="s">
        <v>38</v>
      </c>
      <c r="F4" s="156" t="s">
        <v>21</v>
      </c>
      <c r="G4" s="156" t="s">
        <v>39</v>
      </c>
      <c r="H4" s="156" t="s">
        <v>68</v>
      </c>
      <c r="I4" s="156" t="s">
        <v>40</v>
      </c>
      <c r="J4" s="119"/>
    </row>
    <row r="5" spans="2:22">
      <c r="B5" s="299">
        <v>2017</v>
      </c>
      <c r="C5" s="161" t="s">
        <v>94</v>
      </c>
      <c r="D5" s="157">
        <v>6352.3982489999999</v>
      </c>
      <c r="E5" s="158">
        <v>18538.071</v>
      </c>
      <c r="F5" s="158">
        <v>13008.613363950004</v>
      </c>
      <c r="G5" s="158">
        <v>5403.4139422499993</v>
      </c>
      <c r="H5" s="158">
        <v>10035.589788045898</v>
      </c>
      <c r="I5" s="256">
        <f t="shared" ref="I5:I52" si="0">D5/E5*100</f>
        <v>34.266770523211392</v>
      </c>
      <c r="J5" s="119"/>
      <c r="P5" s="297"/>
      <c r="Q5" s="297"/>
      <c r="R5" s="297"/>
      <c r="S5" s="297"/>
      <c r="T5" s="297"/>
      <c r="U5" s="297"/>
      <c r="V5" s="297"/>
    </row>
    <row r="6" spans="2:22">
      <c r="B6" s="301"/>
      <c r="C6" s="161" t="s">
        <v>86</v>
      </c>
      <c r="D6" s="157">
        <v>8201.5317109999996</v>
      </c>
      <c r="E6" s="158">
        <v>18538.071</v>
      </c>
      <c r="F6" s="158">
        <v>13281.664873649997</v>
      </c>
      <c r="G6" s="158">
        <v>5478.8528454999978</v>
      </c>
      <c r="H6" s="158">
        <v>10426.681519987935</v>
      </c>
      <c r="I6" s="256">
        <f t="shared" si="0"/>
        <v>44.241559496670391</v>
      </c>
      <c r="J6" s="119"/>
      <c r="P6" s="297"/>
      <c r="Q6" s="297"/>
      <c r="R6" s="297"/>
      <c r="S6" s="297"/>
      <c r="T6" s="297"/>
    </row>
    <row r="7" spans="2:22">
      <c r="B7" s="301"/>
      <c r="C7" s="161" t="s">
        <v>87</v>
      </c>
      <c r="D7" s="157">
        <v>8171.2895820000003</v>
      </c>
      <c r="E7" s="158">
        <v>18538.071</v>
      </c>
      <c r="F7" s="158">
        <v>13801.362023799997</v>
      </c>
      <c r="G7" s="158">
        <v>5631.5576993999994</v>
      </c>
      <c r="H7" s="158">
        <v>10863.831882220529</v>
      </c>
      <c r="I7" s="256">
        <f t="shared" si="0"/>
        <v>44.078424243816954</v>
      </c>
      <c r="J7" s="119"/>
      <c r="P7" s="297"/>
      <c r="Q7" s="297"/>
      <c r="R7" s="297"/>
      <c r="S7" s="297"/>
      <c r="T7" s="297"/>
    </row>
    <row r="8" spans="2:22">
      <c r="B8" s="301"/>
      <c r="C8" s="161" t="s">
        <v>88</v>
      </c>
      <c r="D8" s="157">
        <v>8002.4783509999997</v>
      </c>
      <c r="E8" s="158">
        <v>18538.071</v>
      </c>
      <c r="F8" s="158">
        <v>13963.73314565</v>
      </c>
      <c r="G8" s="158">
        <v>6949.440314999998</v>
      </c>
      <c r="H8" s="158">
        <v>11392.93876443344</v>
      </c>
      <c r="I8" s="256">
        <f t="shared" si="0"/>
        <v>43.167805059113221</v>
      </c>
      <c r="J8" s="119"/>
      <c r="P8" s="297"/>
      <c r="Q8" s="297"/>
      <c r="R8" s="297"/>
      <c r="S8" s="297"/>
      <c r="T8" s="297"/>
    </row>
    <row r="9" spans="2:22">
      <c r="B9" s="301"/>
      <c r="C9" s="161" t="s">
        <v>87</v>
      </c>
      <c r="D9" s="157">
        <v>8068.3502509999998</v>
      </c>
      <c r="E9" s="158">
        <v>18538.071</v>
      </c>
      <c r="F9" s="158">
        <v>14131.526504949998</v>
      </c>
      <c r="G9" s="158">
        <v>6888.8467169999985</v>
      </c>
      <c r="H9" s="158">
        <v>11608.769747974862</v>
      </c>
      <c r="I9" s="256">
        <f t="shared" si="0"/>
        <v>43.523138146358377</v>
      </c>
      <c r="J9" s="119"/>
      <c r="P9" s="297"/>
      <c r="Q9" s="297"/>
      <c r="R9" s="297"/>
      <c r="S9" s="297"/>
      <c r="T9" s="297"/>
    </row>
    <row r="10" spans="2:22">
      <c r="B10" s="301"/>
      <c r="C10" s="161" t="s">
        <v>89</v>
      </c>
      <c r="D10" s="157">
        <v>7504.6737370000001</v>
      </c>
      <c r="E10" s="158">
        <v>18538.071</v>
      </c>
      <c r="F10" s="158">
        <v>13746.674503350001</v>
      </c>
      <c r="G10" s="158">
        <v>6417.2284330989414</v>
      </c>
      <c r="H10" s="158">
        <v>11080.852725649473</v>
      </c>
      <c r="I10" s="256">
        <f t="shared" si="0"/>
        <v>40.482495384767923</v>
      </c>
      <c r="J10" s="119"/>
      <c r="P10" s="297"/>
      <c r="Q10" s="297"/>
      <c r="R10" s="297"/>
      <c r="S10" s="297"/>
      <c r="T10" s="297"/>
    </row>
    <row r="11" spans="2:22">
      <c r="B11" s="301"/>
      <c r="C11" s="161" t="s">
        <v>89</v>
      </c>
      <c r="D11" s="157">
        <v>6868.7604899999997</v>
      </c>
      <c r="E11" s="158">
        <v>18538.071</v>
      </c>
      <c r="F11" s="158">
        <v>12256.393885149993</v>
      </c>
      <c r="G11" s="158">
        <v>5554.6724485673794</v>
      </c>
      <c r="H11" s="158">
        <v>9976.6060623836893</v>
      </c>
      <c r="I11" s="256">
        <f t="shared" si="0"/>
        <v>37.05218568857569</v>
      </c>
      <c r="J11" s="119"/>
      <c r="P11" s="297"/>
      <c r="Q11" s="297"/>
      <c r="R11" s="297"/>
      <c r="S11" s="297"/>
      <c r="T11" s="297"/>
    </row>
    <row r="12" spans="2:22">
      <c r="B12" s="301"/>
      <c r="C12" s="161" t="s">
        <v>88</v>
      </c>
      <c r="D12" s="157">
        <v>6036.3040380000002</v>
      </c>
      <c r="E12" s="158">
        <v>18538.071</v>
      </c>
      <c r="F12" s="158">
        <v>10936.14513655</v>
      </c>
      <c r="G12" s="158">
        <v>4856.8921119160632</v>
      </c>
      <c r="H12" s="158">
        <v>8897.0981413080317</v>
      </c>
      <c r="I12" s="256">
        <f t="shared" si="0"/>
        <v>32.561662095263308</v>
      </c>
      <c r="J12" s="119"/>
      <c r="P12" s="297"/>
      <c r="Q12" s="297"/>
      <c r="R12" s="297"/>
      <c r="S12" s="297"/>
      <c r="T12" s="297"/>
    </row>
    <row r="13" spans="2:22">
      <c r="B13" s="301"/>
      <c r="C13" s="161" t="s">
        <v>90</v>
      </c>
      <c r="D13" s="157">
        <v>5135.5098319999997</v>
      </c>
      <c r="E13" s="158">
        <v>18538.071</v>
      </c>
      <c r="F13" s="158">
        <v>10089.784508599998</v>
      </c>
      <c r="G13" s="158">
        <v>4619.6147315773833</v>
      </c>
      <c r="H13" s="158">
        <v>8164.2557859386925</v>
      </c>
      <c r="I13" s="256">
        <f t="shared" si="0"/>
        <v>27.702503847352833</v>
      </c>
      <c r="J13" s="119"/>
      <c r="P13" s="297"/>
      <c r="Q13" s="297"/>
      <c r="R13" s="297"/>
      <c r="S13" s="297"/>
      <c r="T13" s="297"/>
    </row>
    <row r="14" spans="2:22">
      <c r="B14" s="301"/>
      <c r="C14" s="162" t="s">
        <v>91</v>
      </c>
      <c r="D14" s="157">
        <v>4708.038114</v>
      </c>
      <c r="E14" s="158">
        <v>18538.071</v>
      </c>
      <c r="F14" s="158">
        <v>9703.2406173500003</v>
      </c>
      <c r="G14" s="158">
        <v>4371.5985061624033</v>
      </c>
      <c r="H14" s="158">
        <v>8040.776914731201</v>
      </c>
      <c r="I14" s="256">
        <f t="shared" si="0"/>
        <v>25.396591231094106</v>
      </c>
      <c r="J14" s="119"/>
      <c r="P14" s="297"/>
      <c r="Q14" s="297"/>
      <c r="R14" s="297"/>
      <c r="S14" s="297"/>
      <c r="T14" s="297"/>
    </row>
    <row r="15" spans="2:22">
      <c r="B15" s="301"/>
      <c r="C15" s="161" t="s">
        <v>92</v>
      </c>
      <c r="D15" s="157">
        <v>4403.8701209999999</v>
      </c>
      <c r="E15" s="158">
        <v>18538.071</v>
      </c>
      <c r="F15" s="158">
        <v>11121.649687099996</v>
      </c>
      <c r="G15" s="158">
        <v>4788.3119296000004</v>
      </c>
      <c r="H15" s="158">
        <v>8517.8723477986205</v>
      </c>
      <c r="I15" s="256">
        <f t="shared" si="0"/>
        <v>23.755816454689381</v>
      </c>
      <c r="J15" s="119"/>
      <c r="P15" s="297"/>
      <c r="Q15" s="297"/>
      <c r="R15" s="297"/>
      <c r="S15" s="297"/>
      <c r="T15" s="297"/>
    </row>
    <row r="16" spans="2:22">
      <c r="B16" s="301"/>
      <c r="C16" s="161" t="s">
        <v>93</v>
      </c>
      <c r="D16" s="157">
        <v>4883.4119860000001</v>
      </c>
      <c r="E16" s="158">
        <v>18538.071</v>
      </c>
      <c r="F16" s="158">
        <v>13517.033399999991</v>
      </c>
      <c r="G16" s="158">
        <v>5336.3411438999974</v>
      </c>
      <c r="H16" s="158">
        <v>9077.0402756681742</v>
      </c>
      <c r="I16" s="256">
        <f t="shared" si="0"/>
        <v>26.342611299740948</v>
      </c>
      <c r="J16" s="119"/>
      <c r="P16" s="297"/>
      <c r="Q16" s="297"/>
      <c r="R16" s="297"/>
      <c r="S16" s="297"/>
      <c r="T16" s="297"/>
    </row>
    <row r="17" spans="2:20">
      <c r="B17" s="299">
        <v>2018</v>
      </c>
      <c r="C17" s="161" t="s">
        <v>94</v>
      </c>
      <c r="D17" s="157">
        <v>5398.2220399999997</v>
      </c>
      <c r="E17" s="158">
        <v>18538.071</v>
      </c>
      <c r="F17" s="158">
        <v>13015.303654600004</v>
      </c>
      <c r="G17" s="158">
        <v>5440.7395106999993</v>
      </c>
      <c r="H17" s="158">
        <v>9768.7862404958978</v>
      </c>
      <c r="I17" s="256">
        <f t="shared" si="0"/>
        <v>29.11965349577094</v>
      </c>
      <c r="J17" s="119"/>
      <c r="P17" s="297"/>
      <c r="Q17" s="297"/>
      <c r="R17" s="297"/>
      <c r="S17" s="297"/>
      <c r="T17" s="297"/>
    </row>
    <row r="18" spans="2:20">
      <c r="B18" s="301"/>
      <c r="C18" s="161" t="s">
        <v>86</v>
      </c>
      <c r="D18" s="157">
        <v>5616.4103269999996</v>
      </c>
      <c r="E18" s="158">
        <v>18538.071</v>
      </c>
      <c r="F18" s="158">
        <v>13247.693941849997</v>
      </c>
      <c r="G18" s="158">
        <v>5524.0953545999973</v>
      </c>
      <c r="H18" s="158">
        <v>10246.239431537933</v>
      </c>
      <c r="I18" s="256">
        <f t="shared" si="0"/>
        <v>30.296627556340678</v>
      </c>
      <c r="J18" s="119"/>
      <c r="P18" s="297"/>
      <c r="Q18" s="297"/>
      <c r="R18" s="297"/>
      <c r="S18" s="297"/>
      <c r="T18" s="297"/>
    </row>
    <row r="19" spans="2:20">
      <c r="B19" s="301"/>
      <c r="C19" s="161" t="s">
        <v>87</v>
      </c>
      <c r="D19" s="157">
        <v>9699.4711430000007</v>
      </c>
      <c r="E19" s="158">
        <v>18538.071</v>
      </c>
      <c r="F19" s="158">
        <v>13745.993583199999</v>
      </c>
      <c r="G19" s="158">
        <v>5695.3628017499996</v>
      </c>
      <c r="H19" s="158">
        <v>10704.10729132053</v>
      </c>
      <c r="I19" s="256">
        <f t="shared" si="0"/>
        <v>52.321900930253207</v>
      </c>
      <c r="J19" s="119"/>
      <c r="P19" s="297"/>
      <c r="Q19" s="297"/>
      <c r="R19" s="297"/>
      <c r="S19" s="297"/>
      <c r="T19" s="297"/>
    </row>
    <row r="20" spans="2:20">
      <c r="B20" s="301"/>
      <c r="C20" s="161" t="s">
        <v>88</v>
      </c>
      <c r="D20" s="157">
        <v>11897.527653000001</v>
      </c>
      <c r="E20" s="158">
        <v>18538.071</v>
      </c>
      <c r="F20" s="158">
        <v>13908.518133250001</v>
      </c>
      <c r="G20" s="158">
        <v>7002.3252599999996</v>
      </c>
      <c r="H20" s="158">
        <v>11260.627811983439</v>
      </c>
      <c r="I20" s="256">
        <f t="shared" si="0"/>
        <v>64.178887075143905</v>
      </c>
      <c r="J20" s="119"/>
      <c r="P20" s="297"/>
      <c r="Q20" s="297"/>
      <c r="R20" s="297"/>
      <c r="S20" s="297"/>
      <c r="T20" s="297"/>
    </row>
    <row r="21" spans="2:20">
      <c r="B21" s="301"/>
      <c r="C21" s="161" t="s">
        <v>87</v>
      </c>
      <c r="D21" s="157">
        <v>12095.723247</v>
      </c>
      <c r="E21" s="158">
        <v>18538.071</v>
      </c>
      <c r="F21" s="158">
        <v>14103.721296199999</v>
      </c>
      <c r="G21" s="158">
        <v>6966.112517999999</v>
      </c>
      <c r="H21" s="158">
        <v>11479.752390524864</v>
      </c>
      <c r="I21" s="256">
        <f t="shared" si="0"/>
        <v>65.248014461698844</v>
      </c>
      <c r="J21" s="119"/>
      <c r="P21" s="297"/>
      <c r="Q21" s="297"/>
      <c r="R21" s="297"/>
      <c r="S21" s="297"/>
      <c r="T21" s="297"/>
    </row>
    <row r="22" spans="2:20">
      <c r="B22" s="301"/>
      <c r="C22" s="161" t="s">
        <v>89</v>
      </c>
      <c r="D22" s="157">
        <v>11876.304858</v>
      </c>
      <c r="E22" s="158">
        <v>18538.071</v>
      </c>
      <c r="F22" s="158">
        <v>13746.699392400003</v>
      </c>
      <c r="G22" s="158">
        <v>6477.8415149489419</v>
      </c>
      <c r="H22" s="158">
        <v>10910.385488499473</v>
      </c>
      <c r="I22" s="256">
        <f t="shared" si="0"/>
        <v>64.064404856362884</v>
      </c>
      <c r="J22" s="119"/>
      <c r="P22" s="297"/>
      <c r="Q22" s="297"/>
      <c r="R22" s="297"/>
      <c r="S22" s="297"/>
      <c r="T22" s="297"/>
    </row>
    <row r="23" spans="2:20">
      <c r="B23" s="301"/>
      <c r="C23" s="161" t="s">
        <v>89</v>
      </c>
      <c r="D23" s="157">
        <v>10246.502908</v>
      </c>
      <c r="E23" s="158">
        <v>18538.071</v>
      </c>
      <c r="F23" s="158">
        <v>12258.390641599992</v>
      </c>
      <c r="G23" s="158">
        <v>5616.0530228510679</v>
      </c>
      <c r="H23" s="158">
        <v>9805.5363168836884</v>
      </c>
      <c r="I23" s="256">
        <f t="shared" si="0"/>
        <v>55.272756847246953</v>
      </c>
      <c r="J23" s="119"/>
      <c r="P23" s="297"/>
      <c r="Q23" s="297"/>
      <c r="R23" s="297"/>
      <c r="S23" s="297"/>
      <c r="T23" s="297"/>
    </row>
    <row r="24" spans="2:20">
      <c r="B24" s="301"/>
      <c r="C24" s="161" t="s">
        <v>88</v>
      </c>
      <c r="D24" s="157">
        <v>9315.071518714738</v>
      </c>
      <c r="E24" s="158">
        <v>18538.071</v>
      </c>
      <c r="F24" s="158">
        <v>10935.424107500001</v>
      </c>
      <c r="G24" s="158">
        <v>4909.997417874094</v>
      </c>
      <c r="H24" s="158">
        <v>8722.05248320803</v>
      </c>
      <c r="I24" s="256">
        <f t="shared" si="0"/>
        <v>50.24833230337039</v>
      </c>
      <c r="J24" s="119"/>
      <c r="P24" s="297"/>
      <c r="Q24" s="297"/>
      <c r="R24" s="297"/>
      <c r="S24" s="297"/>
      <c r="T24" s="297"/>
    </row>
    <row r="25" spans="2:20">
      <c r="B25" s="301"/>
      <c r="C25" s="161" t="s">
        <v>90</v>
      </c>
      <c r="D25" s="157">
        <v>8192.9385726801847</v>
      </c>
      <c r="E25" s="158">
        <v>18538.071</v>
      </c>
      <c r="F25" s="158">
        <v>10117.515214899999</v>
      </c>
      <c r="G25" s="158">
        <v>4649.6124081773833</v>
      </c>
      <c r="H25" s="158">
        <v>7980.0246175386947</v>
      </c>
      <c r="I25" s="256">
        <f t="shared" si="0"/>
        <v>44.195205491877687</v>
      </c>
      <c r="J25" s="119"/>
      <c r="P25" s="297"/>
      <c r="Q25" s="297"/>
      <c r="R25" s="297"/>
      <c r="S25" s="297"/>
      <c r="T25" s="297"/>
    </row>
    <row r="26" spans="2:20">
      <c r="B26" s="301"/>
      <c r="C26" s="162" t="s">
        <v>91</v>
      </c>
      <c r="D26" s="157">
        <v>7628.6385403221575</v>
      </c>
      <c r="E26" s="158">
        <v>18538.071</v>
      </c>
      <c r="F26" s="158">
        <v>9737.2663309</v>
      </c>
      <c r="G26" s="158">
        <v>4395.4606318624037</v>
      </c>
      <c r="H26" s="158">
        <v>7851.3065504312008</v>
      </c>
      <c r="I26" s="256">
        <f t="shared" si="0"/>
        <v>41.151199282396519</v>
      </c>
      <c r="J26" s="119"/>
      <c r="P26" s="297"/>
      <c r="Q26" s="297"/>
      <c r="R26" s="297"/>
      <c r="S26" s="297"/>
      <c r="T26" s="297"/>
    </row>
    <row r="27" spans="2:20">
      <c r="B27" s="301"/>
      <c r="C27" s="162" t="s">
        <v>92</v>
      </c>
      <c r="D27" s="157">
        <v>8008.9796223264248</v>
      </c>
      <c r="E27" s="158">
        <v>18538.071</v>
      </c>
      <c r="F27" s="158">
        <v>11146.955049999997</v>
      </c>
      <c r="G27" s="158">
        <v>4794.2765906499999</v>
      </c>
      <c r="H27" s="158">
        <v>8185.911173848619</v>
      </c>
      <c r="I27" s="256">
        <f t="shared" si="0"/>
        <v>43.202874896349378</v>
      </c>
      <c r="J27" s="119"/>
      <c r="P27" s="297"/>
      <c r="Q27" s="297"/>
      <c r="R27" s="297"/>
      <c r="S27" s="297"/>
      <c r="T27" s="297"/>
    </row>
    <row r="28" spans="2:20">
      <c r="B28" s="301"/>
      <c r="C28" s="162" t="s">
        <v>93</v>
      </c>
      <c r="D28" s="157">
        <v>8172.2198288975096</v>
      </c>
      <c r="E28" s="158">
        <v>18538.071</v>
      </c>
      <c r="F28" s="158">
        <v>13456.058434449991</v>
      </c>
      <c r="G28" s="158">
        <v>5331.3250531999984</v>
      </c>
      <c r="H28" s="158">
        <v>8645.3592049681756</v>
      </c>
      <c r="I28" s="256">
        <f t="shared" si="0"/>
        <v>44.083442278851507</v>
      </c>
      <c r="J28" s="119"/>
      <c r="P28" s="297"/>
      <c r="Q28" s="297"/>
      <c r="R28" s="297"/>
      <c r="S28" s="297"/>
      <c r="T28" s="297"/>
    </row>
    <row r="29" spans="2:20">
      <c r="B29" s="299">
        <v>2019</v>
      </c>
      <c r="C29" s="162" t="s">
        <v>94</v>
      </c>
      <c r="D29" s="157">
        <v>8071.161100088786</v>
      </c>
      <c r="E29" s="158">
        <v>18538.071</v>
      </c>
      <c r="F29" s="158">
        <v>13020.290870750003</v>
      </c>
      <c r="G29" s="158">
        <v>5449.8113076999989</v>
      </c>
      <c r="H29" s="158">
        <v>9388.9296029958969</v>
      </c>
      <c r="I29" s="256">
        <f t="shared" si="0"/>
        <v>43.538300722274641</v>
      </c>
      <c r="J29" s="119"/>
      <c r="P29" s="297"/>
      <c r="Q29" s="297"/>
      <c r="R29" s="297"/>
      <c r="S29" s="297"/>
      <c r="T29" s="297"/>
    </row>
    <row r="30" spans="2:20">
      <c r="B30" s="301"/>
      <c r="C30" s="162" t="s">
        <v>86</v>
      </c>
      <c r="D30" s="157">
        <v>8866.4553178437</v>
      </c>
      <c r="E30" s="158">
        <v>18538.071</v>
      </c>
      <c r="F30" s="158">
        <v>13213.723010049996</v>
      </c>
      <c r="G30" s="158">
        <v>5542.2838559499978</v>
      </c>
      <c r="H30" s="158">
        <v>9889.1240943879329</v>
      </c>
      <c r="I30" s="256">
        <f t="shared" si="0"/>
        <v>47.828359907801087</v>
      </c>
      <c r="J30" s="119"/>
      <c r="P30" s="297"/>
      <c r="Q30" s="297"/>
      <c r="R30" s="297"/>
      <c r="S30" s="297"/>
      <c r="T30" s="297"/>
    </row>
    <row r="31" spans="2:20">
      <c r="B31" s="301"/>
      <c r="C31" s="162" t="s">
        <v>87</v>
      </c>
      <c r="D31" s="157">
        <v>8992.1477604144093</v>
      </c>
      <c r="E31" s="158">
        <v>18538.071</v>
      </c>
      <c r="F31" s="158">
        <v>13690.625142599998</v>
      </c>
      <c r="G31" s="158">
        <v>5759.1679040999989</v>
      </c>
      <c r="H31" s="158">
        <v>10570.14772097053</v>
      </c>
      <c r="I31" s="256">
        <f t="shared" si="0"/>
        <v>48.506383217619621</v>
      </c>
      <c r="J31" s="119"/>
      <c r="P31" s="297"/>
      <c r="Q31" s="297"/>
      <c r="R31" s="297"/>
      <c r="S31" s="297"/>
      <c r="T31" s="297"/>
    </row>
    <row r="32" spans="2:20">
      <c r="B32" s="301"/>
      <c r="C32" s="162" t="s">
        <v>88</v>
      </c>
      <c r="D32" s="157">
        <v>9541.0680132165635</v>
      </c>
      <c r="E32" s="158">
        <v>18538.071</v>
      </c>
      <c r="F32" s="158">
        <v>13853.30312085</v>
      </c>
      <c r="G32" s="158">
        <v>7055.2102049999985</v>
      </c>
      <c r="H32" s="158">
        <v>11183.148309133439</v>
      </c>
      <c r="I32" s="256">
        <f t="shared" si="0"/>
        <v>51.467426212881392</v>
      </c>
      <c r="J32" s="119"/>
      <c r="P32" s="297"/>
      <c r="Q32" s="297"/>
      <c r="R32" s="297"/>
      <c r="S32" s="297"/>
      <c r="T32" s="297"/>
    </row>
    <row r="33" spans="2:20">
      <c r="B33" s="301"/>
      <c r="C33" s="162" t="s">
        <v>87</v>
      </c>
      <c r="D33" s="157">
        <v>9882.00640542582</v>
      </c>
      <c r="E33" s="158">
        <v>18538.071</v>
      </c>
      <c r="F33" s="158">
        <v>14075.916087449999</v>
      </c>
      <c r="G33" s="158">
        <v>7043.3783189999976</v>
      </c>
      <c r="H33" s="158">
        <v>11397.034267874862</v>
      </c>
      <c r="I33" s="256">
        <f t="shared" si="0"/>
        <v>53.306551719571146</v>
      </c>
      <c r="J33" s="119"/>
      <c r="P33" s="297"/>
      <c r="Q33" s="297"/>
      <c r="R33" s="297"/>
      <c r="S33" s="297"/>
      <c r="T33" s="297"/>
    </row>
    <row r="34" spans="2:20">
      <c r="B34" s="301"/>
      <c r="C34" s="162" t="s">
        <v>89</v>
      </c>
      <c r="D34" s="157">
        <v>9327.57464738616</v>
      </c>
      <c r="E34" s="158">
        <v>18538.071</v>
      </c>
      <c r="F34" s="158">
        <v>13746.724281450002</v>
      </c>
      <c r="G34" s="158">
        <v>6538.4545967989416</v>
      </c>
      <c r="H34" s="158">
        <v>10842.690741399472</v>
      </c>
      <c r="I34" s="256">
        <f t="shared" si="0"/>
        <v>50.315777986750398</v>
      </c>
      <c r="J34" s="119"/>
      <c r="P34" s="297"/>
      <c r="Q34" s="297"/>
      <c r="R34" s="297"/>
      <c r="S34" s="297"/>
      <c r="T34" s="297"/>
    </row>
    <row r="35" spans="2:20">
      <c r="B35" s="301"/>
      <c r="C35" s="162" t="s">
        <v>89</v>
      </c>
      <c r="D35" s="157">
        <v>8160.8349135743301</v>
      </c>
      <c r="E35" s="158">
        <v>18538.071</v>
      </c>
      <c r="F35" s="158">
        <v>12260.387398049996</v>
      </c>
      <c r="G35" s="158">
        <v>5677.4335971347564</v>
      </c>
      <c r="H35" s="158">
        <v>9738.8161322836859</v>
      </c>
      <c r="I35" s="256">
        <f t="shared" si="0"/>
        <v>44.022028578778936</v>
      </c>
      <c r="J35" s="119"/>
      <c r="P35" s="297"/>
      <c r="Q35" s="297"/>
      <c r="R35" s="297"/>
      <c r="S35" s="297"/>
      <c r="T35" s="297"/>
    </row>
    <row r="36" spans="2:20">
      <c r="B36" s="301"/>
      <c r="C36" s="162" t="s">
        <v>88</v>
      </c>
      <c r="D36" s="157">
        <v>7263.6708853984701</v>
      </c>
      <c r="E36" s="158">
        <v>18538.071</v>
      </c>
      <c r="F36" s="158">
        <v>10934.703078450004</v>
      </c>
      <c r="G36" s="158">
        <v>4963.102723832124</v>
      </c>
      <c r="H36" s="158">
        <v>8674.1946441437685</v>
      </c>
      <c r="I36" s="256">
        <f t="shared" si="0"/>
        <v>39.182452615476933</v>
      </c>
      <c r="J36" s="119"/>
      <c r="P36" s="297"/>
      <c r="Q36" s="297"/>
      <c r="R36" s="297"/>
      <c r="S36" s="297"/>
      <c r="T36" s="297"/>
    </row>
    <row r="37" spans="2:20">
      <c r="B37" s="301"/>
      <c r="C37" s="162" t="s">
        <v>90</v>
      </c>
      <c r="D37" s="157">
        <v>6466.33274064748</v>
      </c>
      <c r="E37" s="158">
        <v>18538.071</v>
      </c>
      <c r="F37" s="158">
        <v>10145.245921199999</v>
      </c>
      <c r="G37" s="158">
        <v>4679.6100847773832</v>
      </c>
      <c r="H37" s="158">
        <v>7914.693031672703</v>
      </c>
      <c r="I37" s="256">
        <f t="shared" si="0"/>
        <v>34.881367865337658</v>
      </c>
      <c r="J37" s="119"/>
      <c r="P37" s="297"/>
      <c r="Q37" s="297"/>
      <c r="R37" s="297"/>
      <c r="S37" s="297"/>
      <c r="T37" s="297"/>
    </row>
    <row r="38" spans="2:20">
      <c r="B38" s="301"/>
      <c r="C38" s="162" t="s">
        <v>91</v>
      </c>
      <c r="D38" s="157">
        <v>6358.0428308198098</v>
      </c>
      <c r="E38" s="158">
        <v>18538.071</v>
      </c>
      <c r="F38" s="158">
        <v>9771.2920444499996</v>
      </c>
      <c r="G38" s="158">
        <v>4419.3227575624023</v>
      </c>
      <c r="H38" s="158">
        <v>7790.0287429473083</v>
      </c>
      <c r="I38" s="256">
        <f t="shared" si="0"/>
        <v>34.29721911637845</v>
      </c>
      <c r="J38" s="119"/>
      <c r="P38" s="297"/>
      <c r="Q38" s="297"/>
      <c r="R38" s="297"/>
      <c r="S38" s="297"/>
      <c r="T38" s="297"/>
    </row>
    <row r="39" spans="2:20">
      <c r="B39" s="301"/>
      <c r="C39" s="162" t="s">
        <v>92</v>
      </c>
      <c r="D39" s="157">
        <v>7808.1870513850999</v>
      </c>
      <c r="E39" s="158">
        <v>18538.071</v>
      </c>
      <c r="F39" s="158">
        <v>11172.260412899997</v>
      </c>
      <c r="G39" s="158">
        <v>4800.2412517000002</v>
      </c>
      <c r="H39" s="158">
        <v>8146.8772984649422</v>
      </c>
      <c r="I39" s="256">
        <f t="shared" si="0"/>
        <v>42.119738625367766</v>
      </c>
      <c r="J39" s="119"/>
      <c r="P39" s="297"/>
      <c r="Q39" s="297"/>
      <c r="R39" s="297"/>
      <c r="S39" s="297"/>
      <c r="T39" s="297"/>
    </row>
    <row r="40" spans="2:20">
      <c r="B40" s="301"/>
      <c r="C40" s="162" t="s">
        <v>93</v>
      </c>
      <c r="D40" s="157">
        <v>9451.9329261671392</v>
      </c>
      <c r="E40" s="158">
        <v>18538.071</v>
      </c>
      <c r="F40" s="158">
        <v>13395.083468899993</v>
      </c>
      <c r="G40" s="158">
        <v>5326.3089624999975</v>
      </c>
      <c r="H40" s="158">
        <v>8613.6806204130498</v>
      </c>
      <c r="I40" s="256">
        <f t="shared" si="0"/>
        <v>50.986604410821059</v>
      </c>
      <c r="J40" s="119"/>
      <c r="P40" s="297"/>
      <c r="Q40" s="297"/>
      <c r="R40" s="297"/>
      <c r="S40" s="297"/>
      <c r="T40" s="297"/>
    </row>
    <row r="41" spans="2:20">
      <c r="B41" s="299">
        <v>2020</v>
      </c>
      <c r="C41" s="162" t="s">
        <v>94</v>
      </c>
      <c r="D41" s="157">
        <v>10203.8438416341</v>
      </c>
      <c r="E41" s="158">
        <v>18538.071</v>
      </c>
      <c r="F41" s="158">
        <v>13025.278086900002</v>
      </c>
      <c r="G41" s="158">
        <v>5458.8831046999985</v>
      </c>
      <c r="H41" s="158">
        <v>9322.7080025003343</v>
      </c>
      <c r="I41" s="256">
        <f t="shared" si="0"/>
        <v>55.042640853161586</v>
      </c>
      <c r="J41" s="119"/>
      <c r="P41" s="297"/>
      <c r="Q41" s="297"/>
      <c r="R41" s="297"/>
      <c r="S41" s="297"/>
      <c r="T41" s="297"/>
    </row>
    <row r="42" spans="2:20">
      <c r="B42" s="301"/>
      <c r="C42" s="162" t="s">
        <v>86</v>
      </c>
      <c r="D42" s="157">
        <v>10293.721620606701</v>
      </c>
      <c r="E42" s="158">
        <v>18538.071</v>
      </c>
      <c r="F42" s="158">
        <v>13282.205454749997</v>
      </c>
      <c r="G42" s="158">
        <v>5560.4723572999983</v>
      </c>
      <c r="H42" s="158">
        <v>9851.4627672801198</v>
      </c>
      <c r="I42" s="256">
        <f t="shared" si="0"/>
        <v>55.52746896161257</v>
      </c>
      <c r="J42" s="119"/>
      <c r="P42" s="297"/>
      <c r="Q42" s="297"/>
      <c r="R42" s="297"/>
      <c r="S42" s="297"/>
      <c r="T42" s="297"/>
    </row>
    <row r="43" spans="2:20">
      <c r="B43" s="301"/>
      <c r="C43" s="162" t="s">
        <v>87</v>
      </c>
      <c r="D43" s="157">
        <v>10922.4629058602</v>
      </c>
      <c r="E43" s="158">
        <v>18538.071</v>
      </c>
      <c r="F43" s="158">
        <v>13779.121679499998</v>
      </c>
      <c r="G43" s="158">
        <v>5822.9730064499981</v>
      </c>
      <c r="H43" s="158">
        <v>10516.451776491249</v>
      </c>
      <c r="I43" s="256">
        <f t="shared" si="0"/>
        <v>58.919090912210883</v>
      </c>
      <c r="J43" s="119"/>
      <c r="P43" s="297"/>
      <c r="Q43" s="297"/>
      <c r="R43" s="297"/>
      <c r="S43" s="297"/>
      <c r="T43" s="297"/>
    </row>
    <row r="44" spans="2:20">
      <c r="B44" s="301"/>
      <c r="C44" s="162" t="s">
        <v>88</v>
      </c>
      <c r="D44" s="157">
        <v>12482.965359777099</v>
      </c>
      <c r="E44" s="158">
        <v>18538.071</v>
      </c>
      <c r="F44" s="158">
        <v>13901.975652950001</v>
      </c>
      <c r="G44" s="158">
        <v>7108.0951499999992</v>
      </c>
      <c r="H44" s="158">
        <v>11159.497806794267</v>
      </c>
      <c r="I44" s="256">
        <f t="shared" si="0"/>
        <v>67.336916337072509</v>
      </c>
      <c r="J44" s="119"/>
      <c r="P44" s="297"/>
      <c r="Q44" s="297"/>
      <c r="R44" s="297"/>
      <c r="S44" s="297"/>
      <c r="T44" s="297"/>
    </row>
    <row r="45" spans="2:20">
      <c r="B45" s="301"/>
      <c r="C45" s="162" t="s">
        <v>87</v>
      </c>
      <c r="D45" s="157">
        <v>12968.344471210001</v>
      </c>
      <c r="E45" s="158">
        <v>18538.071</v>
      </c>
      <c r="F45" s="158">
        <v>14115.337503700002</v>
      </c>
      <c r="G45" s="158">
        <v>7120.6441199999972</v>
      </c>
      <c r="H45" s="158">
        <v>11373.399940146151</v>
      </c>
      <c r="I45" s="256">
        <f t="shared" si="0"/>
        <v>69.955199066882429</v>
      </c>
      <c r="J45" s="119"/>
      <c r="P45" s="297"/>
      <c r="Q45" s="297"/>
      <c r="R45" s="297"/>
      <c r="S45" s="297"/>
      <c r="T45" s="297"/>
    </row>
    <row r="46" spans="2:20">
      <c r="B46" s="301"/>
      <c r="C46" s="162" t="s">
        <v>89</v>
      </c>
      <c r="D46" s="157">
        <v>12284.2351167291</v>
      </c>
      <c r="E46" s="158">
        <v>18538.071</v>
      </c>
      <c r="F46" s="158">
        <v>13804.115890500001</v>
      </c>
      <c r="G46" s="158">
        <v>6599.0676786489421</v>
      </c>
      <c r="H46" s="158">
        <v>10842.247789768779</v>
      </c>
      <c r="I46" s="256">
        <f t="shared" si="0"/>
        <v>66.26490489074672</v>
      </c>
      <c r="J46" s="119"/>
      <c r="P46" s="297"/>
      <c r="Q46" s="297"/>
      <c r="R46" s="297"/>
      <c r="S46" s="297"/>
      <c r="T46" s="297"/>
    </row>
    <row r="47" spans="2:20">
      <c r="B47" s="301"/>
      <c r="C47" s="162" t="s">
        <v>89</v>
      </c>
      <c r="D47" s="157">
        <v>11078.2673362971</v>
      </c>
      <c r="E47" s="158">
        <v>18538.071</v>
      </c>
      <c r="F47" s="158">
        <v>12335.885264499995</v>
      </c>
      <c r="G47" s="158">
        <v>5738.8141714184449</v>
      </c>
      <c r="H47" s="158">
        <v>9747.2628189624047</v>
      </c>
      <c r="I47" s="256">
        <f t="shared" si="0"/>
        <v>59.75954745397781</v>
      </c>
      <c r="J47" s="119"/>
      <c r="P47" s="297"/>
      <c r="Q47" s="297"/>
      <c r="R47" s="297"/>
      <c r="S47" s="297"/>
      <c r="T47" s="297"/>
    </row>
    <row r="48" spans="2:20">
      <c r="B48" s="301"/>
      <c r="C48" s="162" t="s">
        <v>88</v>
      </c>
      <c r="D48" s="157">
        <v>9493.5710276489899</v>
      </c>
      <c r="E48" s="158">
        <v>18538.071</v>
      </c>
      <c r="F48" s="158">
        <v>11008.379514400005</v>
      </c>
      <c r="G48" s="158">
        <v>5016.2080297901548</v>
      </c>
      <c r="H48" s="158">
        <v>8682.152701913692</v>
      </c>
      <c r="I48" s="256">
        <f t="shared" si="0"/>
        <v>51.211213009427951</v>
      </c>
      <c r="J48" s="119"/>
      <c r="P48" s="297"/>
      <c r="Q48" s="297"/>
      <c r="R48" s="297"/>
      <c r="S48" s="297"/>
      <c r="T48" s="297"/>
    </row>
    <row r="49" spans="2:20">
      <c r="B49" s="301"/>
      <c r="C49" s="162" t="s">
        <v>90</v>
      </c>
      <c r="D49" s="157">
        <v>8414.2036093792703</v>
      </c>
      <c r="E49" s="158">
        <v>18538.071</v>
      </c>
      <c r="F49" s="158">
        <v>10216.987657999998</v>
      </c>
      <c r="G49" s="158">
        <v>4709.6077613773832</v>
      </c>
      <c r="H49" s="158">
        <v>7899.635656205076</v>
      </c>
      <c r="I49" s="256">
        <f t="shared" si="0"/>
        <v>45.388776477225008</v>
      </c>
      <c r="J49" s="119"/>
      <c r="P49" s="297"/>
      <c r="Q49" s="297"/>
      <c r="R49" s="297"/>
      <c r="S49" s="297"/>
      <c r="T49" s="297"/>
    </row>
    <row r="50" spans="2:20">
      <c r="B50" s="301"/>
      <c r="C50" s="162" t="s">
        <v>91</v>
      </c>
      <c r="D50" s="157">
        <v>8468.7189392685304</v>
      </c>
      <c r="E50" s="158">
        <v>18538.071</v>
      </c>
      <c r="F50" s="158">
        <v>9860.0850484999992</v>
      </c>
      <c r="G50" s="158">
        <v>4443.1848832624037</v>
      </c>
      <c r="H50" s="158">
        <v>7706.6327509883004</v>
      </c>
      <c r="I50" s="256">
        <f t="shared" si="0"/>
        <v>45.6828487671049</v>
      </c>
      <c r="J50" s="119"/>
      <c r="P50" s="297"/>
      <c r="Q50" s="297"/>
      <c r="R50" s="297"/>
      <c r="S50" s="297"/>
      <c r="T50" s="297"/>
    </row>
    <row r="51" spans="2:20">
      <c r="B51" s="301"/>
      <c r="C51" s="162" t="s">
        <v>92</v>
      </c>
      <c r="D51" s="157">
        <v>8407.9337983359892</v>
      </c>
      <c r="E51" s="158">
        <v>18538.071</v>
      </c>
      <c r="F51" s="158">
        <v>11197.565775799998</v>
      </c>
      <c r="G51" s="158">
        <v>4806.2059127499997</v>
      </c>
      <c r="H51" s="158">
        <v>8149.1649360341953</v>
      </c>
      <c r="I51" s="256">
        <f t="shared" si="0"/>
        <v>45.354955207238064</v>
      </c>
      <c r="J51" s="119"/>
      <c r="P51" s="297"/>
      <c r="Q51" s="297"/>
      <c r="R51" s="297"/>
      <c r="S51" s="297"/>
      <c r="T51" s="297"/>
    </row>
    <row r="52" spans="2:20">
      <c r="B52" s="301"/>
      <c r="C52" s="162" t="s">
        <v>93</v>
      </c>
      <c r="D52" s="157">
        <v>9418.9304168690905</v>
      </c>
      <c r="E52" s="158">
        <v>18538.071</v>
      </c>
      <c r="F52" s="158">
        <v>13334.108503349993</v>
      </c>
      <c r="G52" s="158">
        <v>5321.2928717999985</v>
      </c>
      <c r="H52" s="158">
        <v>8688.9230952214075</v>
      </c>
      <c r="I52" s="256">
        <f t="shared" si="0"/>
        <v>50.808578826076833</v>
      </c>
      <c r="J52" s="300"/>
      <c r="P52" s="297"/>
      <c r="Q52" s="297"/>
      <c r="R52" s="297"/>
      <c r="S52" s="297"/>
      <c r="T52" s="297"/>
    </row>
    <row r="53" spans="2:20">
      <c r="B53" s="299">
        <v>2021</v>
      </c>
      <c r="C53" s="162" t="s">
        <v>94</v>
      </c>
      <c r="D53" s="157">
        <v>9758.5157368181899</v>
      </c>
      <c r="E53" s="158">
        <v>18538.071</v>
      </c>
      <c r="F53" s="158">
        <v>13030.265303050002</v>
      </c>
      <c r="G53" s="158">
        <v>5467.9549016999981</v>
      </c>
      <c r="H53" s="158">
        <v>9460.7335985820428</v>
      </c>
      <c r="I53" s="256">
        <f t="shared" ref="I53" si="1">D53/E53*100</f>
        <v>52.640405448971414</v>
      </c>
      <c r="K53" s="280"/>
    </row>
    <row r="54" spans="2:20">
      <c r="B54" s="301"/>
      <c r="C54" s="162" t="s">
        <v>86</v>
      </c>
      <c r="D54" s="157">
        <v>12661.5058106672</v>
      </c>
      <c r="E54" s="158">
        <v>18538.071</v>
      </c>
      <c r="F54" s="158">
        <v>13350.687899449997</v>
      </c>
      <c r="G54" s="158">
        <v>5578.6608586499988</v>
      </c>
      <c r="H54" s="158">
        <v>10003.035437810451</v>
      </c>
      <c r="I54" s="256">
        <f t="shared" ref="I54:I64" si="2">D54/E54*100</f>
        <v>68.300017896507143</v>
      </c>
      <c r="J54" s="300"/>
    </row>
    <row r="55" spans="2:20">
      <c r="B55" s="301"/>
      <c r="C55" s="162" t="s">
        <v>87</v>
      </c>
      <c r="D55" s="157">
        <v>12144.926731958538</v>
      </c>
      <c r="E55" s="158">
        <v>18538.071</v>
      </c>
      <c r="F55" s="158">
        <v>13867.618216399997</v>
      </c>
      <c r="G55" s="158">
        <v>5886.7781087999983</v>
      </c>
      <c r="H55" s="158">
        <v>10720.346582784256</v>
      </c>
      <c r="I55" s="256">
        <f t="shared" si="2"/>
        <v>65.513433042513086</v>
      </c>
      <c r="J55" s="300"/>
    </row>
    <row r="56" spans="2:20">
      <c r="B56" s="301"/>
      <c r="C56" s="162" t="s">
        <v>88</v>
      </c>
      <c r="D56" s="157">
        <v>11299.1892331082</v>
      </c>
      <c r="E56" s="158">
        <v>18538.071</v>
      </c>
      <c r="F56" s="158">
        <v>13950.648185050002</v>
      </c>
      <c r="G56" s="158">
        <v>7160.980094999999</v>
      </c>
      <c r="H56" s="158">
        <v>11307.143756783118</v>
      </c>
      <c r="I56" s="256">
        <f t="shared" si="2"/>
        <v>60.951267438279856</v>
      </c>
      <c r="J56" s="300"/>
    </row>
    <row r="57" spans="2:20">
      <c r="B57" s="301"/>
      <c r="C57" s="162" t="s">
        <v>87</v>
      </c>
      <c r="D57" s="157">
        <v>11113.845787991901</v>
      </c>
      <c r="E57" s="158">
        <v>18538.071</v>
      </c>
      <c r="F57" s="158">
        <v>14154.758919950002</v>
      </c>
      <c r="G57" s="158">
        <v>7197.9099209999968</v>
      </c>
      <c r="H57" s="158">
        <v>11468.407586706651</v>
      </c>
      <c r="I57" s="256">
        <f t="shared" si="2"/>
        <v>59.951468456410062</v>
      </c>
    </row>
    <row r="58" spans="2:20">
      <c r="B58" s="301"/>
      <c r="C58" s="162" t="s">
        <v>89</v>
      </c>
      <c r="D58" s="157">
        <v>10415.710777083699</v>
      </c>
      <c r="E58" s="158">
        <v>18538.071</v>
      </c>
      <c r="F58" s="158">
        <v>13861.50749955</v>
      </c>
      <c r="G58" s="158">
        <v>6659.6807604989417</v>
      </c>
      <c r="H58" s="158">
        <v>10927.520460105234</v>
      </c>
      <c r="I58" s="256">
        <f t="shared" si="2"/>
        <v>56.185515618554369</v>
      </c>
    </row>
    <row r="59" spans="2:20">
      <c r="B59" s="301"/>
      <c r="C59" s="162" t="s">
        <v>89</v>
      </c>
      <c r="D59" s="157">
        <v>8744.6750995529528</v>
      </c>
      <c r="E59" s="158">
        <v>18538.071</v>
      </c>
      <c r="F59" s="158">
        <v>12411.383130949995</v>
      </c>
      <c r="G59" s="158">
        <v>5800.1947457021333</v>
      </c>
      <c r="H59" s="158">
        <v>9824.1360547772583</v>
      </c>
      <c r="I59" s="256">
        <f t="shared" si="2"/>
        <v>47.171440327059663</v>
      </c>
      <c r="J59" s="300">
        <f>I60-I59</f>
        <v>-8.7384323191771855</v>
      </c>
    </row>
    <row r="60" spans="2:20">
      <c r="B60" s="301"/>
      <c r="C60" s="162" t="s">
        <v>88</v>
      </c>
      <c r="D60" s="157">
        <v>7124.7383119369397</v>
      </c>
      <c r="E60" s="158">
        <v>18538.071</v>
      </c>
      <c r="F60" s="158">
        <v>11082.055950350004</v>
      </c>
      <c r="G60" s="158">
        <v>5069.3133357481856</v>
      </c>
      <c r="H60" s="158">
        <v>8745.5835792961407</v>
      </c>
      <c r="I60" s="256">
        <f t="shared" si="2"/>
        <v>38.433008007882478</v>
      </c>
      <c r="J60" s="300">
        <f>I60-I48</f>
        <v>-12.778205001545473</v>
      </c>
    </row>
    <row r="61" spans="2:20">
      <c r="B61" s="301"/>
      <c r="C61" s="162" t="s">
        <v>90</v>
      </c>
      <c r="D61" s="157"/>
      <c r="E61" s="158">
        <v>18538.071</v>
      </c>
      <c r="F61" s="158">
        <v>10288.729394799997</v>
      </c>
      <c r="G61" s="158">
        <v>4739.6054379773832</v>
      </c>
      <c r="H61" s="158">
        <v>7973.9046291740378</v>
      </c>
      <c r="I61" s="256">
        <f t="shared" si="2"/>
        <v>0</v>
      </c>
      <c r="J61" s="300"/>
    </row>
    <row r="62" spans="2:20">
      <c r="B62" s="301"/>
      <c r="C62" s="162" t="s">
        <v>91</v>
      </c>
      <c r="D62" s="157"/>
      <c r="E62" s="158">
        <v>18538.071</v>
      </c>
      <c r="F62" s="158">
        <v>9948.8780525499988</v>
      </c>
      <c r="G62" s="158">
        <v>4467.0470089624023</v>
      </c>
      <c r="H62" s="158">
        <v>7820.7365874517254</v>
      </c>
      <c r="I62" s="256">
        <f t="shared" si="2"/>
        <v>0</v>
      </c>
      <c r="J62" s="300"/>
    </row>
    <row r="63" spans="2:20">
      <c r="B63" s="301"/>
      <c r="C63" s="162" t="s">
        <v>92</v>
      </c>
      <c r="D63" s="157"/>
      <c r="E63" s="158">
        <v>18538.071</v>
      </c>
      <c r="F63" s="158">
        <v>11222.871138699997</v>
      </c>
      <c r="G63" s="158">
        <v>4812.1705738000001</v>
      </c>
      <c r="H63" s="158">
        <v>8187.5351249509931</v>
      </c>
      <c r="I63" s="256">
        <f t="shared" si="2"/>
        <v>0</v>
      </c>
      <c r="J63" s="300"/>
    </row>
    <row r="64" spans="2:20">
      <c r="B64" s="301"/>
      <c r="C64" s="162" t="s">
        <v>93</v>
      </c>
      <c r="D64" s="157"/>
      <c r="E64" s="158">
        <v>18538.071</v>
      </c>
      <c r="F64" s="158">
        <v>13273.133537799993</v>
      </c>
      <c r="G64" s="158">
        <v>5316.2767810999994</v>
      </c>
      <c r="H64" s="158">
        <v>8633.7092310648623</v>
      </c>
      <c r="I64" s="256">
        <f t="shared" si="2"/>
        <v>0</v>
      </c>
      <c r="J64" s="300"/>
    </row>
    <row r="65" spans="2:11">
      <c r="B65" s="160"/>
      <c r="C65" s="162"/>
      <c r="D65" s="158"/>
      <c r="E65" s="158"/>
      <c r="F65" s="158"/>
      <c r="G65" s="158"/>
      <c r="H65" s="158"/>
      <c r="I65" s="159"/>
    </row>
    <row r="67" spans="2:11">
      <c r="B67" s="264" t="str">
        <f>CONCATENATE("Reservas hidroeléctricas a ",TEXT(DATEVALUE(MID(Dat_01!B2,1,10)),"dd")," de ",TEXT(DATEVALUE(MID(Dat_01!B2,1,10)),"mmmm")," de ",TEXT(DATEVALUE(MID(Dat_01!B2,1,10)),"aaaa")," por cuencas")</f>
        <v>Reservas hidroeléctricas a 31 de agosto de 2021 por cuencas</v>
      </c>
      <c r="C67" s="265"/>
      <c r="D67" s="265"/>
      <c r="E67" s="265"/>
      <c r="F67" s="265"/>
      <c r="G67" s="118"/>
      <c r="H67" s="118"/>
      <c r="I67" s="119"/>
      <c r="J67" s="119"/>
    </row>
    <row r="68" spans="2:11">
      <c r="B68" s="120"/>
      <c r="C68" s="347" t="s">
        <v>53</v>
      </c>
      <c r="D68" s="347" t="s">
        <v>53</v>
      </c>
      <c r="E68" s="120"/>
      <c r="F68" s="347" t="s">
        <v>42</v>
      </c>
      <c r="G68" s="347"/>
      <c r="H68" s="347" t="s">
        <v>43</v>
      </c>
      <c r="I68" s="347"/>
      <c r="J68" s="347" t="s">
        <v>44</v>
      </c>
      <c r="K68" s="347"/>
    </row>
    <row r="69" spans="2:11">
      <c r="B69" s="121"/>
      <c r="C69" s="122" t="s">
        <v>42</v>
      </c>
      <c r="D69" s="122" t="s">
        <v>43</v>
      </c>
      <c r="E69" s="122" t="s">
        <v>80</v>
      </c>
      <c r="F69" s="123" t="s">
        <v>40</v>
      </c>
      <c r="G69" s="122" t="s">
        <v>45</v>
      </c>
      <c r="H69" s="123" t="s">
        <v>40</v>
      </c>
      <c r="I69" s="122" t="s">
        <v>45</v>
      </c>
      <c r="J69" s="123" t="s">
        <v>40</v>
      </c>
      <c r="K69" s="122" t="s">
        <v>45</v>
      </c>
    </row>
    <row r="70" spans="2:11">
      <c r="B70" s="124" t="s">
        <v>46</v>
      </c>
      <c r="C70" s="125">
        <v>2546.8180000000002</v>
      </c>
      <c r="D70" s="125">
        <v>909.476</v>
      </c>
      <c r="E70" s="266">
        <v>5204.4719067636097</v>
      </c>
      <c r="F70" s="267">
        <f>G70/C70</f>
        <v>0.4511091744176593</v>
      </c>
      <c r="G70" s="266">
        <v>1148.8929653720343</v>
      </c>
      <c r="H70" s="267">
        <f t="shared" ref="H70:H75" si="3">I70/D70</f>
        <v>3.3218785796109075E-2</v>
      </c>
      <c r="I70" s="266">
        <v>30.211688430702097</v>
      </c>
      <c r="J70" s="150">
        <f>K70/SUM(C70:D70)</f>
        <v>0.34114709391120551</v>
      </c>
      <c r="K70" s="125">
        <f t="shared" ref="K70:K75" si="4">SUM(G70,I70)</f>
        <v>1179.1046538027363</v>
      </c>
    </row>
    <row r="71" spans="2:11">
      <c r="B71" s="124" t="s">
        <v>47</v>
      </c>
      <c r="C71" s="125">
        <v>1681</v>
      </c>
      <c r="D71" s="125">
        <v>3120.6</v>
      </c>
      <c r="E71" s="266">
        <v>3968.2132952293318</v>
      </c>
      <c r="F71" s="267">
        <f>G71/C71</f>
        <v>0.33089442884160514</v>
      </c>
      <c r="G71" s="266">
        <v>556.23353488273824</v>
      </c>
      <c r="H71" s="267">
        <f t="shared" si="3"/>
        <v>0.63788821348598301</v>
      </c>
      <c r="I71" s="266">
        <v>1990.5939590043586</v>
      </c>
      <c r="J71" s="150">
        <f t="shared" ref="J71:J76" si="5">K71/SUM(C71:D71)</f>
        <v>0.5304122571407649</v>
      </c>
      <c r="K71" s="125">
        <f t="shared" si="4"/>
        <v>2546.8274938870968</v>
      </c>
    </row>
    <row r="72" spans="2:11">
      <c r="B72" s="124" t="s">
        <v>48</v>
      </c>
      <c r="C72" s="125">
        <v>2424.9229999999998</v>
      </c>
      <c r="D72" s="125">
        <v>3791.8719999999998</v>
      </c>
      <c r="E72" s="266">
        <v>3618.5651686053225</v>
      </c>
      <c r="F72" s="267">
        <f>G72/C72</f>
        <v>0.33668357178918107</v>
      </c>
      <c r="G72" s="266">
        <v>816.43173695373628</v>
      </c>
      <c r="H72" s="267">
        <f t="shared" si="3"/>
        <v>0.30621227755463698</v>
      </c>
      <c r="I72" s="266">
        <v>1161.1177613156565</v>
      </c>
      <c r="J72" s="150">
        <f t="shared" si="5"/>
        <v>0.31809791030094969</v>
      </c>
      <c r="K72" s="125">
        <f t="shared" si="4"/>
        <v>1977.5494982693926</v>
      </c>
    </row>
    <row r="73" spans="2:11">
      <c r="B73" s="124" t="s">
        <v>49</v>
      </c>
      <c r="C73" s="125"/>
      <c r="D73" s="125">
        <v>835.14400000000001</v>
      </c>
      <c r="E73" s="266">
        <v>241.15919611927043</v>
      </c>
      <c r="F73" s="267" t="s">
        <v>18</v>
      </c>
      <c r="G73" s="266" t="s">
        <v>18</v>
      </c>
      <c r="H73" s="267">
        <f t="shared" si="3"/>
        <v>2.2362423838485312E-2</v>
      </c>
      <c r="I73" s="266">
        <v>18.675844094167978</v>
      </c>
      <c r="J73" s="150">
        <f t="shared" si="5"/>
        <v>2.2362423838485312E-2</v>
      </c>
      <c r="K73" s="125">
        <f t="shared" si="4"/>
        <v>18.675844094167978</v>
      </c>
    </row>
    <row r="74" spans="2:11">
      <c r="B74" s="124" t="s">
        <v>50</v>
      </c>
      <c r="C74" s="125">
        <v>180.3</v>
      </c>
      <c r="D74" s="125">
        <v>669.1</v>
      </c>
      <c r="E74" s="266">
        <v>569.24482711132248</v>
      </c>
      <c r="F74" s="267">
        <f>G74/C74</f>
        <v>0.62916111686576581</v>
      </c>
      <c r="G74" s="266">
        <v>113.43774937089758</v>
      </c>
      <c r="H74" s="267">
        <f t="shared" si="3"/>
        <v>0.13694985152185138</v>
      </c>
      <c r="I74" s="266">
        <v>91.633145653270759</v>
      </c>
      <c r="J74" s="150">
        <f t="shared" si="5"/>
        <v>0.24143029788576445</v>
      </c>
      <c r="K74" s="125">
        <f t="shared" si="4"/>
        <v>205.07089502416835</v>
      </c>
    </row>
    <row r="75" spans="2:11">
      <c r="B75" s="124" t="s">
        <v>51</v>
      </c>
      <c r="C75" s="125">
        <v>2133.8380000000002</v>
      </c>
      <c r="D75" s="125">
        <v>245</v>
      </c>
      <c r="E75" s="266">
        <v>3445.1482361711401</v>
      </c>
      <c r="F75" s="267">
        <f>G75/C75</f>
        <v>0.50942879845207067</v>
      </c>
      <c r="G75" s="266">
        <v>1087.0385284313697</v>
      </c>
      <c r="H75" s="267">
        <f t="shared" si="3"/>
        <v>0.45090366705329915</v>
      </c>
      <c r="I75" s="266">
        <v>110.47139842805829</v>
      </c>
      <c r="J75" s="150">
        <f t="shared" si="5"/>
        <v>0.50340120969121394</v>
      </c>
      <c r="K75" s="125">
        <f t="shared" si="4"/>
        <v>1197.5099268594281</v>
      </c>
    </row>
    <row r="76" spans="2:11">
      <c r="B76" s="121" t="s">
        <v>52</v>
      </c>
      <c r="C76" s="126">
        <f>SUM(C70:C75)</f>
        <v>8966.8790000000008</v>
      </c>
      <c r="D76" s="126">
        <f>SUM(D70:D75)</f>
        <v>9571.1920000000009</v>
      </c>
      <c r="E76" s="126">
        <f>SUM(E70:E75)</f>
        <v>17046.802629999995</v>
      </c>
      <c r="F76" s="268">
        <f>G76/C76</f>
        <v>0.41508695667810125</v>
      </c>
      <c r="G76" s="126">
        <f>SUM(G70:G75)</f>
        <v>3722.034515010776</v>
      </c>
      <c r="H76" s="268">
        <f>I76/D76</f>
        <v>0.35551515390415467</v>
      </c>
      <c r="I76" s="126">
        <f>SUM(I70:I75)</f>
        <v>3402.7037969262142</v>
      </c>
      <c r="J76" s="151">
        <f t="shared" si="5"/>
        <v>0.38433008007882741</v>
      </c>
      <c r="K76" s="126">
        <f>SUM(K70:K75)</f>
        <v>7124.7383119369897</v>
      </c>
    </row>
    <row r="79" spans="2:11">
      <c r="B79" s="165" t="str">
        <f>TEXT(CONCATENATE(TEXT(Dat_01!B2,"dd de mm de aaaa")),"@")</f>
        <v>31 312021 08 312021 2021</v>
      </c>
    </row>
    <row r="80" spans="2:11">
      <c r="B80" s="238" t="str">
        <f>CONCATENATE("Reservas hidroeléctricas a ",TEXT(DATEVALUE(MID(Dat_01!B2,1,10)),"dd")," de ",TEXT(DATEVALUE(MID(Dat_01!B2,1,10)),"mmmm")," de ",TEXT(DATEVALUE(MID(Dat_01!B2,1,10)),"aaaa")," por cuencas")</f>
        <v>Reservas hidroeléctricas a 31 de agosto de 2021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358" zoomScale="77" zoomScaleNormal="77" workbookViewId="0">
      <selection activeCell="K375" sqref="K375:K376"/>
    </sheetView>
  </sheetViews>
  <sheetFormatPr baseColWidth="10" defaultColWidth="11.42578125" defaultRowHeight="15"/>
  <cols>
    <col min="1" max="1" width="11.42578125" style="291"/>
    <col min="2" max="2" width="12.7109375" style="291" bestFit="1" customWidth="1"/>
    <col min="3" max="7" width="11.42578125" style="291"/>
    <col min="8" max="8" width="11.85546875" style="291" bestFit="1" customWidth="1"/>
    <col min="9" max="21" width="11.42578125" style="291"/>
    <col min="22" max="22" width="11.42578125" style="291" customWidth="1"/>
    <col min="23" max="28" width="11.42578125" style="291"/>
    <col min="29" max="29" width="11.85546875" style="291" bestFit="1" customWidth="1"/>
    <col min="30" max="16384" width="11.42578125" style="291"/>
  </cols>
  <sheetData>
    <row r="1" spans="1:9" ht="60">
      <c r="B1" s="290" t="s">
        <v>144</v>
      </c>
      <c r="C1" s="290" t="s">
        <v>184</v>
      </c>
      <c r="D1" s="290" t="s">
        <v>185</v>
      </c>
    </row>
    <row r="2" spans="1:9">
      <c r="A2" s="291">
        <v>0</v>
      </c>
      <c r="B2" s="292">
        <v>44044</v>
      </c>
      <c r="C2" s="293">
        <v>131.74719799999997</v>
      </c>
      <c r="D2" s="294">
        <v>112.70550380220814</v>
      </c>
      <c r="E2" s="293">
        <f>IF(C2&gt;D2,D2,C2)</f>
        <v>112.70550380220814</v>
      </c>
      <c r="F2" s="296">
        <f>YEAR(B2)</f>
        <v>2020</v>
      </c>
      <c r="G2" s="205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295" t="str">
        <f>IF(DAY($B2)=15,TEXT(D2,"#,0"),"")</f>
        <v/>
      </c>
      <c r="I2" s="296"/>
    </row>
    <row r="3" spans="1:9">
      <c r="A3" s="291">
        <v>1</v>
      </c>
      <c r="B3" s="292">
        <v>44045</v>
      </c>
      <c r="C3" s="293">
        <v>186.58565300000001</v>
      </c>
      <c r="D3" s="294">
        <v>112.70550380220814</v>
      </c>
      <c r="E3" s="293">
        <f t="shared" ref="E3:E66" si="0">IF(C3&gt;D3,D3,C3)</f>
        <v>112.70550380220814</v>
      </c>
      <c r="F3" s="303"/>
      <c r="G3" s="205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295" t="str">
        <f t="shared" ref="H3:H66" si="2">IF(DAY($B3)=15,TEXT(D3,"#,0"),"")</f>
        <v/>
      </c>
      <c r="I3" s="296"/>
    </row>
    <row r="4" spans="1:9">
      <c r="A4" s="291">
        <v>2</v>
      </c>
      <c r="B4" s="292">
        <v>44046</v>
      </c>
      <c r="C4" s="293">
        <v>150.80028300000001</v>
      </c>
      <c r="D4" s="294">
        <v>112.70550380220814</v>
      </c>
      <c r="E4" s="293">
        <f t="shared" si="0"/>
        <v>112.70550380220814</v>
      </c>
      <c r="F4" s="303"/>
      <c r="G4" s="205" t="str">
        <f t="shared" si="1"/>
        <v/>
      </c>
      <c r="H4" s="295" t="str">
        <f t="shared" si="2"/>
        <v/>
      </c>
      <c r="I4" s="296"/>
    </row>
    <row r="5" spans="1:9">
      <c r="A5" s="291">
        <v>3</v>
      </c>
      <c r="B5" s="292">
        <v>44047</v>
      </c>
      <c r="C5" s="293">
        <v>127.99738599999999</v>
      </c>
      <c r="D5" s="294">
        <v>112.70550380220814</v>
      </c>
      <c r="E5" s="293">
        <f t="shared" si="0"/>
        <v>112.70550380220814</v>
      </c>
      <c r="F5" s="303"/>
      <c r="G5" s="205" t="str">
        <f t="shared" si="1"/>
        <v/>
      </c>
      <c r="H5" s="295" t="str">
        <f t="shared" si="2"/>
        <v/>
      </c>
      <c r="I5" s="296"/>
    </row>
    <row r="6" spans="1:9">
      <c r="A6" s="291">
        <v>4</v>
      </c>
      <c r="B6" s="292">
        <v>44048</v>
      </c>
      <c r="C6" s="293">
        <v>64.102328999999997</v>
      </c>
      <c r="D6" s="294">
        <v>112.70550380220814</v>
      </c>
      <c r="E6" s="293">
        <f t="shared" si="0"/>
        <v>64.102328999999997</v>
      </c>
      <c r="F6" s="303"/>
      <c r="G6" s="205" t="str">
        <f t="shared" si="1"/>
        <v/>
      </c>
      <c r="H6" s="295" t="str">
        <f t="shared" si="2"/>
        <v/>
      </c>
      <c r="I6" s="296"/>
    </row>
    <row r="7" spans="1:9">
      <c r="A7" s="291">
        <v>5</v>
      </c>
      <c r="B7" s="292">
        <v>44049</v>
      </c>
      <c r="C7" s="293">
        <v>105.30098</v>
      </c>
      <c r="D7" s="294">
        <v>112.70550380220814</v>
      </c>
      <c r="E7" s="293">
        <f t="shared" si="0"/>
        <v>105.30098</v>
      </c>
      <c r="F7" s="303"/>
      <c r="G7" s="205" t="str">
        <f t="shared" si="1"/>
        <v/>
      </c>
      <c r="H7" s="295" t="str">
        <f t="shared" si="2"/>
        <v/>
      </c>
      <c r="I7" s="296"/>
    </row>
    <row r="8" spans="1:9">
      <c r="A8" s="291">
        <v>6</v>
      </c>
      <c r="B8" s="292">
        <v>44050</v>
      </c>
      <c r="C8" s="293">
        <v>104.45495299999999</v>
      </c>
      <c r="D8" s="294">
        <v>112.70550380220814</v>
      </c>
      <c r="E8" s="293">
        <f t="shared" si="0"/>
        <v>104.45495299999999</v>
      </c>
      <c r="F8" s="303"/>
      <c r="G8" s="205" t="str">
        <f t="shared" si="1"/>
        <v/>
      </c>
      <c r="H8" s="295" t="str">
        <f t="shared" si="2"/>
        <v/>
      </c>
      <c r="I8" s="296"/>
    </row>
    <row r="9" spans="1:9">
      <c r="A9" s="291">
        <v>7</v>
      </c>
      <c r="B9" s="292">
        <v>44051</v>
      </c>
      <c r="C9" s="293">
        <v>92.983648000000002</v>
      </c>
      <c r="D9" s="294">
        <v>112.70550380220814</v>
      </c>
      <c r="E9" s="293">
        <f t="shared" si="0"/>
        <v>92.983648000000002</v>
      </c>
      <c r="F9" s="303"/>
      <c r="G9" s="205" t="str">
        <f t="shared" si="1"/>
        <v/>
      </c>
      <c r="H9" s="295" t="str">
        <f t="shared" si="2"/>
        <v/>
      </c>
      <c r="I9" s="296"/>
    </row>
    <row r="10" spans="1:9">
      <c r="A10" s="291">
        <v>8</v>
      </c>
      <c r="B10" s="292">
        <v>44052</v>
      </c>
      <c r="C10" s="293">
        <v>81.690436000000005</v>
      </c>
      <c r="D10" s="294">
        <v>112.70550380220814</v>
      </c>
      <c r="E10" s="293">
        <f t="shared" si="0"/>
        <v>81.690436000000005</v>
      </c>
      <c r="F10" s="303"/>
      <c r="G10" s="205" t="str">
        <f t="shared" si="1"/>
        <v/>
      </c>
      <c r="H10" s="295" t="str">
        <f t="shared" si="2"/>
        <v/>
      </c>
      <c r="I10" s="296"/>
    </row>
    <row r="11" spans="1:9">
      <c r="A11" s="291">
        <v>9</v>
      </c>
      <c r="B11" s="292">
        <v>44053</v>
      </c>
      <c r="C11" s="293">
        <v>114.20965299999999</v>
      </c>
      <c r="D11" s="294">
        <v>112.70550380220814</v>
      </c>
      <c r="E11" s="293">
        <f t="shared" si="0"/>
        <v>112.70550380220814</v>
      </c>
      <c r="F11" s="303"/>
      <c r="G11" s="205" t="str">
        <f t="shared" si="1"/>
        <v/>
      </c>
      <c r="H11" s="295" t="str">
        <f t="shared" si="2"/>
        <v/>
      </c>
      <c r="I11" s="296"/>
    </row>
    <row r="12" spans="1:9">
      <c r="A12" s="291">
        <v>10</v>
      </c>
      <c r="B12" s="292">
        <v>44054</v>
      </c>
      <c r="C12" s="293">
        <v>145.41758999999999</v>
      </c>
      <c r="D12" s="294">
        <v>112.70550380220814</v>
      </c>
      <c r="E12" s="293">
        <f t="shared" si="0"/>
        <v>112.70550380220814</v>
      </c>
      <c r="F12" s="303"/>
      <c r="G12" s="205" t="str">
        <f t="shared" si="1"/>
        <v/>
      </c>
      <c r="H12" s="295" t="str">
        <f t="shared" si="2"/>
        <v/>
      </c>
      <c r="I12" s="296"/>
    </row>
    <row r="13" spans="1:9">
      <c r="A13" s="291">
        <v>11</v>
      </c>
      <c r="B13" s="292">
        <v>44055</v>
      </c>
      <c r="C13" s="293">
        <v>97.815604999999991</v>
      </c>
      <c r="D13" s="294">
        <v>112.70550380220814</v>
      </c>
      <c r="E13" s="293">
        <f t="shared" si="0"/>
        <v>97.815604999999991</v>
      </c>
      <c r="F13" s="303"/>
      <c r="G13" s="205" t="str">
        <f t="shared" si="1"/>
        <v/>
      </c>
      <c r="H13" s="295" t="str">
        <f t="shared" si="2"/>
        <v/>
      </c>
      <c r="I13" s="296"/>
    </row>
    <row r="14" spans="1:9">
      <c r="A14" s="291">
        <v>12</v>
      </c>
      <c r="B14" s="292">
        <v>44056</v>
      </c>
      <c r="C14" s="293">
        <v>33.690694999999998</v>
      </c>
      <c r="D14" s="294">
        <v>112.70550380220814</v>
      </c>
      <c r="E14" s="293">
        <f t="shared" si="0"/>
        <v>33.690694999999998</v>
      </c>
      <c r="F14" s="303"/>
      <c r="G14" s="205" t="str">
        <f t="shared" si="1"/>
        <v/>
      </c>
      <c r="H14" s="295" t="str">
        <f t="shared" si="2"/>
        <v/>
      </c>
      <c r="I14" s="296"/>
    </row>
    <row r="15" spans="1:9">
      <c r="A15" s="291">
        <v>13</v>
      </c>
      <c r="B15" s="292">
        <v>44057</v>
      </c>
      <c r="C15" s="293">
        <v>61.211841</v>
      </c>
      <c r="D15" s="294">
        <v>112.70550380220814</v>
      </c>
      <c r="E15" s="293">
        <f t="shared" si="0"/>
        <v>61.211841</v>
      </c>
      <c r="F15" s="303"/>
      <c r="G15" s="205" t="str">
        <f t="shared" si="1"/>
        <v/>
      </c>
      <c r="H15" s="295" t="str">
        <f t="shared" si="2"/>
        <v/>
      </c>
      <c r="I15" s="296"/>
    </row>
    <row r="16" spans="1:9">
      <c r="A16" s="291">
        <v>14</v>
      </c>
      <c r="B16" s="292">
        <v>44058</v>
      </c>
      <c r="C16" s="293">
        <v>118.56844700000001</v>
      </c>
      <c r="D16" s="294">
        <v>112.70550380220814</v>
      </c>
      <c r="E16" s="293">
        <f t="shared" si="0"/>
        <v>112.70550380220814</v>
      </c>
      <c r="F16" s="303"/>
      <c r="G16" s="205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A</v>
      </c>
      <c r="H16" s="295" t="str">
        <f t="shared" si="2"/>
        <v>112,7</v>
      </c>
      <c r="I16" s="296"/>
    </row>
    <row r="17" spans="1:9">
      <c r="A17" s="291">
        <v>15</v>
      </c>
      <c r="B17" s="292">
        <v>44059</v>
      </c>
      <c r="C17" s="293">
        <v>131.760887</v>
      </c>
      <c r="D17" s="294">
        <v>112.70550380220814</v>
      </c>
      <c r="E17" s="293">
        <f t="shared" si="0"/>
        <v>112.70550380220814</v>
      </c>
      <c r="F17" s="303"/>
      <c r="G17" s="205" t="str">
        <f t="shared" si="1"/>
        <v/>
      </c>
      <c r="H17" s="295" t="str">
        <f t="shared" si="2"/>
        <v/>
      </c>
      <c r="I17" s="205"/>
    </row>
    <row r="18" spans="1:9">
      <c r="A18" s="291">
        <v>16</v>
      </c>
      <c r="B18" s="292">
        <v>44060</v>
      </c>
      <c r="C18" s="293">
        <v>109.63229399999999</v>
      </c>
      <c r="D18" s="294">
        <v>112.70550380220814</v>
      </c>
      <c r="E18" s="293">
        <f t="shared" si="0"/>
        <v>109.63229399999999</v>
      </c>
      <c r="F18" s="303"/>
      <c r="G18" s="205" t="str">
        <f t="shared" si="1"/>
        <v/>
      </c>
      <c r="H18" s="295" t="str">
        <f t="shared" si="2"/>
        <v/>
      </c>
      <c r="I18" s="296"/>
    </row>
    <row r="19" spans="1:9">
      <c r="A19" s="291">
        <v>17</v>
      </c>
      <c r="B19" s="292">
        <v>44061</v>
      </c>
      <c r="C19" s="293">
        <v>85.017240999999999</v>
      </c>
      <c r="D19" s="294">
        <v>112.70550380220814</v>
      </c>
      <c r="E19" s="293">
        <f t="shared" si="0"/>
        <v>85.017240999999999</v>
      </c>
      <c r="F19" s="303"/>
      <c r="G19" s="205" t="str">
        <f t="shared" si="1"/>
        <v/>
      </c>
      <c r="H19" s="295" t="str">
        <f t="shared" si="2"/>
        <v/>
      </c>
      <c r="I19" s="296"/>
    </row>
    <row r="20" spans="1:9">
      <c r="A20" s="291">
        <v>18</v>
      </c>
      <c r="B20" s="292">
        <v>44062</v>
      </c>
      <c r="C20" s="293">
        <v>170.35764</v>
      </c>
      <c r="D20" s="294">
        <v>112.70550380220814</v>
      </c>
      <c r="E20" s="293">
        <f t="shared" si="0"/>
        <v>112.70550380220814</v>
      </c>
      <c r="F20" s="303"/>
      <c r="G20" s="205" t="str">
        <f t="shared" si="1"/>
        <v/>
      </c>
      <c r="H20" s="295" t="str">
        <f t="shared" si="2"/>
        <v/>
      </c>
      <c r="I20" s="296"/>
    </row>
    <row r="21" spans="1:9">
      <c r="A21" s="291">
        <v>19</v>
      </c>
      <c r="B21" s="292">
        <v>44063</v>
      </c>
      <c r="C21" s="293">
        <v>175.754288</v>
      </c>
      <c r="D21" s="294">
        <v>112.70550380220814</v>
      </c>
      <c r="E21" s="293">
        <f t="shared" si="0"/>
        <v>112.70550380220814</v>
      </c>
      <c r="F21" s="303"/>
      <c r="G21" s="205" t="str">
        <f t="shared" si="1"/>
        <v/>
      </c>
      <c r="H21" s="295" t="str">
        <f t="shared" si="2"/>
        <v/>
      </c>
      <c r="I21" s="296"/>
    </row>
    <row r="22" spans="1:9">
      <c r="A22" s="291">
        <v>20</v>
      </c>
      <c r="B22" s="292">
        <v>44064</v>
      </c>
      <c r="C22" s="293">
        <v>116.247028</v>
      </c>
      <c r="D22" s="294">
        <v>112.70550380220814</v>
      </c>
      <c r="E22" s="293">
        <f t="shared" si="0"/>
        <v>112.70550380220814</v>
      </c>
      <c r="F22" s="303"/>
      <c r="G22" s="205" t="str">
        <f t="shared" si="1"/>
        <v/>
      </c>
      <c r="H22" s="295" t="str">
        <f t="shared" si="2"/>
        <v/>
      </c>
      <c r="I22" s="296"/>
    </row>
    <row r="23" spans="1:9">
      <c r="A23" s="291">
        <v>21</v>
      </c>
      <c r="B23" s="292">
        <v>44065</v>
      </c>
      <c r="C23" s="293">
        <v>75.847902000000005</v>
      </c>
      <c r="D23" s="294">
        <v>112.70550380220814</v>
      </c>
      <c r="E23" s="293">
        <f t="shared" si="0"/>
        <v>75.847902000000005</v>
      </c>
      <c r="F23" s="303"/>
      <c r="G23" s="205" t="str">
        <f t="shared" si="1"/>
        <v/>
      </c>
      <c r="H23" s="295" t="str">
        <f t="shared" si="2"/>
        <v/>
      </c>
      <c r="I23" s="296"/>
    </row>
    <row r="24" spans="1:9">
      <c r="A24" s="291">
        <v>22</v>
      </c>
      <c r="B24" s="292">
        <v>44066</v>
      </c>
      <c r="C24" s="293">
        <v>114.35244499999999</v>
      </c>
      <c r="D24" s="294">
        <v>112.70550380220814</v>
      </c>
      <c r="E24" s="293">
        <f t="shared" si="0"/>
        <v>112.70550380220814</v>
      </c>
      <c r="F24" s="303"/>
      <c r="G24" s="205" t="str">
        <f t="shared" si="1"/>
        <v/>
      </c>
      <c r="H24" s="295" t="str">
        <f t="shared" si="2"/>
        <v/>
      </c>
      <c r="I24" s="296"/>
    </row>
    <row r="25" spans="1:9">
      <c r="A25" s="291">
        <v>23</v>
      </c>
      <c r="B25" s="292">
        <v>44067</v>
      </c>
      <c r="C25" s="293">
        <v>101.038827</v>
      </c>
      <c r="D25" s="294">
        <v>112.70550380220814</v>
      </c>
      <c r="E25" s="293">
        <f t="shared" si="0"/>
        <v>101.038827</v>
      </c>
      <c r="F25" s="303"/>
      <c r="G25" s="205" t="str">
        <f t="shared" si="1"/>
        <v/>
      </c>
      <c r="H25" s="295" t="str">
        <f t="shared" si="2"/>
        <v/>
      </c>
      <c r="I25" s="296"/>
    </row>
    <row r="26" spans="1:9">
      <c r="A26" s="291">
        <v>24</v>
      </c>
      <c r="B26" s="292">
        <v>44068</v>
      </c>
      <c r="C26" s="293">
        <v>70.959075999999996</v>
      </c>
      <c r="D26" s="294">
        <v>112.70550380220814</v>
      </c>
      <c r="E26" s="293">
        <f t="shared" si="0"/>
        <v>70.959075999999996</v>
      </c>
      <c r="F26" s="303"/>
      <c r="G26" s="205" t="str">
        <f t="shared" si="1"/>
        <v/>
      </c>
      <c r="H26" s="295" t="str">
        <f t="shared" si="2"/>
        <v/>
      </c>
      <c r="I26" s="296"/>
    </row>
    <row r="27" spans="1:9">
      <c r="A27" s="291">
        <v>25</v>
      </c>
      <c r="B27" s="292">
        <v>44069</v>
      </c>
      <c r="C27" s="293">
        <v>51.794538000000003</v>
      </c>
      <c r="D27" s="294">
        <v>112.70550380220814</v>
      </c>
      <c r="E27" s="293">
        <f t="shared" si="0"/>
        <v>51.794538000000003</v>
      </c>
      <c r="F27" s="303"/>
      <c r="G27" s="205" t="str">
        <f t="shared" si="1"/>
        <v/>
      </c>
      <c r="H27" s="295" t="str">
        <f t="shared" si="2"/>
        <v/>
      </c>
      <c r="I27" s="296"/>
    </row>
    <row r="28" spans="1:9">
      <c r="A28" s="291">
        <v>26</v>
      </c>
      <c r="B28" s="292">
        <v>44070</v>
      </c>
      <c r="C28" s="293">
        <v>66.208909000000006</v>
      </c>
      <c r="D28" s="294">
        <v>112.70550380220814</v>
      </c>
      <c r="E28" s="293">
        <f t="shared" si="0"/>
        <v>66.208909000000006</v>
      </c>
      <c r="F28" s="303"/>
      <c r="G28" s="205" t="str">
        <f t="shared" si="1"/>
        <v/>
      </c>
      <c r="H28" s="295" t="str">
        <f t="shared" si="2"/>
        <v/>
      </c>
      <c r="I28" s="296"/>
    </row>
    <row r="29" spans="1:9">
      <c r="A29" s="291">
        <v>27</v>
      </c>
      <c r="B29" s="292">
        <v>44071</v>
      </c>
      <c r="C29" s="293">
        <v>166.36864499999999</v>
      </c>
      <c r="D29" s="294">
        <v>112.70550380220814</v>
      </c>
      <c r="E29" s="293">
        <f t="shared" si="0"/>
        <v>112.70550380220814</v>
      </c>
      <c r="F29" s="303"/>
      <c r="G29" s="205" t="str">
        <f t="shared" si="1"/>
        <v/>
      </c>
      <c r="H29" s="295" t="str">
        <f t="shared" si="2"/>
        <v/>
      </c>
      <c r="I29" s="296"/>
    </row>
    <row r="30" spans="1:9">
      <c r="A30" s="291">
        <v>28</v>
      </c>
      <c r="B30" s="292">
        <v>44072</v>
      </c>
      <c r="C30" s="293">
        <v>231.152987</v>
      </c>
      <c r="D30" s="294">
        <v>112.70550380220814</v>
      </c>
      <c r="E30" s="293">
        <f t="shared" si="0"/>
        <v>112.70550380220814</v>
      </c>
      <c r="F30" s="303"/>
      <c r="G30" s="205" t="str">
        <f t="shared" si="1"/>
        <v/>
      </c>
      <c r="H30" s="295" t="str">
        <f t="shared" si="2"/>
        <v/>
      </c>
      <c r="I30" s="296"/>
    </row>
    <row r="31" spans="1:9">
      <c r="A31" s="291">
        <v>29</v>
      </c>
      <c r="B31" s="292">
        <v>44073</v>
      </c>
      <c r="C31" s="293">
        <v>164.24292399999999</v>
      </c>
      <c r="D31" s="294">
        <v>112.70550380220814</v>
      </c>
      <c r="E31" s="293">
        <f t="shared" si="0"/>
        <v>112.70550380220814</v>
      </c>
      <c r="F31" s="303"/>
      <c r="G31" s="205" t="str">
        <f t="shared" si="1"/>
        <v/>
      </c>
      <c r="H31" s="295" t="str">
        <f t="shared" si="2"/>
        <v/>
      </c>
      <c r="I31" s="296"/>
    </row>
    <row r="32" spans="1:9">
      <c r="A32" s="291">
        <v>30</v>
      </c>
      <c r="B32" s="292">
        <v>44074</v>
      </c>
      <c r="C32" s="293">
        <v>93.685998999999995</v>
      </c>
      <c r="D32" s="294">
        <v>112.70550380220814</v>
      </c>
      <c r="E32" s="293">
        <f t="shared" si="0"/>
        <v>93.685998999999995</v>
      </c>
      <c r="F32" s="303"/>
      <c r="G32" s="205" t="str">
        <f t="shared" si="1"/>
        <v/>
      </c>
      <c r="H32" s="295" t="str">
        <f t="shared" si="2"/>
        <v/>
      </c>
      <c r="I32" s="296"/>
    </row>
    <row r="33" spans="1:9">
      <c r="A33" s="291">
        <v>31</v>
      </c>
      <c r="B33" s="292">
        <v>44075</v>
      </c>
      <c r="C33" s="293">
        <v>59.806457999999999</v>
      </c>
      <c r="D33" s="294">
        <v>107.08526806498774</v>
      </c>
      <c r="E33" s="293">
        <f t="shared" si="0"/>
        <v>59.806457999999999</v>
      </c>
      <c r="F33" s="296"/>
      <c r="G33" s="205" t="str">
        <f t="shared" si="1"/>
        <v/>
      </c>
      <c r="H33" s="295" t="str">
        <f t="shared" si="2"/>
        <v/>
      </c>
      <c r="I33" s="296"/>
    </row>
    <row r="34" spans="1:9">
      <c r="A34" s="291">
        <v>32</v>
      </c>
      <c r="B34" s="292">
        <v>44076</v>
      </c>
      <c r="C34" s="293">
        <v>121.684246</v>
      </c>
      <c r="D34" s="294">
        <v>107.08526806498774</v>
      </c>
      <c r="E34" s="293">
        <f t="shared" si="0"/>
        <v>107.08526806498774</v>
      </c>
      <c r="F34" s="303"/>
      <c r="G34" s="205" t="str">
        <f t="shared" si="1"/>
        <v/>
      </c>
      <c r="H34" s="295" t="str">
        <f t="shared" si="2"/>
        <v/>
      </c>
      <c r="I34" s="296"/>
    </row>
    <row r="35" spans="1:9">
      <c r="A35" s="291">
        <v>33</v>
      </c>
      <c r="B35" s="292">
        <v>44077</v>
      </c>
      <c r="C35" s="293">
        <v>71.609544999999997</v>
      </c>
      <c r="D35" s="294">
        <v>107.08526806498774</v>
      </c>
      <c r="E35" s="293">
        <f t="shared" si="0"/>
        <v>71.609544999999997</v>
      </c>
      <c r="F35" s="303"/>
      <c r="G35" s="205" t="str">
        <f t="shared" si="1"/>
        <v/>
      </c>
      <c r="H35" s="295" t="str">
        <f t="shared" si="2"/>
        <v/>
      </c>
      <c r="I35" s="296"/>
    </row>
    <row r="36" spans="1:9">
      <c r="A36" s="291">
        <v>34</v>
      </c>
      <c r="B36" s="292">
        <v>44078</v>
      </c>
      <c r="C36" s="293">
        <v>95.208067</v>
      </c>
      <c r="D36" s="294">
        <v>107.08526806498774</v>
      </c>
      <c r="E36" s="293">
        <f t="shared" si="0"/>
        <v>95.208067</v>
      </c>
      <c r="F36" s="303"/>
      <c r="G36" s="205" t="str">
        <f t="shared" si="1"/>
        <v/>
      </c>
      <c r="H36" s="295" t="str">
        <f t="shared" si="2"/>
        <v/>
      </c>
      <c r="I36" s="296"/>
    </row>
    <row r="37" spans="1:9">
      <c r="A37" s="291">
        <v>35</v>
      </c>
      <c r="B37" s="292">
        <v>44079</v>
      </c>
      <c r="C37" s="293">
        <v>172.85350800000001</v>
      </c>
      <c r="D37" s="294">
        <v>107.08526806498774</v>
      </c>
      <c r="E37" s="293">
        <f t="shared" si="0"/>
        <v>107.08526806498774</v>
      </c>
      <c r="F37" s="303"/>
      <c r="G37" s="205" t="str">
        <f t="shared" si="1"/>
        <v/>
      </c>
      <c r="H37" s="295" t="str">
        <f t="shared" si="2"/>
        <v/>
      </c>
      <c r="I37" s="296"/>
    </row>
    <row r="38" spans="1:9">
      <c r="A38" s="291">
        <v>36</v>
      </c>
      <c r="B38" s="292">
        <v>44080</v>
      </c>
      <c r="C38" s="293">
        <v>258.66792900000002</v>
      </c>
      <c r="D38" s="294">
        <v>107.08526806498774</v>
      </c>
      <c r="E38" s="293">
        <f t="shared" si="0"/>
        <v>107.08526806498774</v>
      </c>
      <c r="F38" s="303"/>
      <c r="G38" s="205" t="str">
        <f t="shared" si="1"/>
        <v/>
      </c>
      <c r="H38" s="295" t="str">
        <f t="shared" si="2"/>
        <v/>
      </c>
      <c r="I38" s="296"/>
    </row>
    <row r="39" spans="1:9">
      <c r="A39" s="291">
        <v>37</v>
      </c>
      <c r="B39" s="292">
        <v>44081</v>
      </c>
      <c r="C39" s="293">
        <v>255.185046</v>
      </c>
      <c r="D39" s="294">
        <v>107.08526806498774</v>
      </c>
      <c r="E39" s="293">
        <f t="shared" si="0"/>
        <v>107.08526806498774</v>
      </c>
      <c r="F39" s="303"/>
      <c r="G39" s="205" t="str">
        <f t="shared" si="1"/>
        <v/>
      </c>
      <c r="H39" s="295" t="str">
        <f t="shared" si="2"/>
        <v/>
      </c>
      <c r="I39" s="296"/>
    </row>
    <row r="40" spans="1:9">
      <c r="A40" s="291">
        <v>38</v>
      </c>
      <c r="B40" s="292">
        <v>44082</v>
      </c>
      <c r="C40" s="293">
        <v>165.18522200000001</v>
      </c>
      <c r="D40" s="294">
        <v>107.08526806498774</v>
      </c>
      <c r="E40" s="293">
        <f t="shared" si="0"/>
        <v>107.08526806498774</v>
      </c>
      <c r="F40" s="303"/>
      <c r="G40" s="205" t="str">
        <f t="shared" si="1"/>
        <v/>
      </c>
      <c r="H40" s="295" t="str">
        <f t="shared" si="2"/>
        <v/>
      </c>
      <c r="I40" s="296"/>
    </row>
    <row r="41" spans="1:9">
      <c r="A41" s="291">
        <v>39</v>
      </c>
      <c r="B41" s="292">
        <v>44083</v>
      </c>
      <c r="C41" s="293">
        <v>76.414304000000001</v>
      </c>
      <c r="D41" s="294">
        <v>107.08526806498774</v>
      </c>
      <c r="E41" s="293">
        <f t="shared" si="0"/>
        <v>76.414304000000001</v>
      </c>
      <c r="F41" s="303"/>
      <c r="G41" s="205" t="str">
        <f t="shared" si="1"/>
        <v/>
      </c>
      <c r="H41" s="295" t="str">
        <f t="shared" si="2"/>
        <v/>
      </c>
      <c r="I41" s="296"/>
    </row>
    <row r="42" spans="1:9">
      <c r="A42" s="291">
        <v>40</v>
      </c>
      <c r="B42" s="292">
        <v>44084</v>
      </c>
      <c r="C42" s="293">
        <v>97.360327999999996</v>
      </c>
      <c r="D42" s="294">
        <v>107.08526806498774</v>
      </c>
      <c r="E42" s="293">
        <f t="shared" si="0"/>
        <v>97.360327999999996</v>
      </c>
      <c r="F42" s="303"/>
      <c r="G42" s="205" t="str">
        <f t="shared" si="1"/>
        <v/>
      </c>
      <c r="H42" s="295" t="str">
        <f t="shared" si="2"/>
        <v/>
      </c>
      <c r="I42" s="296"/>
    </row>
    <row r="43" spans="1:9">
      <c r="A43" s="291">
        <v>41</v>
      </c>
      <c r="B43" s="292">
        <v>44085</v>
      </c>
      <c r="C43" s="293">
        <v>84.595854000000003</v>
      </c>
      <c r="D43" s="294">
        <v>107.08526806498774</v>
      </c>
      <c r="E43" s="293">
        <f t="shared" si="0"/>
        <v>84.595854000000003</v>
      </c>
      <c r="F43" s="303"/>
      <c r="G43" s="205" t="str">
        <f t="shared" si="1"/>
        <v/>
      </c>
      <c r="H43" s="295" t="str">
        <f t="shared" si="2"/>
        <v/>
      </c>
      <c r="I43" s="296"/>
    </row>
    <row r="44" spans="1:9">
      <c r="A44" s="291">
        <v>42</v>
      </c>
      <c r="B44" s="292">
        <v>44086</v>
      </c>
      <c r="C44" s="293">
        <v>95.812807000000006</v>
      </c>
      <c r="D44" s="294">
        <v>107.08526806498774</v>
      </c>
      <c r="E44" s="293">
        <f t="shared" si="0"/>
        <v>95.812807000000006</v>
      </c>
      <c r="F44" s="303"/>
      <c r="G44" s="205" t="str">
        <f t="shared" si="1"/>
        <v/>
      </c>
      <c r="H44" s="295" t="str">
        <f t="shared" si="2"/>
        <v/>
      </c>
      <c r="I44" s="296"/>
    </row>
    <row r="45" spans="1:9">
      <c r="A45" s="291">
        <v>43</v>
      </c>
      <c r="B45" s="292">
        <v>44087</v>
      </c>
      <c r="C45" s="293">
        <v>133.250348</v>
      </c>
      <c r="D45" s="294">
        <v>107.08526806498774</v>
      </c>
      <c r="E45" s="293">
        <f t="shared" si="0"/>
        <v>107.08526806498774</v>
      </c>
      <c r="F45" s="303"/>
      <c r="G45" s="205" t="str">
        <f t="shared" si="1"/>
        <v/>
      </c>
      <c r="H45" s="295" t="str">
        <f t="shared" si="2"/>
        <v/>
      </c>
      <c r="I45" s="296"/>
    </row>
    <row r="46" spans="1:9">
      <c r="A46" s="291">
        <v>44</v>
      </c>
      <c r="B46" s="292">
        <v>44088</v>
      </c>
      <c r="C46" s="293">
        <v>143.83927499999999</v>
      </c>
      <c r="D46" s="294">
        <v>107.08526806498774</v>
      </c>
      <c r="E46" s="293">
        <f t="shared" si="0"/>
        <v>107.08526806498774</v>
      </c>
      <c r="F46" s="303"/>
      <c r="G46" s="205" t="str">
        <f t="shared" si="1"/>
        <v/>
      </c>
      <c r="H46" s="295" t="str">
        <f t="shared" si="2"/>
        <v/>
      </c>
      <c r="I46" s="296"/>
    </row>
    <row r="47" spans="1:9">
      <c r="A47" s="291">
        <v>45</v>
      </c>
      <c r="B47" s="292">
        <v>44089</v>
      </c>
      <c r="C47" s="293">
        <v>61.669970999999997</v>
      </c>
      <c r="D47" s="294">
        <v>107.08526806498774</v>
      </c>
      <c r="E47" s="293">
        <f t="shared" si="0"/>
        <v>61.669970999999997</v>
      </c>
      <c r="F47" s="303"/>
      <c r="G47" s="205" t="str">
        <f t="shared" si="1"/>
        <v>S</v>
      </c>
      <c r="H47" s="295" t="str">
        <f t="shared" si="2"/>
        <v>107,1</v>
      </c>
      <c r="I47" s="296"/>
    </row>
    <row r="48" spans="1:9">
      <c r="A48" s="291">
        <v>46</v>
      </c>
      <c r="B48" s="292">
        <v>44090</v>
      </c>
      <c r="C48" s="293">
        <v>47.954214</v>
      </c>
      <c r="D48" s="294">
        <v>107.08526806498774</v>
      </c>
      <c r="E48" s="293">
        <f t="shared" si="0"/>
        <v>47.954214</v>
      </c>
      <c r="F48" s="303"/>
      <c r="G48" s="205" t="str">
        <f t="shared" si="1"/>
        <v/>
      </c>
      <c r="H48" s="295" t="str">
        <f t="shared" si="2"/>
        <v/>
      </c>
      <c r="I48" s="296"/>
    </row>
    <row r="49" spans="1:9">
      <c r="A49" s="291">
        <v>47</v>
      </c>
      <c r="B49" s="292">
        <v>44091</v>
      </c>
      <c r="C49" s="293">
        <v>131.59429</v>
      </c>
      <c r="D49" s="294">
        <v>107.08526806498774</v>
      </c>
      <c r="E49" s="293">
        <f t="shared" si="0"/>
        <v>107.08526806498774</v>
      </c>
      <c r="F49" s="303"/>
      <c r="G49" s="205" t="str">
        <f t="shared" si="1"/>
        <v/>
      </c>
      <c r="H49" s="295" t="str">
        <f t="shared" si="2"/>
        <v/>
      </c>
      <c r="I49" s="296"/>
    </row>
    <row r="50" spans="1:9">
      <c r="A50" s="291">
        <v>48</v>
      </c>
      <c r="B50" s="292">
        <v>44092</v>
      </c>
      <c r="C50" s="293">
        <v>177.42695900000001</v>
      </c>
      <c r="D50" s="294">
        <v>107.08526806498774</v>
      </c>
      <c r="E50" s="293">
        <f t="shared" si="0"/>
        <v>107.08526806498774</v>
      </c>
      <c r="F50" s="303"/>
      <c r="G50" s="205" t="str">
        <f t="shared" si="1"/>
        <v/>
      </c>
      <c r="H50" s="295" t="str">
        <f t="shared" si="2"/>
        <v/>
      </c>
      <c r="I50" s="296"/>
    </row>
    <row r="51" spans="1:9">
      <c r="A51" s="291">
        <v>49</v>
      </c>
      <c r="B51" s="292">
        <v>44093</v>
      </c>
      <c r="C51" s="293">
        <v>146.07268299999998</v>
      </c>
      <c r="D51" s="294">
        <v>107.08526806498774</v>
      </c>
      <c r="E51" s="293">
        <f t="shared" si="0"/>
        <v>107.08526806498774</v>
      </c>
      <c r="F51" s="303"/>
      <c r="G51" s="205" t="str">
        <f t="shared" si="1"/>
        <v/>
      </c>
      <c r="H51" s="295" t="str">
        <f t="shared" si="2"/>
        <v/>
      </c>
      <c r="I51" s="296"/>
    </row>
    <row r="52" spans="1:9">
      <c r="A52" s="291">
        <v>50</v>
      </c>
      <c r="B52" s="292">
        <v>44094</v>
      </c>
      <c r="C52" s="293">
        <v>71.398513000000008</v>
      </c>
      <c r="D52" s="294">
        <v>107.08526806498774</v>
      </c>
      <c r="E52" s="293">
        <f t="shared" si="0"/>
        <v>71.398513000000008</v>
      </c>
      <c r="F52" s="303"/>
      <c r="G52" s="205" t="str">
        <f t="shared" si="1"/>
        <v/>
      </c>
      <c r="H52" s="295" t="str">
        <f t="shared" si="2"/>
        <v/>
      </c>
      <c r="I52" s="296"/>
    </row>
    <row r="53" spans="1:9">
      <c r="A53" s="291">
        <v>51</v>
      </c>
      <c r="B53" s="292">
        <v>44095</v>
      </c>
      <c r="C53" s="293">
        <v>43.953246</v>
      </c>
      <c r="D53" s="294">
        <v>107.08526806498774</v>
      </c>
      <c r="E53" s="293">
        <f t="shared" si="0"/>
        <v>43.953246</v>
      </c>
      <c r="F53" s="303"/>
      <c r="G53" s="205" t="str">
        <f t="shared" si="1"/>
        <v/>
      </c>
      <c r="H53" s="295" t="str">
        <f t="shared" si="2"/>
        <v/>
      </c>
      <c r="I53" s="296"/>
    </row>
    <row r="54" spans="1:9">
      <c r="A54" s="291">
        <v>52</v>
      </c>
      <c r="B54" s="292">
        <v>44096</v>
      </c>
      <c r="C54" s="293">
        <v>42.289270999999999</v>
      </c>
      <c r="D54" s="294">
        <v>107.08526806498774</v>
      </c>
      <c r="E54" s="293">
        <f t="shared" si="0"/>
        <v>42.289270999999999</v>
      </c>
      <c r="F54" s="303"/>
      <c r="G54" s="205" t="str">
        <f t="shared" si="1"/>
        <v/>
      </c>
      <c r="H54" s="295" t="str">
        <f t="shared" si="2"/>
        <v/>
      </c>
      <c r="I54" s="296"/>
    </row>
    <row r="55" spans="1:9">
      <c r="A55" s="291">
        <v>53</v>
      </c>
      <c r="B55" s="292">
        <v>44097</v>
      </c>
      <c r="C55" s="293">
        <v>118.394065</v>
      </c>
      <c r="D55" s="294">
        <v>107.08526806498774</v>
      </c>
      <c r="E55" s="293">
        <f t="shared" si="0"/>
        <v>107.08526806498774</v>
      </c>
      <c r="F55" s="303"/>
      <c r="G55" s="205" t="str">
        <f t="shared" si="1"/>
        <v/>
      </c>
      <c r="H55" s="295" t="str">
        <f t="shared" si="2"/>
        <v/>
      </c>
      <c r="I55" s="296"/>
    </row>
    <row r="56" spans="1:9">
      <c r="A56" s="291">
        <v>54</v>
      </c>
      <c r="B56" s="292">
        <v>44098</v>
      </c>
      <c r="C56" s="293">
        <v>228.60527999999999</v>
      </c>
      <c r="D56" s="294">
        <v>107.08526806498774</v>
      </c>
      <c r="E56" s="293">
        <f t="shared" si="0"/>
        <v>107.08526806498774</v>
      </c>
      <c r="F56" s="303"/>
      <c r="G56" s="205" t="str">
        <f t="shared" si="1"/>
        <v/>
      </c>
      <c r="H56" s="295" t="str">
        <f t="shared" si="2"/>
        <v/>
      </c>
      <c r="I56" s="296"/>
    </row>
    <row r="57" spans="1:9">
      <c r="A57" s="291">
        <v>55</v>
      </c>
      <c r="B57" s="292">
        <v>44099</v>
      </c>
      <c r="C57" s="293">
        <v>330.956053</v>
      </c>
      <c r="D57" s="294">
        <v>107.08526806498774</v>
      </c>
      <c r="E57" s="293">
        <f t="shared" si="0"/>
        <v>107.08526806498774</v>
      </c>
      <c r="F57" s="303"/>
      <c r="G57" s="205" t="str">
        <f t="shared" si="1"/>
        <v/>
      </c>
      <c r="H57" s="295" t="str">
        <f t="shared" si="2"/>
        <v/>
      </c>
      <c r="I57" s="296"/>
    </row>
    <row r="58" spans="1:9">
      <c r="A58" s="291">
        <v>56</v>
      </c>
      <c r="B58" s="292">
        <v>44100</v>
      </c>
      <c r="C58" s="293">
        <v>271.05903899999998</v>
      </c>
      <c r="D58" s="294">
        <v>107.08526806498774</v>
      </c>
      <c r="E58" s="293">
        <f t="shared" si="0"/>
        <v>107.08526806498774</v>
      </c>
      <c r="F58" s="303"/>
      <c r="G58" s="205" t="str">
        <f t="shared" si="1"/>
        <v/>
      </c>
      <c r="H58" s="295" t="str">
        <f t="shared" si="2"/>
        <v/>
      </c>
      <c r="I58" s="296"/>
    </row>
    <row r="59" spans="1:9">
      <c r="A59" s="291">
        <v>57</v>
      </c>
      <c r="B59" s="292">
        <v>44101</v>
      </c>
      <c r="C59" s="293">
        <v>242.12344899999999</v>
      </c>
      <c r="D59" s="294">
        <v>107.08526806498774</v>
      </c>
      <c r="E59" s="293">
        <f t="shared" si="0"/>
        <v>107.08526806498774</v>
      </c>
      <c r="F59" s="303"/>
      <c r="G59" s="205" t="str">
        <f t="shared" si="1"/>
        <v/>
      </c>
      <c r="H59" s="295" t="str">
        <f t="shared" si="2"/>
        <v/>
      </c>
      <c r="I59" s="296"/>
    </row>
    <row r="60" spans="1:9">
      <c r="A60" s="291">
        <v>58</v>
      </c>
      <c r="B60" s="292">
        <v>44102</v>
      </c>
      <c r="C60" s="293">
        <v>136.61255</v>
      </c>
      <c r="D60" s="294">
        <v>107.08526806498774</v>
      </c>
      <c r="E60" s="293">
        <f t="shared" si="0"/>
        <v>107.08526806498774</v>
      </c>
      <c r="F60" s="303"/>
      <c r="G60" s="205" t="str">
        <f t="shared" si="1"/>
        <v/>
      </c>
      <c r="H60" s="295" t="str">
        <f t="shared" si="2"/>
        <v/>
      </c>
      <c r="I60" s="296"/>
    </row>
    <row r="61" spans="1:9">
      <c r="A61" s="291">
        <v>59</v>
      </c>
      <c r="B61" s="292">
        <v>44103</v>
      </c>
      <c r="C61" s="293">
        <v>53.063534999999995</v>
      </c>
      <c r="D61" s="294">
        <v>107.08526806498774</v>
      </c>
      <c r="E61" s="293">
        <f t="shared" si="0"/>
        <v>53.063534999999995</v>
      </c>
      <c r="F61" s="303"/>
      <c r="G61" s="205" t="str">
        <f t="shared" si="1"/>
        <v/>
      </c>
      <c r="H61" s="295" t="str">
        <f t="shared" si="2"/>
        <v/>
      </c>
      <c r="I61" s="296"/>
    </row>
    <row r="62" spans="1:9">
      <c r="A62" s="291">
        <v>60</v>
      </c>
      <c r="B62" s="292">
        <v>44104</v>
      </c>
      <c r="C62" s="293">
        <v>62.516165999999998</v>
      </c>
      <c r="D62" s="294">
        <v>107.08526806498774</v>
      </c>
      <c r="E62" s="293">
        <f t="shared" si="0"/>
        <v>62.516165999999998</v>
      </c>
      <c r="F62" s="303"/>
      <c r="G62" s="205" t="str">
        <f t="shared" si="1"/>
        <v/>
      </c>
      <c r="H62" s="295" t="str">
        <f t="shared" si="2"/>
        <v/>
      </c>
      <c r="I62" s="296"/>
    </row>
    <row r="63" spans="1:9">
      <c r="A63" s="291">
        <v>61</v>
      </c>
      <c r="B63" s="292">
        <v>44105</v>
      </c>
      <c r="C63" s="293">
        <v>202.31051200000002</v>
      </c>
      <c r="D63" s="294">
        <v>127.06121952683949</v>
      </c>
      <c r="E63" s="293">
        <f t="shared" si="0"/>
        <v>127.06121952683949</v>
      </c>
      <c r="F63" s="303"/>
      <c r="G63" s="205" t="str">
        <f t="shared" si="1"/>
        <v/>
      </c>
      <c r="H63" s="295" t="str">
        <f t="shared" si="2"/>
        <v/>
      </c>
      <c r="I63" s="296"/>
    </row>
    <row r="64" spans="1:9">
      <c r="A64" s="291">
        <v>62</v>
      </c>
      <c r="B64" s="292">
        <v>44106</v>
      </c>
      <c r="C64" s="293">
        <v>362.362075</v>
      </c>
      <c r="D64" s="294">
        <v>127.06121952683949</v>
      </c>
      <c r="E64" s="293">
        <f t="shared" si="0"/>
        <v>127.06121952683949</v>
      </c>
      <c r="F64" s="303"/>
      <c r="G64" s="205" t="str">
        <f t="shared" si="1"/>
        <v/>
      </c>
      <c r="H64" s="295" t="str">
        <f t="shared" si="2"/>
        <v/>
      </c>
      <c r="I64" s="296"/>
    </row>
    <row r="65" spans="1:9">
      <c r="A65" s="291">
        <v>63</v>
      </c>
      <c r="B65" s="292">
        <v>44107</v>
      </c>
      <c r="C65" s="293">
        <v>313.480929</v>
      </c>
      <c r="D65" s="294">
        <v>127.06121952683949</v>
      </c>
      <c r="E65" s="293">
        <f t="shared" si="0"/>
        <v>127.06121952683949</v>
      </c>
      <c r="F65" s="303"/>
      <c r="G65" s="205" t="str">
        <f t="shared" si="1"/>
        <v/>
      </c>
      <c r="H65" s="295" t="str">
        <f t="shared" si="2"/>
        <v/>
      </c>
      <c r="I65" s="296"/>
    </row>
    <row r="66" spans="1:9">
      <c r="A66" s="291">
        <v>64</v>
      </c>
      <c r="B66" s="292">
        <v>44108</v>
      </c>
      <c r="C66" s="293">
        <v>260.74477100000001</v>
      </c>
      <c r="D66" s="294">
        <v>127.06121952683949</v>
      </c>
      <c r="E66" s="293">
        <f t="shared" si="0"/>
        <v>127.06121952683949</v>
      </c>
      <c r="F66" s="303"/>
      <c r="G66" s="205" t="str">
        <f t="shared" si="1"/>
        <v/>
      </c>
      <c r="H66" s="295" t="str">
        <f t="shared" si="2"/>
        <v/>
      </c>
      <c r="I66" s="296"/>
    </row>
    <row r="67" spans="1:9">
      <c r="A67" s="291">
        <v>65</v>
      </c>
      <c r="B67" s="292">
        <v>44109</v>
      </c>
      <c r="C67" s="293">
        <v>174.01282799999998</v>
      </c>
      <c r="D67" s="294">
        <v>127.06121952683949</v>
      </c>
      <c r="E67" s="293">
        <f t="shared" ref="E67:E130" si="3">IF(C67&gt;D67,D67,C67)</f>
        <v>127.06121952683949</v>
      </c>
      <c r="F67" s="303"/>
      <c r="G67" s="205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295" t="str">
        <f t="shared" ref="H67:H130" si="5">IF(DAY($B67)=15,TEXT(D67,"#,0"),"")</f>
        <v/>
      </c>
      <c r="I67" s="296"/>
    </row>
    <row r="68" spans="1:9">
      <c r="A68" s="291">
        <v>66</v>
      </c>
      <c r="B68" s="292">
        <v>44110</v>
      </c>
      <c r="C68" s="293">
        <v>159.323689</v>
      </c>
      <c r="D68" s="294">
        <v>127.06121952683949</v>
      </c>
      <c r="E68" s="293">
        <f t="shared" si="3"/>
        <v>127.06121952683949</v>
      </c>
      <c r="F68" s="303"/>
      <c r="G68" s="205" t="str">
        <f t="shared" si="4"/>
        <v/>
      </c>
      <c r="H68" s="295" t="str">
        <f t="shared" si="5"/>
        <v/>
      </c>
      <c r="I68" s="296"/>
    </row>
    <row r="69" spans="1:9">
      <c r="A69" s="291">
        <v>67</v>
      </c>
      <c r="B69" s="292">
        <v>44111</v>
      </c>
      <c r="C69" s="293">
        <v>106.33266</v>
      </c>
      <c r="D69" s="294">
        <v>127.06121952683949</v>
      </c>
      <c r="E69" s="293">
        <f t="shared" si="3"/>
        <v>106.33266</v>
      </c>
      <c r="F69" s="303"/>
      <c r="G69" s="205" t="str">
        <f t="shared" si="4"/>
        <v/>
      </c>
      <c r="H69" s="295" t="str">
        <f t="shared" si="5"/>
        <v/>
      </c>
      <c r="I69" s="296"/>
    </row>
    <row r="70" spans="1:9">
      <c r="A70" s="291">
        <v>68</v>
      </c>
      <c r="B70" s="292">
        <v>44112</v>
      </c>
      <c r="C70" s="293">
        <v>60.809464999999996</v>
      </c>
      <c r="D70" s="294">
        <v>127.06121952683949</v>
      </c>
      <c r="E70" s="293">
        <f t="shared" si="3"/>
        <v>60.809464999999996</v>
      </c>
      <c r="F70" s="303"/>
      <c r="G70" s="205" t="str">
        <f t="shared" si="4"/>
        <v/>
      </c>
      <c r="H70" s="295" t="str">
        <f t="shared" si="5"/>
        <v/>
      </c>
      <c r="I70" s="296"/>
    </row>
    <row r="71" spans="1:9">
      <c r="A71" s="291">
        <v>69</v>
      </c>
      <c r="B71" s="292">
        <v>44113</v>
      </c>
      <c r="C71" s="293">
        <v>47.700455999999996</v>
      </c>
      <c r="D71" s="294">
        <v>127.06121952683949</v>
      </c>
      <c r="E71" s="293">
        <f t="shared" si="3"/>
        <v>47.700455999999996</v>
      </c>
      <c r="F71" s="303"/>
      <c r="G71" s="205" t="str">
        <f t="shared" si="4"/>
        <v/>
      </c>
      <c r="H71" s="295" t="str">
        <f t="shared" si="5"/>
        <v/>
      </c>
      <c r="I71" s="296"/>
    </row>
    <row r="72" spans="1:9">
      <c r="A72" s="291">
        <v>70</v>
      </c>
      <c r="B72" s="292">
        <v>44114</v>
      </c>
      <c r="C72" s="293">
        <v>209.87503899999999</v>
      </c>
      <c r="D72" s="294">
        <v>127.06121952683949</v>
      </c>
      <c r="E72" s="293">
        <f t="shared" si="3"/>
        <v>127.06121952683949</v>
      </c>
      <c r="F72" s="303"/>
      <c r="G72" s="205" t="str">
        <f t="shared" si="4"/>
        <v/>
      </c>
      <c r="H72" s="295" t="str">
        <f t="shared" si="5"/>
        <v/>
      </c>
      <c r="I72" s="296"/>
    </row>
    <row r="73" spans="1:9">
      <c r="A73" s="291">
        <v>71</v>
      </c>
      <c r="B73" s="292">
        <v>44115</v>
      </c>
      <c r="C73" s="293">
        <v>251.346497</v>
      </c>
      <c r="D73" s="294">
        <v>127.06121952683949</v>
      </c>
      <c r="E73" s="293">
        <f t="shared" si="3"/>
        <v>127.06121952683949</v>
      </c>
      <c r="F73" s="303"/>
      <c r="G73" s="205" t="str">
        <f t="shared" si="4"/>
        <v/>
      </c>
      <c r="H73" s="295" t="str">
        <f t="shared" si="5"/>
        <v/>
      </c>
      <c r="I73" s="296"/>
    </row>
    <row r="74" spans="1:9">
      <c r="A74" s="291">
        <v>72</v>
      </c>
      <c r="B74" s="292">
        <v>44116</v>
      </c>
      <c r="C74" s="293">
        <v>193.37521899999999</v>
      </c>
      <c r="D74" s="294">
        <v>127.06121952683949</v>
      </c>
      <c r="E74" s="293">
        <f t="shared" si="3"/>
        <v>127.06121952683949</v>
      </c>
      <c r="F74" s="303"/>
      <c r="G74" s="205" t="str">
        <f t="shared" si="4"/>
        <v/>
      </c>
      <c r="H74" s="295" t="str">
        <f t="shared" si="5"/>
        <v/>
      </c>
      <c r="I74" s="296"/>
    </row>
    <row r="75" spans="1:9">
      <c r="A75" s="291">
        <v>73</v>
      </c>
      <c r="B75" s="292">
        <v>44117</v>
      </c>
      <c r="C75" s="293">
        <v>162.52113700000001</v>
      </c>
      <c r="D75" s="294">
        <v>127.06121952683949</v>
      </c>
      <c r="E75" s="293">
        <f t="shared" si="3"/>
        <v>127.06121952683949</v>
      </c>
      <c r="F75" s="303"/>
      <c r="G75" s="205" t="str">
        <f t="shared" si="4"/>
        <v/>
      </c>
      <c r="H75" s="295" t="str">
        <f t="shared" si="5"/>
        <v/>
      </c>
      <c r="I75" s="296"/>
    </row>
    <row r="76" spans="1:9">
      <c r="A76" s="291">
        <v>74</v>
      </c>
      <c r="B76" s="292">
        <v>44118</v>
      </c>
      <c r="C76" s="293">
        <v>204.77273799999998</v>
      </c>
      <c r="D76" s="294">
        <v>127.06121952683949</v>
      </c>
      <c r="E76" s="293">
        <f t="shared" si="3"/>
        <v>127.06121952683949</v>
      </c>
      <c r="F76" s="303"/>
      <c r="G76" s="205" t="str">
        <f t="shared" si="4"/>
        <v/>
      </c>
      <c r="H76" s="295" t="str">
        <f t="shared" si="5"/>
        <v/>
      </c>
      <c r="I76" s="296"/>
    </row>
    <row r="77" spans="1:9">
      <c r="A77" s="291">
        <v>75</v>
      </c>
      <c r="B77" s="292">
        <v>44119</v>
      </c>
      <c r="C77" s="293">
        <v>182.103228</v>
      </c>
      <c r="D77" s="294">
        <v>127.06121952683949</v>
      </c>
      <c r="E77" s="293">
        <f t="shared" si="3"/>
        <v>127.06121952683949</v>
      </c>
      <c r="F77" s="303"/>
      <c r="G77" s="205" t="str">
        <f t="shared" si="4"/>
        <v>O</v>
      </c>
      <c r="H77" s="295" t="str">
        <f t="shared" si="5"/>
        <v>127,1</v>
      </c>
      <c r="I77" s="296"/>
    </row>
    <row r="78" spans="1:9">
      <c r="A78" s="291">
        <v>76</v>
      </c>
      <c r="B78" s="292">
        <v>44120</v>
      </c>
      <c r="C78" s="293">
        <v>110.112658</v>
      </c>
      <c r="D78" s="294">
        <v>127.06121952683949</v>
      </c>
      <c r="E78" s="293">
        <f t="shared" si="3"/>
        <v>110.112658</v>
      </c>
      <c r="F78" s="303"/>
      <c r="G78" s="205" t="str">
        <f t="shared" si="4"/>
        <v/>
      </c>
      <c r="H78" s="295" t="str">
        <f t="shared" si="5"/>
        <v/>
      </c>
      <c r="I78" s="296"/>
    </row>
    <row r="79" spans="1:9">
      <c r="A79" s="291">
        <v>77</v>
      </c>
      <c r="B79" s="292">
        <v>44121</v>
      </c>
      <c r="C79" s="293">
        <v>50.603332999999999</v>
      </c>
      <c r="D79" s="294">
        <v>127.06121952683949</v>
      </c>
      <c r="E79" s="293">
        <f t="shared" si="3"/>
        <v>50.603332999999999</v>
      </c>
      <c r="F79" s="303"/>
      <c r="G79" s="205" t="str">
        <f t="shared" si="4"/>
        <v/>
      </c>
      <c r="H79" s="295" t="str">
        <f t="shared" si="5"/>
        <v/>
      </c>
      <c r="I79" s="296"/>
    </row>
    <row r="80" spans="1:9">
      <c r="A80" s="291">
        <v>78</v>
      </c>
      <c r="B80" s="292">
        <v>44122</v>
      </c>
      <c r="C80" s="293">
        <v>61.568391000000005</v>
      </c>
      <c r="D80" s="294">
        <v>127.06121952683949</v>
      </c>
      <c r="E80" s="293">
        <f t="shared" si="3"/>
        <v>61.568391000000005</v>
      </c>
      <c r="F80" s="303"/>
      <c r="G80" s="205" t="str">
        <f t="shared" si="4"/>
        <v/>
      </c>
      <c r="H80" s="295" t="str">
        <f t="shared" si="5"/>
        <v/>
      </c>
      <c r="I80" s="296"/>
    </row>
    <row r="81" spans="1:9">
      <c r="A81" s="291">
        <v>79</v>
      </c>
      <c r="B81" s="292">
        <v>44123</v>
      </c>
      <c r="C81" s="293">
        <v>286.007882</v>
      </c>
      <c r="D81" s="294">
        <v>127.06121952683949</v>
      </c>
      <c r="E81" s="293">
        <f t="shared" si="3"/>
        <v>127.06121952683949</v>
      </c>
      <c r="F81" s="303"/>
      <c r="G81" s="205" t="str">
        <f t="shared" si="4"/>
        <v/>
      </c>
      <c r="H81" s="295" t="str">
        <f t="shared" si="5"/>
        <v/>
      </c>
      <c r="I81" s="296"/>
    </row>
    <row r="82" spans="1:9">
      <c r="A82" s="291">
        <v>80</v>
      </c>
      <c r="B82" s="292">
        <v>44124</v>
      </c>
      <c r="C82" s="293">
        <v>337.56826000000001</v>
      </c>
      <c r="D82" s="294">
        <v>127.06121952683949</v>
      </c>
      <c r="E82" s="293">
        <f t="shared" si="3"/>
        <v>127.06121952683949</v>
      </c>
      <c r="F82" s="303"/>
      <c r="G82" s="205" t="str">
        <f t="shared" si="4"/>
        <v/>
      </c>
      <c r="H82" s="295" t="str">
        <f t="shared" si="5"/>
        <v/>
      </c>
      <c r="I82" s="296"/>
    </row>
    <row r="83" spans="1:9">
      <c r="A83" s="291">
        <v>81</v>
      </c>
      <c r="B83" s="292">
        <v>44125</v>
      </c>
      <c r="C83" s="293">
        <v>248.219323</v>
      </c>
      <c r="D83" s="294">
        <v>127.06121952683949</v>
      </c>
      <c r="E83" s="293">
        <f t="shared" si="3"/>
        <v>127.06121952683949</v>
      </c>
      <c r="F83" s="303"/>
      <c r="G83" s="205" t="str">
        <f t="shared" si="4"/>
        <v/>
      </c>
      <c r="H83" s="295" t="str">
        <f t="shared" si="5"/>
        <v/>
      </c>
      <c r="I83" s="296"/>
    </row>
    <row r="84" spans="1:9">
      <c r="A84" s="291">
        <v>82</v>
      </c>
      <c r="B84" s="292">
        <v>44126</v>
      </c>
      <c r="C84" s="293">
        <v>139.688761</v>
      </c>
      <c r="D84" s="294">
        <v>127.06121952683949</v>
      </c>
      <c r="E84" s="293">
        <f t="shared" si="3"/>
        <v>127.06121952683949</v>
      </c>
      <c r="F84" s="303"/>
      <c r="G84" s="205" t="str">
        <f t="shared" si="4"/>
        <v/>
      </c>
      <c r="H84" s="295" t="str">
        <f t="shared" si="5"/>
        <v/>
      </c>
      <c r="I84" s="296"/>
    </row>
    <row r="85" spans="1:9">
      <c r="A85" s="291">
        <v>83</v>
      </c>
      <c r="B85" s="292">
        <v>44127</v>
      </c>
      <c r="C85" s="293">
        <v>164.82696799999999</v>
      </c>
      <c r="D85" s="294">
        <v>127.06121952683949</v>
      </c>
      <c r="E85" s="293">
        <f t="shared" si="3"/>
        <v>127.06121952683949</v>
      </c>
      <c r="F85" s="303"/>
      <c r="G85" s="205" t="str">
        <f t="shared" si="4"/>
        <v/>
      </c>
      <c r="H85" s="295" t="str">
        <f t="shared" si="5"/>
        <v/>
      </c>
      <c r="I85" s="296"/>
    </row>
    <row r="86" spans="1:9">
      <c r="A86" s="291">
        <v>84</v>
      </c>
      <c r="B86" s="292">
        <v>44128</v>
      </c>
      <c r="C86" s="293">
        <v>218.245396</v>
      </c>
      <c r="D86" s="294">
        <v>127.06121952683949</v>
      </c>
      <c r="E86" s="293">
        <f t="shared" si="3"/>
        <v>127.06121952683949</v>
      </c>
      <c r="F86" s="303"/>
      <c r="G86" s="205" t="str">
        <f t="shared" si="4"/>
        <v/>
      </c>
      <c r="H86" s="295" t="str">
        <f t="shared" si="5"/>
        <v/>
      </c>
      <c r="I86" s="296"/>
    </row>
    <row r="87" spans="1:9">
      <c r="A87" s="291">
        <v>85</v>
      </c>
      <c r="B87" s="292">
        <v>44129</v>
      </c>
      <c r="C87" s="293">
        <v>293.95637599999998</v>
      </c>
      <c r="D87" s="294">
        <v>127.06121952683949</v>
      </c>
      <c r="E87" s="293">
        <f t="shared" si="3"/>
        <v>127.06121952683949</v>
      </c>
      <c r="F87" s="303"/>
      <c r="G87" s="205" t="str">
        <f t="shared" si="4"/>
        <v/>
      </c>
      <c r="H87" s="295" t="str">
        <f t="shared" si="5"/>
        <v/>
      </c>
      <c r="I87" s="296"/>
    </row>
    <row r="88" spans="1:9">
      <c r="A88" s="291">
        <v>86</v>
      </c>
      <c r="B88" s="292">
        <v>44130</v>
      </c>
      <c r="C88" s="293">
        <v>273.29149999999998</v>
      </c>
      <c r="D88" s="294">
        <v>127.06121952683949</v>
      </c>
      <c r="E88" s="293">
        <f t="shared" si="3"/>
        <v>127.06121952683949</v>
      </c>
      <c r="F88" s="303"/>
      <c r="G88" s="205" t="str">
        <f t="shared" si="4"/>
        <v/>
      </c>
      <c r="H88" s="295" t="str">
        <f t="shared" si="5"/>
        <v/>
      </c>
      <c r="I88" s="296"/>
    </row>
    <row r="89" spans="1:9">
      <c r="A89" s="291">
        <v>87</v>
      </c>
      <c r="B89" s="292">
        <v>44131</v>
      </c>
      <c r="C89" s="293">
        <v>242.68268899999998</v>
      </c>
      <c r="D89" s="294">
        <v>127.06121952683949</v>
      </c>
      <c r="E89" s="293">
        <f t="shared" si="3"/>
        <v>127.06121952683949</v>
      </c>
      <c r="F89" s="303"/>
      <c r="G89" s="205" t="str">
        <f t="shared" si="4"/>
        <v/>
      </c>
      <c r="H89" s="295" t="str">
        <f t="shared" si="5"/>
        <v/>
      </c>
      <c r="I89" s="296"/>
    </row>
    <row r="90" spans="1:9">
      <c r="A90" s="291">
        <v>88</v>
      </c>
      <c r="B90" s="292">
        <v>44132</v>
      </c>
      <c r="C90" s="293">
        <v>117.49772900000001</v>
      </c>
      <c r="D90" s="294">
        <v>127.06121952683949</v>
      </c>
      <c r="E90" s="293">
        <f t="shared" si="3"/>
        <v>117.49772900000001</v>
      </c>
      <c r="F90" s="303"/>
      <c r="G90" s="205" t="str">
        <f t="shared" si="4"/>
        <v/>
      </c>
      <c r="H90" s="295" t="str">
        <f t="shared" si="5"/>
        <v/>
      </c>
      <c r="I90" s="296"/>
    </row>
    <row r="91" spans="1:9">
      <c r="A91" s="291">
        <v>89</v>
      </c>
      <c r="B91" s="292">
        <v>44133</v>
      </c>
      <c r="C91" s="293">
        <v>58.620100999999998</v>
      </c>
      <c r="D91" s="294">
        <v>127.06121952683949</v>
      </c>
      <c r="E91" s="293">
        <f t="shared" si="3"/>
        <v>58.620100999999998</v>
      </c>
      <c r="F91" s="303"/>
      <c r="G91" s="205" t="str">
        <f t="shared" si="4"/>
        <v/>
      </c>
      <c r="H91" s="295" t="str">
        <f t="shared" si="5"/>
        <v/>
      </c>
      <c r="I91" s="296"/>
    </row>
    <row r="92" spans="1:9">
      <c r="A92" s="291">
        <v>90</v>
      </c>
      <c r="B92" s="292">
        <v>44134</v>
      </c>
      <c r="C92" s="293">
        <v>87.59764100000001</v>
      </c>
      <c r="D92" s="294">
        <v>127.06121952683949</v>
      </c>
      <c r="E92" s="293">
        <f t="shared" si="3"/>
        <v>87.59764100000001</v>
      </c>
      <c r="F92" s="303"/>
      <c r="G92" s="205" t="str">
        <f t="shared" si="4"/>
        <v/>
      </c>
      <c r="H92" s="295" t="str">
        <f t="shared" si="5"/>
        <v/>
      </c>
      <c r="I92" s="296"/>
    </row>
    <row r="93" spans="1:9">
      <c r="A93" s="291">
        <v>91</v>
      </c>
      <c r="B93" s="292">
        <v>44135</v>
      </c>
      <c r="C93" s="293">
        <v>123.97042500000001</v>
      </c>
      <c r="D93" s="294">
        <v>127.06121952683949</v>
      </c>
      <c r="E93" s="293">
        <f t="shared" si="3"/>
        <v>123.97042500000001</v>
      </c>
      <c r="F93" s="303"/>
      <c r="G93" s="205" t="str">
        <f t="shared" si="4"/>
        <v/>
      </c>
      <c r="H93" s="295" t="str">
        <f t="shared" si="5"/>
        <v/>
      </c>
      <c r="I93" s="296"/>
    </row>
    <row r="94" spans="1:9">
      <c r="A94" s="291">
        <v>92</v>
      </c>
      <c r="B94" s="292">
        <v>44136</v>
      </c>
      <c r="C94" s="293">
        <v>125.23935300000001</v>
      </c>
      <c r="D94" s="294">
        <v>176.69829634449792</v>
      </c>
      <c r="E94" s="293">
        <f t="shared" si="3"/>
        <v>125.23935300000001</v>
      </c>
      <c r="F94" s="296"/>
      <c r="G94" s="205" t="str">
        <f t="shared" si="4"/>
        <v/>
      </c>
      <c r="H94" s="295" t="str">
        <f t="shared" si="5"/>
        <v/>
      </c>
      <c r="I94" s="296"/>
    </row>
    <row r="95" spans="1:9">
      <c r="A95" s="291">
        <v>93</v>
      </c>
      <c r="B95" s="292">
        <v>44137</v>
      </c>
      <c r="C95" s="293">
        <v>85.920673000000008</v>
      </c>
      <c r="D95" s="294">
        <v>176.69829634449792</v>
      </c>
      <c r="E95" s="293">
        <f t="shared" si="3"/>
        <v>85.920673000000008</v>
      </c>
      <c r="F95" s="303"/>
      <c r="G95" s="205" t="str">
        <f t="shared" si="4"/>
        <v/>
      </c>
      <c r="H95" s="295" t="str">
        <f t="shared" si="5"/>
        <v/>
      </c>
      <c r="I95" s="296"/>
    </row>
    <row r="96" spans="1:9">
      <c r="A96" s="291">
        <v>94</v>
      </c>
      <c r="B96" s="292">
        <v>44138</v>
      </c>
      <c r="C96" s="293">
        <v>180.38563200000002</v>
      </c>
      <c r="D96" s="294">
        <v>176.69829634449792</v>
      </c>
      <c r="E96" s="293">
        <f t="shared" si="3"/>
        <v>176.69829634449792</v>
      </c>
      <c r="F96" s="303"/>
      <c r="G96" s="205" t="str">
        <f t="shared" si="4"/>
        <v/>
      </c>
      <c r="H96" s="295" t="str">
        <f t="shared" si="5"/>
        <v/>
      </c>
      <c r="I96" s="296"/>
    </row>
    <row r="97" spans="1:9">
      <c r="A97" s="291">
        <v>95</v>
      </c>
      <c r="B97" s="292">
        <v>44139</v>
      </c>
      <c r="C97" s="293">
        <v>217.22378400000002</v>
      </c>
      <c r="D97" s="294">
        <v>176.69829634449792</v>
      </c>
      <c r="E97" s="293">
        <f t="shared" si="3"/>
        <v>176.69829634449792</v>
      </c>
      <c r="F97" s="303"/>
      <c r="G97" s="205" t="str">
        <f t="shared" si="4"/>
        <v/>
      </c>
      <c r="H97" s="295" t="str">
        <f t="shared" si="5"/>
        <v/>
      </c>
      <c r="I97" s="296"/>
    </row>
    <row r="98" spans="1:9">
      <c r="A98" s="291">
        <v>96</v>
      </c>
      <c r="B98" s="292">
        <v>44140</v>
      </c>
      <c r="C98" s="293">
        <v>307.200491</v>
      </c>
      <c r="D98" s="294">
        <v>176.69829634449792</v>
      </c>
      <c r="E98" s="293">
        <f t="shared" si="3"/>
        <v>176.69829634449792</v>
      </c>
      <c r="F98" s="303"/>
      <c r="G98" s="205" t="str">
        <f t="shared" si="4"/>
        <v/>
      </c>
      <c r="H98" s="295" t="str">
        <f t="shared" si="5"/>
        <v/>
      </c>
      <c r="I98" s="296"/>
    </row>
    <row r="99" spans="1:9">
      <c r="A99" s="291">
        <v>97</v>
      </c>
      <c r="B99" s="292">
        <v>44141</v>
      </c>
      <c r="C99" s="293">
        <v>337.01701800000001</v>
      </c>
      <c r="D99" s="294">
        <v>176.69829634449792</v>
      </c>
      <c r="E99" s="293">
        <f t="shared" si="3"/>
        <v>176.69829634449792</v>
      </c>
      <c r="F99" s="303"/>
      <c r="G99" s="205" t="str">
        <f t="shared" si="4"/>
        <v/>
      </c>
      <c r="H99" s="295" t="str">
        <f t="shared" si="5"/>
        <v/>
      </c>
      <c r="I99" s="296"/>
    </row>
    <row r="100" spans="1:9">
      <c r="A100" s="291">
        <v>98</v>
      </c>
      <c r="B100" s="292">
        <v>44142</v>
      </c>
      <c r="C100" s="293">
        <v>233.18067499999998</v>
      </c>
      <c r="D100" s="294">
        <v>176.69829634449792</v>
      </c>
      <c r="E100" s="293">
        <f t="shared" si="3"/>
        <v>176.69829634449792</v>
      </c>
      <c r="F100" s="303"/>
      <c r="G100" s="205" t="str">
        <f t="shared" si="4"/>
        <v/>
      </c>
      <c r="H100" s="295" t="str">
        <f t="shared" si="5"/>
        <v/>
      </c>
      <c r="I100" s="296"/>
    </row>
    <row r="101" spans="1:9">
      <c r="A101" s="291">
        <v>99</v>
      </c>
      <c r="B101" s="292">
        <v>44143</v>
      </c>
      <c r="C101" s="293">
        <v>156.800454</v>
      </c>
      <c r="D101" s="294">
        <v>176.69829634449792</v>
      </c>
      <c r="E101" s="293">
        <f t="shared" si="3"/>
        <v>156.800454</v>
      </c>
      <c r="F101" s="303"/>
      <c r="G101" s="205" t="str">
        <f t="shared" si="4"/>
        <v/>
      </c>
      <c r="H101" s="295" t="str">
        <f t="shared" si="5"/>
        <v/>
      </c>
      <c r="I101" s="296"/>
    </row>
    <row r="102" spans="1:9">
      <c r="A102" s="291">
        <v>100</v>
      </c>
      <c r="B102" s="292">
        <v>44144</v>
      </c>
      <c r="C102" s="293">
        <v>60.645159</v>
      </c>
      <c r="D102" s="294">
        <v>176.69829634449792</v>
      </c>
      <c r="E102" s="293">
        <f t="shared" si="3"/>
        <v>60.645159</v>
      </c>
      <c r="F102" s="303"/>
      <c r="G102" s="205" t="str">
        <f t="shared" si="4"/>
        <v/>
      </c>
      <c r="H102" s="295" t="str">
        <f t="shared" si="5"/>
        <v/>
      </c>
      <c r="I102" s="296"/>
    </row>
    <row r="103" spans="1:9">
      <c r="A103" s="291">
        <v>101</v>
      </c>
      <c r="B103" s="292">
        <v>44145</v>
      </c>
      <c r="C103" s="293">
        <v>35.971010999999997</v>
      </c>
      <c r="D103" s="294">
        <v>176.69829634449792</v>
      </c>
      <c r="E103" s="293">
        <f t="shared" si="3"/>
        <v>35.971010999999997</v>
      </c>
      <c r="F103" s="303"/>
      <c r="G103" s="205" t="str">
        <f t="shared" si="4"/>
        <v/>
      </c>
      <c r="H103" s="295" t="str">
        <f t="shared" si="5"/>
        <v/>
      </c>
      <c r="I103" s="296"/>
    </row>
    <row r="104" spans="1:9">
      <c r="A104" s="291">
        <v>102</v>
      </c>
      <c r="B104" s="292">
        <v>44146</v>
      </c>
      <c r="C104" s="293">
        <v>140.179191</v>
      </c>
      <c r="D104" s="294">
        <v>176.69829634449792</v>
      </c>
      <c r="E104" s="293">
        <f t="shared" si="3"/>
        <v>140.179191</v>
      </c>
      <c r="F104" s="303"/>
      <c r="G104" s="205" t="str">
        <f t="shared" si="4"/>
        <v/>
      </c>
      <c r="H104" s="295" t="str">
        <f t="shared" si="5"/>
        <v/>
      </c>
      <c r="I104" s="296"/>
    </row>
    <row r="105" spans="1:9">
      <c r="A105" s="291">
        <v>103</v>
      </c>
      <c r="B105" s="292">
        <v>44147</v>
      </c>
      <c r="C105" s="293">
        <v>97.544676999999993</v>
      </c>
      <c r="D105" s="294">
        <v>176.69829634449792</v>
      </c>
      <c r="E105" s="293">
        <f t="shared" si="3"/>
        <v>97.544676999999993</v>
      </c>
      <c r="F105" s="303"/>
      <c r="G105" s="205" t="str">
        <f t="shared" si="4"/>
        <v/>
      </c>
      <c r="H105" s="295" t="str">
        <f t="shared" si="5"/>
        <v/>
      </c>
      <c r="I105" s="296"/>
    </row>
    <row r="106" spans="1:9">
      <c r="A106" s="291">
        <v>104</v>
      </c>
      <c r="B106" s="292">
        <v>44148</v>
      </c>
      <c r="C106" s="293">
        <v>79.493798999999996</v>
      </c>
      <c r="D106" s="294">
        <v>176.69829634449792</v>
      </c>
      <c r="E106" s="293">
        <f t="shared" si="3"/>
        <v>79.493798999999996</v>
      </c>
      <c r="F106" s="303"/>
      <c r="G106" s="205" t="str">
        <f t="shared" si="4"/>
        <v/>
      </c>
      <c r="H106" s="295" t="str">
        <f t="shared" si="5"/>
        <v/>
      </c>
      <c r="I106" s="296"/>
    </row>
    <row r="107" spans="1:9">
      <c r="A107" s="291">
        <v>105</v>
      </c>
      <c r="B107" s="292">
        <v>44149</v>
      </c>
      <c r="C107" s="293">
        <v>134.23853400000002</v>
      </c>
      <c r="D107" s="294">
        <v>176.69829634449792</v>
      </c>
      <c r="E107" s="293">
        <f t="shared" si="3"/>
        <v>134.23853400000002</v>
      </c>
      <c r="F107" s="303"/>
      <c r="G107" s="205" t="str">
        <f t="shared" si="4"/>
        <v/>
      </c>
      <c r="H107" s="295" t="str">
        <f t="shared" si="5"/>
        <v/>
      </c>
      <c r="I107" s="296"/>
    </row>
    <row r="108" spans="1:9">
      <c r="A108" s="291">
        <v>106</v>
      </c>
      <c r="B108" s="292">
        <v>44150</v>
      </c>
      <c r="C108" s="293">
        <v>221.19378499999999</v>
      </c>
      <c r="D108" s="294">
        <v>176.69829634449792</v>
      </c>
      <c r="E108" s="293">
        <f t="shared" si="3"/>
        <v>176.69829634449792</v>
      </c>
      <c r="F108" s="303"/>
      <c r="G108" s="205" t="str">
        <f t="shared" si="4"/>
        <v>N</v>
      </c>
      <c r="H108" s="295" t="str">
        <f t="shared" si="5"/>
        <v>176,7</v>
      </c>
      <c r="I108" s="296"/>
    </row>
    <row r="109" spans="1:9">
      <c r="A109" s="291">
        <v>107</v>
      </c>
      <c r="B109" s="292">
        <v>44151</v>
      </c>
      <c r="C109" s="293">
        <v>105.925865</v>
      </c>
      <c r="D109" s="294">
        <v>176.69829634449792</v>
      </c>
      <c r="E109" s="293">
        <f t="shared" si="3"/>
        <v>105.925865</v>
      </c>
      <c r="F109" s="303"/>
      <c r="G109" s="205" t="str">
        <f t="shared" si="4"/>
        <v/>
      </c>
      <c r="H109" s="295" t="str">
        <f t="shared" si="5"/>
        <v/>
      </c>
      <c r="I109" s="296"/>
    </row>
    <row r="110" spans="1:9">
      <c r="A110" s="291">
        <v>108</v>
      </c>
      <c r="B110" s="292">
        <v>44152</v>
      </c>
      <c r="C110" s="293">
        <v>58.954802999999998</v>
      </c>
      <c r="D110" s="294">
        <v>176.69829634449792</v>
      </c>
      <c r="E110" s="293">
        <f t="shared" si="3"/>
        <v>58.954802999999998</v>
      </c>
      <c r="F110" s="303"/>
      <c r="G110" s="205" t="str">
        <f t="shared" si="4"/>
        <v/>
      </c>
      <c r="H110" s="295" t="str">
        <f t="shared" si="5"/>
        <v/>
      </c>
      <c r="I110" s="296"/>
    </row>
    <row r="111" spans="1:9">
      <c r="A111" s="291">
        <v>109</v>
      </c>
      <c r="B111" s="292">
        <v>44153</v>
      </c>
      <c r="C111" s="293">
        <v>90.291903000000005</v>
      </c>
      <c r="D111" s="294">
        <v>176.69829634449792</v>
      </c>
      <c r="E111" s="293">
        <f t="shared" si="3"/>
        <v>90.291903000000005</v>
      </c>
      <c r="F111" s="303"/>
      <c r="G111" s="205" t="str">
        <f t="shared" si="4"/>
        <v/>
      </c>
      <c r="H111" s="295" t="str">
        <f t="shared" si="5"/>
        <v/>
      </c>
      <c r="I111" s="296"/>
    </row>
    <row r="112" spans="1:9">
      <c r="A112" s="291">
        <v>110</v>
      </c>
      <c r="B112" s="292">
        <v>44154</v>
      </c>
      <c r="C112" s="293">
        <v>190.15540299999998</v>
      </c>
      <c r="D112" s="294">
        <v>176.69829634449792</v>
      </c>
      <c r="E112" s="293">
        <f t="shared" si="3"/>
        <v>176.69829634449792</v>
      </c>
      <c r="F112" s="303"/>
      <c r="G112" s="205" t="str">
        <f t="shared" si="4"/>
        <v/>
      </c>
      <c r="H112" s="295" t="str">
        <f t="shared" si="5"/>
        <v/>
      </c>
      <c r="I112" s="296"/>
    </row>
    <row r="113" spans="1:9">
      <c r="A113" s="291">
        <v>111</v>
      </c>
      <c r="B113" s="292">
        <v>44155</v>
      </c>
      <c r="C113" s="293">
        <v>261.16264999999999</v>
      </c>
      <c r="D113" s="294">
        <v>176.69829634449792</v>
      </c>
      <c r="E113" s="293">
        <f t="shared" si="3"/>
        <v>176.69829634449792</v>
      </c>
      <c r="F113" s="303"/>
      <c r="G113" s="205" t="str">
        <f t="shared" si="4"/>
        <v/>
      </c>
      <c r="H113" s="295" t="str">
        <f t="shared" si="5"/>
        <v/>
      </c>
      <c r="I113" s="296"/>
    </row>
    <row r="114" spans="1:9">
      <c r="A114" s="291">
        <v>112</v>
      </c>
      <c r="B114" s="292">
        <v>44156</v>
      </c>
      <c r="C114" s="293">
        <v>115.55608599999999</v>
      </c>
      <c r="D114" s="294">
        <v>176.69829634449792</v>
      </c>
      <c r="E114" s="293">
        <f t="shared" si="3"/>
        <v>115.55608599999999</v>
      </c>
      <c r="F114" s="303"/>
      <c r="G114" s="205" t="str">
        <f t="shared" si="4"/>
        <v/>
      </c>
      <c r="H114" s="295" t="str">
        <f t="shared" si="5"/>
        <v/>
      </c>
      <c r="I114" s="296"/>
    </row>
    <row r="115" spans="1:9">
      <c r="A115" s="291">
        <v>113</v>
      </c>
      <c r="B115" s="292">
        <v>44157</v>
      </c>
      <c r="C115" s="293">
        <v>56.336182999999998</v>
      </c>
      <c r="D115" s="294">
        <v>176.69829634449792</v>
      </c>
      <c r="E115" s="293">
        <f t="shared" si="3"/>
        <v>56.336182999999998</v>
      </c>
      <c r="F115" s="303"/>
      <c r="G115" s="205" t="str">
        <f t="shared" si="4"/>
        <v/>
      </c>
      <c r="H115" s="295" t="str">
        <f t="shared" si="5"/>
        <v/>
      </c>
      <c r="I115" s="296"/>
    </row>
    <row r="116" spans="1:9">
      <c r="A116" s="291">
        <v>114</v>
      </c>
      <c r="B116" s="292">
        <v>44158</v>
      </c>
      <c r="C116" s="293">
        <v>46.552162000000003</v>
      </c>
      <c r="D116" s="294">
        <v>176.69829634449792</v>
      </c>
      <c r="E116" s="293">
        <f t="shared" si="3"/>
        <v>46.552162000000003</v>
      </c>
      <c r="F116" s="303"/>
      <c r="G116" s="205" t="str">
        <f t="shared" si="4"/>
        <v/>
      </c>
      <c r="H116" s="295" t="str">
        <f t="shared" si="5"/>
        <v/>
      </c>
      <c r="I116" s="296"/>
    </row>
    <row r="117" spans="1:9">
      <c r="A117" s="291">
        <v>115</v>
      </c>
      <c r="B117" s="292">
        <v>44159</v>
      </c>
      <c r="C117" s="293">
        <v>100.392511</v>
      </c>
      <c r="D117" s="294">
        <v>176.69829634449792</v>
      </c>
      <c r="E117" s="293">
        <f t="shared" si="3"/>
        <v>100.392511</v>
      </c>
      <c r="F117" s="303"/>
      <c r="G117" s="205" t="str">
        <f t="shared" si="4"/>
        <v/>
      </c>
      <c r="H117" s="295" t="str">
        <f t="shared" si="5"/>
        <v/>
      </c>
      <c r="I117" s="296"/>
    </row>
    <row r="118" spans="1:9">
      <c r="A118" s="291">
        <v>116</v>
      </c>
      <c r="B118" s="292">
        <v>44160</v>
      </c>
      <c r="C118" s="293">
        <v>121.453129</v>
      </c>
      <c r="D118" s="294">
        <v>176.69829634449792</v>
      </c>
      <c r="E118" s="293">
        <f t="shared" si="3"/>
        <v>121.453129</v>
      </c>
      <c r="F118" s="303"/>
      <c r="G118" s="205" t="str">
        <f t="shared" si="4"/>
        <v/>
      </c>
      <c r="H118" s="295" t="str">
        <f t="shared" si="5"/>
        <v/>
      </c>
      <c r="I118" s="296"/>
    </row>
    <row r="119" spans="1:9">
      <c r="A119" s="291">
        <v>117</v>
      </c>
      <c r="B119" s="292">
        <v>44161</v>
      </c>
      <c r="C119" s="293">
        <v>231.44024200000001</v>
      </c>
      <c r="D119" s="294">
        <v>176.69829634449792</v>
      </c>
      <c r="E119" s="293">
        <f t="shared" si="3"/>
        <v>176.69829634449792</v>
      </c>
      <c r="F119" s="303"/>
      <c r="G119" s="205" t="str">
        <f t="shared" si="4"/>
        <v/>
      </c>
      <c r="H119" s="295" t="str">
        <f t="shared" si="5"/>
        <v/>
      </c>
      <c r="I119" s="296"/>
    </row>
    <row r="120" spans="1:9">
      <c r="A120" s="291">
        <v>118</v>
      </c>
      <c r="B120" s="292">
        <v>44162</v>
      </c>
      <c r="C120" s="293">
        <v>155.23078099999998</v>
      </c>
      <c r="D120" s="294">
        <v>176.69829634449792</v>
      </c>
      <c r="E120" s="293">
        <f t="shared" si="3"/>
        <v>155.23078099999998</v>
      </c>
      <c r="F120" s="303"/>
      <c r="G120" s="205" t="str">
        <f t="shared" si="4"/>
        <v/>
      </c>
      <c r="H120" s="295" t="str">
        <f t="shared" si="5"/>
        <v/>
      </c>
      <c r="I120" s="296"/>
    </row>
    <row r="121" spans="1:9">
      <c r="A121" s="291">
        <v>119</v>
      </c>
      <c r="B121" s="292">
        <v>44163</v>
      </c>
      <c r="C121" s="293">
        <v>70.368157999999994</v>
      </c>
      <c r="D121" s="294">
        <v>176.69829634449792</v>
      </c>
      <c r="E121" s="293">
        <f t="shared" si="3"/>
        <v>70.368157999999994</v>
      </c>
      <c r="F121" s="303"/>
      <c r="G121" s="205" t="str">
        <f t="shared" si="4"/>
        <v/>
      </c>
      <c r="H121" s="295" t="str">
        <f t="shared" si="5"/>
        <v/>
      </c>
      <c r="I121" s="296"/>
    </row>
    <row r="122" spans="1:9">
      <c r="A122" s="291">
        <v>120</v>
      </c>
      <c r="B122" s="292">
        <v>44164</v>
      </c>
      <c r="C122" s="293">
        <v>52.875363</v>
      </c>
      <c r="D122" s="294">
        <v>176.69829634449792</v>
      </c>
      <c r="E122" s="293">
        <f t="shared" si="3"/>
        <v>52.875363</v>
      </c>
      <c r="F122" s="303"/>
      <c r="G122" s="205" t="str">
        <f t="shared" si="4"/>
        <v/>
      </c>
      <c r="H122" s="295" t="str">
        <f t="shared" si="5"/>
        <v/>
      </c>
      <c r="I122" s="296"/>
    </row>
    <row r="123" spans="1:9">
      <c r="A123" s="291">
        <v>121</v>
      </c>
      <c r="B123" s="292">
        <v>44165</v>
      </c>
      <c r="C123" s="293">
        <v>86.030285000000006</v>
      </c>
      <c r="D123" s="294">
        <v>176.69829634449792</v>
      </c>
      <c r="E123" s="293">
        <f t="shared" si="3"/>
        <v>86.030285000000006</v>
      </c>
      <c r="F123" s="303"/>
      <c r="G123" s="205" t="str">
        <f t="shared" si="4"/>
        <v/>
      </c>
      <c r="H123" s="295" t="str">
        <f t="shared" si="5"/>
        <v/>
      </c>
      <c r="I123" s="296"/>
    </row>
    <row r="124" spans="1:9">
      <c r="A124" s="291">
        <v>122</v>
      </c>
      <c r="B124" s="292">
        <v>44166</v>
      </c>
      <c r="C124" s="293">
        <v>177.10347199999998</v>
      </c>
      <c r="D124" s="294">
        <v>165.61562702866021</v>
      </c>
      <c r="E124" s="293">
        <f t="shared" si="3"/>
        <v>165.61562702866021</v>
      </c>
      <c r="F124" s="303"/>
      <c r="G124" s="205" t="str">
        <f t="shared" si="4"/>
        <v/>
      </c>
      <c r="H124" s="295" t="str">
        <f t="shared" si="5"/>
        <v/>
      </c>
      <c r="I124" s="296"/>
    </row>
    <row r="125" spans="1:9">
      <c r="A125" s="291">
        <v>123</v>
      </c>
      <c r="B125" s="292">
        <v>44167</v>
      </c>
      <c r="C125" s="293">
        <v>270.73014599999999</v>
      </c>
      <c r="D125" s="294">
        <v>165.61562702866021</v>
      </c>
      <c r="E125" s="293">
        <f t="shared" si="3"/>
        <v>165.61562702866021</v>
      </c>
      <c r="F125" s="303"/>
      <c r="G125" s="205" t="str">
        <f t="shared" si="4"/>
        <v/>
      </c>
      <c r="H125" s="295" t="str">
        <f t="shared" si="5"/>
        <v/>
      </c>
      <c r="I125" s="296"/>
    </row>
    <row r="126" spans="1:9">
      <c r="A126" s="291">
        <v>124</v>
      </c>
      <c r="B126" s="292">
        <v>44168</v>
      </c>
      <c r="C126" s="293">
        <v>227.78161499999999</v>
      </c>
      <c r="D126" s="294">
        <v>165.61562702866021</v>
      </c>
      <c r="E126" s="293">
        <f t="shared" si="3"/>
        <v>165.61562702866021</v>
      </c>
      <c r="F126" s="303"/>
      <c r="G126" s="205" t="str">
        <f t="shared" si="4"/>
        <v/>
      </c>
      <c r="H126" s="295" t="str">
        <f t="shared" si="5"/>
        <v/>
      </c>
      <c r="I126" s="296"/>
    </row>
    <row r="127" spans="1:9">
      <c r="A127" s="291">
        <v>125</v>
      </c>
      <c r="B127" s="292">
        <v>44169</v>
      </c>
      <c r="C127" s="293">
        <v>309.48027399999995</v>
      </c>
      <c r="D127" s="294">
        <v>165.61562702866021</v>
      </c>
      <c r="E127" s="293">
        <f t="shared" si="3"/>
        <v>165.61562702866021</v>
      </c>
      <c r="F127" s="303"/>
      <c r="G127" s="205" t="str">
        <f t="shared" si="4"/>
        <v/>
      </c>
      <c r="H127" s="295" t="str">
        <f t="shared" si="5"/>
        <v/>
      </c>
      <c r="I127" s="296"/>
    </row>
    <row r="128" spans="1:9">
      <c r="A128" s="291">
        <v>126</v>
      </c>
      <c r="B128" s="292">
        <v>44170</v>
      </c>
      <c r="C128" s="293">
        <v>284.83549800000003</v>
      </c>
      <c r="D128" s="294">
        <v>165.61562702866021</v>
      </c>
      <c r="E128" s="293">
        <f t="shared" si="3"/>
        <v>165.61562702866021</v>
      </c>
      <c r="F128" s="303"/>
      <c r="G128" s="205" t="str">
        <f t="shared" si="4"/>
        <v/>
      </c>
      <c r="H128" s="295" t="str">
        <f t="shared" si="5"/>
        <v/>
      </c>
      <c r="I128" s="296"/>
    </row>
    <row r="129" spans="1:9">
      <c r="A129" s="291">
        <v>127</v>
      </c>
      <c r="B129" s="292">
        <v>44171</v>
      </c>
      <c r="C129" s="293">
        <v>319.57845900000001</v>
      </c>
      <c r="D129" s="294">
        <v>165.61562702866021</v>
      </c>
      <c r="E129" s="293">
        <f t="shared" si="3"/>
        <v>165.61562702866021</v>
      </c>
      <c r="F129" s="303"/>
      <c r="G129" s="205" t="str">
        <f t="shared" si="4"/>
        <v/>
      </c>
      <c r="H129" s="295" t="str">
        <f t="shared" si="5"/>
        <v/>
      </c>
      <c r="I129" s="296"/>
    </row>
    <row r="130" spans="1:9">
      <c r="A130" s="291">
        <v>128</v>
      </c>
      <c r="B130" s="292">
        <v>44172</v>
      </c>
      <c r="C130" s="293">
        <v>384.69365600000003</v>
      </c>
      <c r="D130" s="294">
        <v>165.61562702866021</v>
      </c>
      <c r="E130" s="293">
        <f t="shared" si="3"/>
        <v>165.61562702866021</v>
      </c>
      <c r="F130" s="303"/>
      <c r="G130" s="205" t="str">
        <f t="shared" si="4"/>
        <v/>
      </c>
      <c r="H130" s="295" t="str">
        <f t="shared" si="5"/>
        <v/>
      </c>
      <c r="I130" s="296"/>
    </row>
    <row r="131" spans="1:9">
      <c r="A131" s="291">
        <v>129</v>
      </c>
      <c r="B131" s="292">
        <v>44173</v>
      </c>
      <c r="C131" s="293">
        <v>345.50114200000002</v>
      </c>
      <c r="D131" s="294">
        <v>165.61562702866021</v>
      </c>
      <c r="E131" s="293">
        <f t="shared" ref="E131:E194" si="6">IF(C131&gt;D131,D131,C131)</f>
        <v>165.61562702866021</v>
      </c>
      <c r="F131" s="303"/>
      <c r="G131" s="205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295" t="str">
        <f t="shared" ref="H131:H194" si="8">IF(DAY($B131)=15,TEXT(D131,"#,0"),"")</f>
        <v/>
      </c>
      <c r="I131" s="296"/>
    </row>
    <row r="132" spans="1:9">
      <c r="A132" s="291">
        <v>130</v>
      </c>
      <c r="B132" s="292">
        <v>44174</v>
      </c>
      <c r="C132" s="293">
        <v>276.98153400000001</v>
      </c>
      <c r="D132" s="294">
        <v>165.61562702866021</v>
      </c>
      <c r="E132" s="293">
        <f t="shared" si="6"/>
        <v>165.61562702866021</v>
      </c>
      <c r="F132" s="303"/>
      <c r="G132" s="205" t="str">
        <f t="shared" si="7"/>
        <v/>
      </c>
      <c r="H132" s="295" t="str">
        <f t="shared" si="8"/>
        <v/>
      </c>
      <c r="I132" s="296"/>
    </row>
    <row r="133" spans="1:9">
      <c r="A133" s="291">
        <v>131</v>
      </c>
      <c r="B133" s="292">
        <v>44175</v>
      </c>
      <c r="C133" s="293">
        <v>363.91985299999999</v>
      </c>
      <c r="D133" s="294">
        <v>165.61562702866021</v>
      </c>
      <c r="E133" s="293">
        <f t="shared" si="6"/>
        <v>165.61562702866021</v>
      </c>
      <c r="F133" s="303"/>
      <c r="G133" s="205" t="str">
        <f t="shared" si="7"/>
        <v/>
      </c>
      <c r="H133" s="295" t="str">
        <f t="shared" si="8"/>
        <v/>
      </c>
      <c r="I133" s="296"/>
    </row>
    <row r="134" spans="1:9">
      <c r="A134" s="291">
        <v>132</v>
      </c>
      <c r="B134" s="292">
        <v>44176</v>
      </c>
      <c r="C134" s="293">
        <v>382.781991</v>
      </c>
      <c r="D134" s="294">
        <v>165.61562702866021</v>
      </c>
      <c r="E134" s="293">
        <f t="shared" si="6"/>
        <v>165.61562702866021</v>
      </c>
      <c r="F134" s="303"/>
      <c r="G134" s="205" t="str">
        <f t="shared" si="7"/>
        <v/>
      </c>
      <c r="H134" s="295" t="str">
        <f t="shared" si="8"/>
        <v/>
      </c>
      <c r="I134" s="296"/>
    </row>
    <row r="135" spans="1:9">
      <c r="A135" s="291">
        <v>133</v>
      </c>
      <c r="B135" s="292">
        <v>44177</v>
      </c>
      <c r="C135" s="293">
        <v>345.77599500000002</v>
      </c>
      <c r="D135" s="294">
        <v>165.61562702866021</v>
      </c>
      <c r="E135" s="293">
        <f t="shared" si="6"/>
        <v>165.61562702866021</v>
      </c>
      <c r="F135" s="303"/>
      <c r="G135" s="205" t="str">
        <f t="shared" si="7"/>
        <v/>
      </c>
      <c r="H135" s="295" t="str">
        <f t="shared" si="8"/>
        <v/>
      </c>
      <c r="I135" s="296"/>
    </row>
    <row r="136" spans="1:9">
      <c r="A136" s="291">
        <v>134</v>
      </c>
      <c r="B136" s="292">
        <v>44178</v>
      </c>
      <c r="C136" s="293">
        <v>199.36503099999999</v>
      </c>
      <c r="D136" s="294">
        <v>165.61562702866021</v>
      </c>
      <c r="E136" s="293">
        <f t="shared" si="6"/>
        <v>165.61562702866021</v>
      </c>
      <c r="F136" s="303"/>
      <c r="G136" s="205" t="str">
        <f t="shared" si="7"/>
        <v/>
      </c>
      <c r="H136" s="295" t="str">
        <f t="shared" si="8"/>
        <v/>
      </c>
      <c r="I136" s="296"/>
    </row>
    <row r="137" spans="1:9">
      <c r="A137" s="291">
        <v>135</v>
      </c>
      <c r="B137" s="292">
        <v>44179</v>
      </c>
      <c r="C137" s="293">
        <v>179.980153</v>
      </c>
      <c r="D137" s="294">
        <v>165.61562702866021</v>
      </c>
      <c r="E137" s="293">
        <f t="shared" si="6"/>
        <v>165.61562702866021</v>
      </c>
      <c r="F137" s="303"/>
      <c r="G137" s="205" t="str">
        <f t="shared" si="7"/>
        <v/>
      </c>
      <c r="H137" s="295" t="str">
        <f t="shared" si="8"/>
        <v/>
      </c>
      <c r="I137" s="296"/>
    </row>
    <row r="138" spans="1:9">
      <c r="A138" s="291">
        <v>136</v>
      </c>
      <c r="B138" s="292">
        <v>44180</v>
      </c>
      <c r="C138" s="293">
        <v>190.475368</v>
      </c>
      <c r="D138" s="294">
        <v>165.61562702866021</v>
      </c>
      <c r="E138" s="293">
        <f t="shared" si="6"/>
        <v>165.61562702866021</v>
      </c>
      <c r="F138" s="303"/>
      <c r="G138" s="205" t="str">
        <f t="shared" si="7"/>
        <v>D</v>
      </c>
      <c r="H138" s="295" t="str">
        <f t="shared" si="8"/>
        <v>165,6</v>
      </c>
      <c r="I138" s="296"/>
    </row>
    <row r="139" spans="1:9">
      <c r="A139" s="291">
        <v>137</v>
      </c>
      <c r="B139" s="292">
        <v>44181</v>
      </c>
      <c r="C139" s="293">
        <v>160.943062</v>
      </c>
      <c r="D139" s="294">
        <v>165.61562702866021</v>
      </c>
      <c r="E139" s="293">
        <f t="shared" si="6"/>
        <v>160.943062</v>
      </c>
      <c r="F139" s="303"/>
      <c r="G139" s="205" t="str">
        <f t="shared" si="7"/>
        <v/>
      </c>
      <c r="H139" s="295" t="str">
        <f t="shared" si="8"/>
        <v/>
      </c>
      <c r="I139" s="296"/>
    </row>
    <row r="140" spans="1:9">
      <c r="A140" s="291">
        <v>138</v>
      </c>
      <c r="B140" s="292">
        <v>44182</v>
      </c>
      <c r="C140" s="293">
        <v>61.788949000000002</v>
      </c>
      <c r="D140" s="294">
        <v>165.61562702866021</v>
      </c>
      <c r="E140" s="293">
        <f t="shared" si="6"/>
        <v>61.788949000000002</v>
      </c>
      <c r="F140" s="303"/>
      <c r="G140" s="205" t="str">
        <f t="shared" si="7"/>
        <v/>
      </c>
      <c r="H140" s="295" t="str">
        <f t="shared" si="8"/>
        <v/>
      </c>
      <c r="I140" s="296"/>
    </row>
    <row r="141" spans="1:9">
      <c r="A141" s="291">
        <v>139</v>
      </c>
      <c r="B141" s="292">
        <v>44183</v>
      </c>
      <c r="C141" s="293">
        <v>123.33253199999999</v>
      </c>
      <c r="D141" s="294">
        <v>165.61562702866021</v>
      </c>
      <c r="E141" s="293">
        <f t="shared" si="6"/>
        <v>123.33253199999999</v>
      </c>
      <c r="F141" s="303"/>
      <c r="G141" s="205" t="str">
        <f t="shared" si="7"/>
        <v/>
      </c>
      <c r="H141" s="295" t="str">
        <f t="shared" si="8"/>
        <v/>
      </c>
      <c r="I141" s="296"/>
    </row>
    <row r="142" spans="1:9">
      <c r="A142" s="291">
        <v>140</v>
      </c>
      <c r="B142" s="292">
        <v>44184</v>
      </c>
      <c r="C142" s="293">
        <v>135.376823</v>
      </c>
      <c r="D142" s="294">
        <v>165.61562702866021</v>
      </c>
      <c r="E142" s="293">
        <f t="shared" si="6"/>
        <v>135.376823</v>
      </c>
      <c r="F142" s="303"/>
      <c r="G142" s="205" t="str">
        <f t="shared" si="7"/>
        <v/>
      </c>
      <c r="H142" s="295" t="str">
        <f t="shared" si="8"/>
        <v/>
      </c>
      <c r="I142" s="296"/>
    </row>
    <row r="143" spans="1:9">
      <c r="A143" s="291">
        <v>141</v>
      </c>
      <c r="B143" s="292">
        <v>44185</v>
      </c>
      <c r="C143" s="293">
        <v>129.84132100000002</v>
      </c>
      <c r="D143" s="294">
        <v>165.61562702866021</v>
      </c>
      <c r="E143" s="293">
        <f t="shared" si="6"/>
        <v>129.84132100000002</v>
      </c>
      <c r="F143" s="303"/>
      <c r="G143" s="205" t="str">
        <f t="shared" si="7"/>
        <v/>
      </c>
      <c r="H143" s="295" t="str">
        <f t="shared" si="8"/>
        <v/>
      </c>
      <c r="I143" s="296"/>
    </row>
    <row r="144" spans="1:9">
      <c r="A144" s="291">
        <v>142</v>
      </c>
      <c r="B144" s="292">
        <v>44186</v>
      </c>
      <c r="C144" s="293">
        <v>155.97537800000003</v>
      </c>
      <c r="D144" s="294">
        <v>165.61562702866021</v>
      </c>
      <c r="E144" s="293">
        <f t="shared" si="6"/>
        <v>155.97537800000003</v>
      </c>
      <c r="F144" s="303"/>
      <c r="G144" s="205" t="str">
        <f t="shared" si="7"/>
        <v/>
      </c>
      <c r="H144" s="295" t="str">
        <f t="shared" si="8"/>
        <v/>
      </c>
      <c r="I144" s="296"/>
    </row>
    <row r="145" spans="1:9">
      <c r="A145" s="291">
        <v>143</v>
      </c>
      <c r="B145" s="292">
        <v>44187</v>
      </c>
      <c r="C145" s="293">
        <v>132.75632100000001</v>
      </c>
      <c r="D145" s="294">
        <v>165.61562702866021</v>
      </c>
      <c r="E145" s="293">
        <f t="shared" si="6"/>
        <v>132.75632100000001</v>
      </c>
      <c r="F145" s="303"/>
      <c r="G145" s="205" t="str">
        <f t="shared" si="7"/>
        <v/>
      </c>
      <c r="H145" s="295" t="str">
        <f t="shared" si="8"/>
        <v/>
      </c>
      <c r="I145" s="296"/>
    </row>
    <row r="146" spans="1:9">
      <c r="A146" s="291">
        <v>144</v>
      </c>
      <c r="B146" s="292">
        <v>44188</v>
      </c>
      <c r="C146" s="293">
        <v>141.42384899999999</v>
      </c>
      <c r="D146" s="294">
        <v>165.61562702866021</v>
      </c>
      <c r="E146" s="293">
        <f t="shared" si="6"/>
        <v>141.42384899999999</v>
      </c>
      <c r="F146" s="303"/>
      <c r="G146" s="205" t="str">
        <f t="shared" si="7"/>
        <v/>
      </c>
      <c r="H146" s="295" t="str">
        <f t="shared" si="8"/>
        <v/>
      </c>
      <c r="I146" s="296"/>
    </row>
    <row r="147" spans="1:9">
      <c r="A147" s="291">
        <v>145</v>
      </c>
      <c r="B147" s="292">
        <v>44189</v>
      </c>
      <c r="C147" s="293">
        <v>132.186509</v>
      </c>
      <c r="D147" s="294">
        <v>165.61562702866021</v>
      </c>
      <c r="E147" s="293">
        <f t="shared" si="6"/>
        <v>132.186509</v>
      </c>
      <c r="F147" s="303"/>
      <c r="G147" s="205" t="str">
        <f t="shared" si="7"/>
        <v/>
      </c>
      <c r="H147" s="295" t="str">
        <f t="shared" si="8"/>
        <v/>
      </c>
      <c r="I147" s="296"/>
    </row>
    <row r="148" spans="1:9">
      <c r="A148" s="291">
        <v>146</v>
      </c>
      <c r="B148" s="292">
        <v>44190</v>
      </c>
      <c r="C148" s="293">
        <v>287.57069200000001</v>
      </c>
      <c r="D148" s="294">
        <v>165.61562702866021</v>
      </c>
      <c r="E148" s="293">
        <f t="shared" si="6"/>
        <v>165.61562702866021</v>
      </c>
      <c r="F148" s="303"/>
      <c r="G148" s="205" t="str">
        <f t="shared" si="7"/>
        <v/>
      </c>
      <c r="H148" s="295" t="str">
        <f t="shared" si="8"/>
        <v/>
      </c>
      <c r="I148" s="296"/>
    </row>
    <row r="149" spans="1:9">
      <c r="A149" s="291">
        <v>147</v>
      </c>
      <c r="B149" s="292">
        <v>44191</v>
      </c>
      <c r="C149" s="293">
        <v>230.41123400000004</v>
      </c>
      <c r="D149" s="294">
        <v>165.61562702866021</v>
      </c>
      <c r="E149" s="293">
        <f t="shared" si="6"/>
        <v>165.61562702866021</v>
      </c>
      <c r="F149" s="303"/>
      <c r="G149" s="205" t="str">
        <f t="shared" si="7"/>
        <v/>
      </c>
      <c r="H149" s="295" t="str">
        <f t="shared" si="8"/>
        <v/>
      </c>
      <c r="I149" s="296"/>
    </row>
    <row r="150" spans="1:9">
      <c r="A150" s="291">
        <v>148</v>
      </c>
      <c r="B150" s="292">
        <v>44192</v>
      </c>
      <c r="C150" s="293">
        <v>264.35116399999998</v>
      </c>
      <c r="D150" s="294">
        <v>165.61562702866021</v>
      </c>
      <c r="E150" s="293">
        <f t="shared" si="6"/>
        <v>165.61562702866021</v>
      </c>
      <c r="F150" s="303"/>
      <c r="G150" s="205" t="str">
        <f t="shared" si="7"/>
        <v/>
      </c>
      <c r="H150" s="295" t="str">
        <f t="shared" si="8"/>
        <v/>
      </c>
      <c r="I150" s="296"/>
    </row>
    <row r="151" spans="1:9">
      <c r="A151" s="291">
        <v>149</v>
      </c>
      <c r="B151" s="292">
        <v>44193</v>
      </c>
      <c r="C151" s="293">
        <v>391.05309600000004</v>
      </c>
      <c r="D151" s="294">
        <v>165.61562702866021</v>
      </c>
      <c r="E151" s="293">
        <f t="shared" si="6"/>
        <v>165.61562702866021</v>
      </c>
      <c r="F151" s="303"/>
      <c r="G151" s="205" t="str">
        <f t="shared" si="7"/>
        <v/>
      </c>
      <c r="H151" s="295" t="str">
        <f t="shared" si="8"/>
        <v/>
      </c>
      <c r="I151" s="296"/>
    </row>
    <row r="152" spans="1:9">
      <c r="A152" s="291">
        <v>150</v>
      </c>
      <c r="B152" s="292">
        <v>44194</v>
      </c>
      <c r="C152" s="293">
        <v>310.73919900000004</v>
      </c>
      <c r="D152" s="294">
        <v>165.61562702866021</v>
      </c>
      <c r="E152" s="293">
        <f t="shared" si="6"/>
        <v>165.61562702866021</v>
      </c>
      <c r="F152" s="303"/>
      <c r="G152" s="205" t="str">
        <f t="shared" si="7"/>
        <v/>
      </c>
      <c r="H152" s="295" t="str">
        <f t="shared" si="8"/>
        <v/>
      </c>
      <c r="I152" s="296"/>
    </row>
    <row r="153" spans="1:9">
      <c r="A153" s="291">
        <v>151</v>
      </c>
      <c r="B153" s="292">
        <v>44195</v>
      </c>
      <c r="C153" s="293">
        <v>235.84971599999997</v>
      </c>
      <c r="D153" s="294">
        <v>165.61562702866021</v>
      </c>
      <c r="E153" s="293">
        <f t="shared" si="6"/>
        <v>165.61562702866021</v>
      </c>
      <c r="F153" s="303"/>
      <c r="G153" s="205" t="str">
        <f t="shared" si="7"/>
        <v/>
      </c>
      <c r="H153" s="295" t="str">
        <f t="shared" si="8"/>
        <v/>
      </c>
      <c r="I153" s="296"/>
    </row>
    <row r="154" spans="1:9">
      <c r="A154" s="291">
        <v>152</v>
      </c>
      <c r="B154" s="292">
        <v>44196</v>
      </c>
      <c r="C154" s="293">
        <v>233.24161699999999</v>
      </c>
      <c r="D154" s="294">
        <v>165.61562702866021</v>
      </c>
      <c r="E154" s="293">
        <f t="shared" si="6"/>
        <v>165.61562702866021</v>
      </c>
      <c r="F154" s="303"/>
      <c r="G154" s="205" t="str">
        <f t="shared" si="7"/>
        <v/>
      </c>
      <c r="H154" s="295" t="str">
        <f t="shared" si="8"/>
        <v/>
      </c>
      <c r="I154" s="296"/>
    </row>
    <row r="155" spans="1:9">
      <c r="A155" s="291">
        <v>153</v>
      </c>
      <c r="B155" s="292">
        <v>44197</v>
      </c>
      <c r="C155" s="293">
        <v>236.95572000000001</v>
      </c>
      <c r="D155" s="294">
        <v>198.76076848747033</v>
      </c>
      <c r="E155" s="293">
        <f t="shared" si="6"/>
        <v>198.76076848747033</v>
      </c>
      <c r="F155" s="303"/>
      <c r="G155" s="205" t="str">
        <f t="shared" si="7"/>
        <v/>
      </c>
      <c r="H155" s="295" t="str">
        <f t="shared" si="8"/>
        <v/>
      </c>
      <c r="I155" s="296"/>
    </row>
    <row r="156" spans="1:9">
      <c r="A156" s="291">
        <v>154</v>
      </c>
      <c r="B156" s="292">
        <v>44198</v>
      </c>
      <c r="C156" s="293">
        <v>270.51794599999999</v>
      </c>
      <c r="D156" s="294">
        <v>198.76076848747033</v>
      </c>
      <c r="E156" s="293">
        <f t="shared" si="6"/>
        <v>198.76076848747033</v>
      </c>
      <c r="F156" s="303"/>
      <c r="G156" s="205" t="str">
        <f t="shared" si="7"/>
        <v/>
      </c>
      <c r="H156" s="295" t="str">
        <f t="shared" si="8"/>
        <v/>
      </c>
      <c r="I156" s="296"/>
    </row>
    <row r="157" spans="1:9">
      <c r="A157" s="291">
        <v>155</v>
      </c>
      <c r="B157" s="292">
        <v>44199</v>
      </c>
      <c r="C157" s="293">
        <v>222.26715399999998</v>
      </c>
      <c r="D157" s="294">
        <v>198.76076848747033</v>
      </c>
      <c r="E157" s="293">
        <f t="shared" si="6"/>
        <v>198.76076848747033</v>
      </c>
      <c r="F157" s="303"/>
      <c r="G157" s="205" t="str">
        <f t="shared" si="7"/>
        <v/>
      </c>
      <c r="H157" s="295" t="str">
        <f t="shared" si="8"/>
        <v/>
      </c>
      <c r="I157" s="296"/>
    </row>
    <row r="158" spans="1:9">
      <c r="A158" s="291">
        <v>156</v>
      </c>
      <c r="B158" s="292">
        <v>44200</v>
      </c>
      <c r="C158" s="293">
        <v>127.92596</v>
      </c>
      <c r="D158" s="294">
        <v>198.76076848747033</v>
      </c>
      <c r="E158" s="293">
        <f t="shared" si="6"/>
        <v>127.92596</v>
      </c>
      <c r="F158" s="303"/>
      <c r="G158" s="205" t="str">
        <f t="shared" si="7"/>
        <v/>
      </c>
      <c r="H158" s="295" t="str">
        <f t="shared" si="8"/>
        <v/>
      </c>
      <c r="I158" s="296"/>
    </row>
    <row r="159" spans="1:9">
      <c r="A159" s="291">
        <v>157</v>
      </c>
      <c r="B159" s="292">
        <v>44201</v>
      </c>
      <c r="C159" s="293">
        <v>68.985138000000006</v>
      </c>
      <c r="D159" s="294">
        <v>198.76076848747033</v>
      </c>
      <c r="E159" s="293">
        <f t="shared" si="6"/>
        <v>68.985138000000006</v>
      </c>
      <c r="F159" s="303"/>
      <c r="G159" s="205" t="str">
        <f t="shared" si="7"/>
        <v/>
      </c>
      <c r="H159" s="295" t="str">
        <f t="shared" si="8"/>
        <v/>
      </c>
      <c r="I159" s="296"/>
    </row>
    <row r="160" spans="1:9">
      <c r="A160" s="291">
        <v>158</v>
      </c>
      <c r="B160" s="292">
        <v>44202</v>
      </c>
      <c r="C160" s="293">
        <v>67.590433999999988</v>
      </c>
      <c r="D160" s="294">
        <v>198.76076848747033</v>
      </c>
      <c r="E160" s="293">
        <f t="shared" si="6"/>
        <v>67.590433999999988</v>
      </c>
      <c r="F160" s="303"/>
      <c r="G160" s="205" t="str">
        <f t="shared" si="7"/>
        <v/>
      </c>
      <c r="H160" s="295" t="str">
        <f t="shared" si="8"/>
        <v/>
      </c>
      <c r="I160" s="296"/>
    </row>
    <row r="161" spans="1:9">
      <c r="A161" s="291">
        <v>159</v>
      </c>
      <c r="B161" s="292">
        <v>44203</v>
      </c>
      <c r="C161" s="293">
        <v>99.150615999999999</v>
      </c>
      <c r="D161" s="294">
        <v>198.76076848747033</v>
      </c>
      <c r="E161" s="293">
        <f t="shared" si="6"/>
        <v>99.150615999999999</v>
      </c>
      <c r="F161" s="303"/>
      <c r="G161" s="205" t="str">
        <f t="shared" si="7"/>
        <v/>
      </c>
      <c r="H161" s="295" t="str">
        <f t="shared" si="8"/>
        <v/>
      </c>
      <c r="I161" s="296"/>
    </row>
    <row r="162" spans="1:9">
      <c r="A162" s="291">
        <v>160</v>
      </c>
      <c r="B162" s="292">
        <v>44204</v>
      </c>
      <c r="C162" s="293">
        <v>224.30962199999999</v>
      </c>
      <c r="D162" s="294">
        <v>198.76076848747033</v>
      </c>
      <c r="E162" s="293">
        <f t="shared" si="6"/>
        <v>198.76076848747033</v>
      </c>
      <c r="F162" s="303"/>
      <c r="G162" s="205" t="str">
        <f t="shared" si="7"/>
        <v/>
      </c>
      <c r="H162" s="295" t="str">
        <f t="shared" si="8"/>
        <v/>
      </c>
      <c r="I162" s="296"/>
    </row>
    <row r="163" spans="1:9">
      <c r="A163" s="291">
        <v>161</v>
      </c>
      <c r="B163" s="292">
        <v>44205</v>
      </c>
      <c r="C163" s="293">
        <v>243.93426600000001</v>
      </c>
      <c r="D163" s="294">
        <v>198.76076848747033</v>
      </c>
      <c r="E163" s="293">
        <f t="shared" si="6"/>
        <v>198.76076848747033</v>
      </c>
      <c r="F163" s="303"/>
      <c r="G163" s="205" t="str">
        <f t="shared" si="7"/>
        <v/>
      </c>
      <c r="H163" s="295" t="str">
        <f t="shared" si="8"/>
        <v/>
      </c>
      <c r="I163" s="296"/>
    </row>
    <row r="164" spans="1:9">
      <c r="A164" s="291">
        <v>162</v>
      </c>
      <c r="B164" s="292">
        <v>44206</v>
      </c>
      <c r="C164" s="293">
        <v>254.30915300000001</v>
      </c>
      <c r="D164" s="294">
        <v>198.76076848747033</v>
      </c>
      <c r="E164" s="293">
        <f t="shared" si="6"/>
        <v>198.76076848747033</v>
      </c>
      <c r="F164" s="303"/>
      <c r="G164" s="205" t="str">
        <f t="shared" si="7"/>
        <v/>
      </c>
      <c r="H164" s="295" t="str">
        <f t="shared" si="8"/>
        <v/>
      </c>
      <c r="I164" s="296"/>
    </row>
    <row r="165" spans="1:9">
      <c r="A165" s="291">
        <v>163</v>
      </c>
      <c r="B165" s="292">
        <v>44207</v>
      </c>
      <c r="C165" s="293">
        <v>237.59064299999997</v>
      </c>
      <c r="D165" s="294">
        <v>198.76076848747033</v>
      </c>
      <c r="E165" s="293">
        <f t="shared" si="6"/>
        <v>198.76076848747033</v>
      </c>
      <c r="F165" s="303"/>
      <c r="G165" s="205" t="str">
        <f t="shared" si="7"/>
        <v/>
      </c>
      <c r="H165" s="295" t="str">
        <f t="shared" si="8"/>
        <v/>
      </c>
      <c r="I165" s="296"/>
    </row>
    <row r="166" spans="1:9">
      <c r="A166" s="291">
        <v>164</v>
      </c>
      <c r="B166" s="292">
        <v>44208</v>
      </c>
      <c r="C166" s="293">
        <v>164.969347</v>
      </c>
      <c r="D166" s="294">
        <v>198.76076848747033</v>
      </c>
      <c r="E166" s="293">
        <f t="shared" si="6"/>
        <v>164.969347</v>
      </c>
      <c r="F166" s="303"/>
      <c r="G166" s="205" t="str">
        <f t="shared" si="7"/>
        <v/>
      </c>
      <c r="H166" s="295" t="str">
        <f t="shared" si="8"/>
        <v/>
      </c>
      <c r="I166" s="296"/>
    </row>
    <row r="167" spans="1:9">
      <c r="A167" s="291">
        <v>165</v>
      </c>
      <c r="B167" s="292">
        <v>44209</v>
      </c>
      <c r="C167" s="293">
        <v>170.91346600000003</v>
      </c>
      <c r="D167" s="294">
        <v>198.76076848747033</v>
      </c>
      <c r="E167" s="293">
        <f t="shared" si="6"/>
        <v>170.91346600000003</v>
      </c>
      <c r="F167" s="303"/>
      <c r="G167" s="205" t="str">
        <f t="shared" si="7"/>
        <v/>
      </c>
      <c r="H167" s="295" t="str">
        <f t="shared" si="8"/>
        <v/>
      </c>
      <c r="I167" s="296"/>
    </row>
    <row r="168" spans="1:9">
      <c r="A168" s="291">
        <v>166</v>
      </c>
      <c r="B168" s="292">
        <v>44210</v>
      </c>
      <c r="C168" s="293">
        <v>209.658342</v>
      </c>
      <c r="D168" s="294">
        <v>198.76076848747033</v>
      </c>
      <c r="E168" s="293">
        <f t="shared" si="6"/>
        <v>198.76076848747033</v>
      </c>
      <c r="F168" s="303"/>
      <c r="G168" s="205" t="str">
        <f t="shared" si="7"/>
        <v/>
      </c>
      <c r="H168" s="295" t="str">
        <f t="shared" si="8"/>
        <v/>
      </c>
      <c r="I168" s="296"/>
    </row>
    <row r="169" spans="1:9">
      <c r="A169" s="291">
        <v>167</v>
      </c>
      <c r="B169" s="292">
        <v>44211</v>
      </c>
      <c r="C169" s="293">
        <v>217.45799000000002</v>
      </c>
      <c r="D169" s="294">
        <v>198.76076848747033</v>
      </c>
      <c r="E169" s="293">
        <f t="shared" si="6"/>
        <v>198.76076848747033</v>
      </c>
      <c r="F169" s="303"/>
      <c r="G169" s="205" t="str">
        <f t="shared" si="7"/>
        <v>E</v>
      </c>
      <c r="H169" s="295" t="str">
        <f t="shared" si="8"/>
        <v>198,8</v>
      </c>
      <c r="I169" s="296"/>
    </row>
    <row r="170" spans="1:9">
      <c r="A170" s="291">
        <v>168</v>
      </c>
      <c r="B170" s="292">
        <v>44212</v>
      </c>
      <c r="C170" s="293">
        <v>170.35610800000001</v>
      </c>
      <c r="D170" s="294">
        <v>198.76076848747033</v>
      </c>
      <c r="E170" s="293">
        <f t="shared" si="6"/>
        <v>170.35610800000001</v>
      </c>
      <c r="F170" s="303"/>
      <c r="G170" s="205" t="str">
        <f t="shared" si="7"/>
        <v/>
      </c>
      <c r="H170" s="295" t="str">
        <f t="shared" si="8"/>
        <v/>
      </c>
      <c r="I170" s="296"/>
    </row>
    <row r="171" spans="1:9">
      <c r="A171" s="291">
        <v>169</v>
      </c>
      <c r="B171" s="292">
        <v>44213</v>
      </c>
      <c r="C171" s="293">
        <v>155.22302999999999</v>
      </c>
      <c r="D171" s="294">
        <v>198.76076848747033</v>
      </c>
      <c r="E171" s="293">
        <f t="shared" si="6"/>
        <v>155.22302999999999</v>
      </c>
      <c r="F171" s="303"/>
      <c r="G171" s="205" t="str">
        <f t="shared" si="7"/>
        <v/>
      </c>
      <c r="H171" s="295" t="str">
        <f t="shared" si="8"/>
        <v/>
      </c>
      <c r="I171" s="296"/>
    </row>
    <row r="172" spans="1:9">
      <c r="A172" s="291">
        <v>170</v>
      </c>
      <c r="B172" s="292">
        <v>44214</v>
      </c>
      <c r="C172" s="293">
        <v>56.478533000000006</v>
      </c>
      <c r="D172" s="294">
        <v>198.76076848747033</v>
      </c>
      <c r="E172" s="293">
        <f t="shared" si="6"/>
        <v>56.478533000000006</v>
      </c>
      <c r="F172" s="303"/>
      <c r="G172" s="205" t="str">
        <f t="shared" si="7"/>
        <v/>
      </c>
      <c r="H172" s="295" t="str">
        <f t="shared" si="8"/>
        <v/>
      </c>
      <c r="I172" s="296"/>
    </row>
    <row r="173" spans="1:9">
      <c r="A173" s="291">
        <v>171</v>
      </c>
      <c r="B173" s="292">
        <v>44215</v>
      </c>
      <c r="C173" s="293">
        <v>144.09847200000002</v>
      </c>
      <c r="D173" s="294">
        <v>198.76076848747033</v>
      </c>
      <c r="E173" s="293">
        <f t="shared" si="6"/>
        <v>144.09847200000002</v>
      </c>
      <c r="F173" s="303"/>
      <c r="G173" s="205" t="str">
        <f t="shared" si="7"/>
        <v/>
      </c>
      <c r="H173" s="295" t="str">
        <f t="shared" si="8"/>
        <v/>
      </c>
      <c r="I173" s="296"/>
    </row>
    <row r="174" spans="1:9">
      <c r="A174" s="291">
        <v>172</v>
      </c>
      <c r="B174" s="292">
        <v>44216</v>
      </c>
      <c r="C174" s="293">
        <v>328.49757499999998</v>
      </c>
      <c r="D174" s="294">
        <v>198.76076848747033</v>
      </c>
      <c r="E174" s="293">
        <f t="shared" si="6"/>
        <v>198.76076848747033</v>
      </c>
      <c r="F174" s="303"/>
      <c r="G174" s="205" t="str">
        <f t="shared" si="7"/>
        <v/>
      </c>
      <c r="H174" s="295" t="str">
        <f t="shared" si="8"/>
        <v/>
      </c>
      <c r="I174" s="296"/>
    </row>
    <row r="175" spans="1:9">
      <c r="A175" s="291">
        <v>173</v>
      </c>
      <c r="B175" s="292">
        <v>44217</v>
      </c>
      <c r="C175" s="293">
        <v>385.38604499999997</v>
      </c>
      <c r="D175" s="294">
        <v>198.76076848747033</v>
      </c>
      <c r="E175" s="293">
        <f t="shared" si="6"/>
        <v>198.76076848747033</v>
      </c>
      <c r="F175" s="303"/>
      <c r="G175" s="205" t="str">
        <f t="shared" si="7"/>
        <v/>
      </c>
      <c r="H175" s="295" t="str">
        <f t="shared" si="8"/>
        <v/>
      </c>
      <c r="I175" s="296"/>
    </row>
    <row r="176" spans="1:9">
      <c r="A176" s="291">
        <v>174</v>
      </c>
      <c r="B176" s="292">
        <v>44218</v>
      </c>
      <c r="C176" s="293">
        <v>388.95974000000001</v>
      </c>
      <c r="D176" s="294">
        <v>198.76076848747033</v>
      </c>
      <c r="E176" s="293">
        <f t="shared" si="6"/>
        <v>198.76076848747033</v>
      </c>
      <c r="F176" s="303"/>
      <c r="G176" s="205" t="str">
        <f t="shared" si="7"/>
        <v/>
      </c>
      <c r="H176" s="295" t="str">
        <f t="shared" si="8"/>
        <v/>
      </c>
      <c r="I176" s="296"/>
    </row>
    <row r="177" spans="1:9">
      <c r="A177" s="291">
        <v>175</v>
      </c>
      <c r="B177" s="292">
        <v>44219</v>
      </c>
      <c r="C177" s="293">
        <v>411.20967400000001</v>
      </c>
      <c r="D177" s="294">
        <v>198.76076848747033</v>
      </c>
      <c r="E177" s="293">
        <f t="shared" si="6"/>
        <v>198.76076848747033</v>
      </c>
      <c r="F177" s="303"/>
      <c r="G177" s="205" t="str">
        <f t="shared" si="7"/>
        <v/>
      </c>
      <c r="H177" s="295" t="str">
        <f t="shared" si="8"/>
        <v/>
      </c>
      <c r="I177" s="296"/>
    </row>
    <row r="178" spans="1:9">
      <c r="A178" s="291">
        <v>176</v>
      </c>
      <c r="B178" s="292">
        <v>44220</v>
      </c>
      <c r="C178" s="293">
        <v>347.06242700000001</v>
      </c>
      <c r="D178" s="294">
        <v>198.76076848747033</v>
      </c>
      <c r="E178" s="293">
        <f t="shared" si="6"/>
        <v>198.76076848747033</v>
      </c>
      <c r="F178" s="303"/>
      <c r="G178" s="205" t="str">
        <f t="shared" si="7"/>
        <v/>
      </c>
      <c r="H178" s="295" t="str">
        <f t="shared" si="8"/>
        <v/>
      </c>
      <c r="I178" s="296"/>
    </row>
    <row r="179" spans="1:9">
      <c r="A179" s="291">
        <v>177</v>
      </c>
      <c r="B179" s="292">
        <v>44221</v>
      </c>
      <c r="C179" s="293">
        <v>274.75030799999996</v>
      </c>
      <c r="D179" s="294">
        <v>198.76076848747033</v>
      </c>
      <c r="E179" s="293">
        <f t="shared" si="6"/>
        <v>198.76076848747033</v>
      </c>
      <c r="F179" s="303"/>
      <c r="G179" s="205" t="str">
        <f t="shared" si="7"/>
        <v/>
      </c>
      <c r="H179" s="295" t="str">
        <f t="shared" si="8"/>
        <v/>
      </c>
      <c r="I179" s="296"/>
    </row>
    <row r="180" spans="1:9">
      <c r="A180" s="291">
        <v>178</v>
      </c>
      <c r="B180" s="292">
        <v>44222</v>
      </c>
      <c r="C180" s="293">
        <v>151.71598999999998</v>
      </c>
      <c r="D180" s="294">
        <v>198.76076848747033</v>
      </c>
      <c r="E180" s="293">
        <f t="shared" si="6"/>
        <v>151.71598999999998</v>
      </c>
      <c r="F180" s="303"/>
      <c r="G180" s="205" t="str">
        <f t="shared" si="7"/>
        <v/>
      </c>
      <c r="H180" s="295" t="str">
        <f t="shared" si="8"/>
        <v/>
      </c>
      <c r="I180" s="296"/>
    </row>
    <row r="181" spans="1:9">
      <c r="A181" s="291">
        <v>179</v>
      </c>
      <c r="B181" s="292">
        <v>44223</v>
      </c>
      <c r="C181" s="293">
        <v>219.35983599999997</v>
      </c>
      <c r="D181" s="294">
        <v>198.76076848747033</v>
      </c>
      <c r="E181" s="293">
        <f t="shared" si="6"/>
        <v>198.76076848747033</v>
      </c>
      <c r="F181" s="303"/>
      <c r="G181" s="205" t="str">
        <f t="shared" si="7"/>
        <v/>
      </c>
      <c r="H181" s="295" t="str">
        <f t="shared" si="8"/>
        <v/>
      </c>
      <c r="I181" s="296"/>
    </row>
    <row r="182" spans="1:9">
      <c r="A182" s="291">
        <v>180</v>
      </c>
      <c r="B182" s="292">
        <v>44224</v>
      </c>
      <c r="C182" s="293">
        <v>231.328667</v>
      </c>
      <c r="D182" s="294">
        <v>198.76076848747033</v>
      </c>
      <c r="E182" s="293">
        <f t="shared" si="6"/>
        <v>198.76076848747033</v>
      </c>
      <c r="F182" s="303"/>
      <c r="G182" s="205" t="str">
        <f t="shared" si="7"/>
        <v/>
      </c>
      <c r="H182" s="295" t="str">
        <f t="shared" si="8"/>
        <v/>
      </c>
      <c r="I182" s="296"/>
    </row>
    <row r="183" spans="1:9">
      <c r="A183" s="291">
        <v>181</v>
      </c>
      <c r="B183" s="292">
        <v>44225</v>
      </c>
      <c r="C183" s="293">
        <v>257.01101800000004</v>
      </c>
      <c r="D183" s="294">
        <v>198.76076848747033</v>
      </c>
      <c r="E183" s="293">
        <f t="shared" si="6"/>
        <v>198.76076848747033</v>
      </c>
      <c r="F183" s="303"/>
      <c r="G183" s="205" t="str">
        <f t="shared" si="7"/>
        <v/>
      </c>
      <c r="H183" s="295" t="str">
        <f t="shared" si="8"/>
        <v/>
      </c>
      <c r="I183" s="296"/>
    </row>
    <row r="184" spans="1:9">
      <c r="A184" s="291">
        <v>182</v>
      </c>
      <c r="B184" s="292">
        <v>44226</v>
      </c>
      <c r="C184" s="293">
        <v>379.30464200000006</v>
      </c>
      <c r="D184" s="294">
        <v>198.76076848747033</v>
      </c>
      <c r="E184" s="293">
        <f t="shared" si="6"/>
        <v>198.76076848747033</v>
      </c>
      <c r="F184" s="303"/>
      <c r="G184" s="205" t="str">
        <f t="shared" si="7"/>
        <v/>
      </c>
      <c r="H184" s="295" t="str">
        <f t="shared" si="8"/>
        <v/>
      </c>
      <c r="I184" s="296"/>
    </row>
    <row r="185" spans="1:9">
      <c r="A185" s="291">
        <v>183</v>
      </c>
      <c r="B185" s="292">
        <v>44227</v>
      </c>
      <c r="C185" s="293">
        <v>317.81020699999999</v>
      </c>
      <c r="D185" s="294">
        <v>198.76076848747033</v>
      </c>
      <c r="E185" s="293">
        <f t="shared" si="6"/>
        <v>198.76076848747033</v>
      </c>
      <c r="F185" s="303"/>
      <c r="G185" s="205" t="str">
        <f t="shared" si="7"/>
        <v/>
      </c>
      <c r="H185" s="295" t="str">
        <f t="shared" si="8"/>
        <v/>
      </c>
      <c r="I185" s="296"/>
    </row>
    <row r="186" spans="1:9">
      <c r="A186" s="291">
        <v>184</v>
      </c>
      <c r="B186" s="292">
        <v>44228</v>
      </c>
      <c r="C186" s="293">
        <v>354.63200399999994</v>
      </c>
      <c r="D186" s="294">
        <v>212.36985204649764</v>
      </c>
      <c r="E186" s="293">
        <f t="shared" si="6"/>
        <v>212.36985204649764</v>
      </c>
      <c r="F186" s="296"/>
      <c r="G186" s="205" t="str">
        <f t="shared" si="7"/>
        <v/>
      </c>
      <c r="H186" s="295" t="str">
        <f t="shared" si="8"/>
        <v/>
      </c>
      <c r="I186" s="296"/>
    </row>
    <row r="187" spans="1:9">
      <c r="A187" s="291">
        <v>185</v>
      </c>
      <c r="B187" s="292">
        <v>44229</v>
      </c>
      <c r="C187" s="293">
        <v>298.34410600000001</v>
      </c>
      <c r="D187" s="294">
        <v>212.36985204649764</v>
      </c>
      <c r="E187" s="293">
        <f t="shared" si="6"/>
        <v>212.36985204649764</v>
      </c>
      <c r="F187" s="303"/>
      <c r="G187" s="205" t="str">
        <f t="shared" si="7"/>
        <v/>
      </c>
      <c r="H187" s="295" t="str">
        <f t="shared" si="8"/>
        <v/>
      </c>
      <c r="I187" s="296"/>
    </row>
    <row r="188" spans="1:9">
      <c r="A188" s="291">
        <v>186</v>
      </c>
      <c r="B188" s="292">
        <v>44230</v>
      </c>
      <c r="C188" s="293">
        <v>248.37466599999999</v>
      </c>
      <c r="D188" s="294">
        <v>212.36985204649764</v>
      </c>
      <c r="E188" s="293">
        <f t="shared" si="6"/>
        <v>212.36985204649764</v>
      </c>
      <c r="F188" s="303"/>
      <c r="G188" s="205" t="str">
        <f t="shared" si="7"/>
        <v/>
      </c>
      <c r="H188" s="295" t="str">
        <f t="shared" si="8"/>
        <v/>
      </c>
      <c r="I188" s="296"/>
    </row>
    <row r="189" spans="1:9">
      <c r="A189" s="291">
        <v>187</v>
      </c>
      <c r="B189" s="292">
        <v>44231</v>
      </c>
      <c r="C189" s="293">
        <v>108.02166700000001</v>
      </c>
      <c r="D189" s="294">
        <v>212.36985204649764</v>
      </c>
      <c r="E189" s="293">
        <f t="shared" si="6"/>
        <v>108.02166700000001</v>
      </c>
      <c r="F189" s="303"/>
      <c r="G189" s="205" t="str">
        <f t="shared" si="7"/>
        <v/>
      </c>
      <c r="H189" s="295" t="str">
        <f t="shared" si="8"/>
        <v/>
      </c>
      <c r="I189" s="296"/>
    </row>
    <row r="190" spans="1:9">
      <c r="A190" s="291">
        <v>188</v>
      </c>
      <c r="B190" s="292">
        <v>44232</v>
      </c>
      <c r="C190" s="293">
        <v>168.37187700000001</v>
      </c>
      <c r="D190" s="294">
        <v>212.36985204649764</v>
      </c>
      <c r="E190" s="293">
        <f t="shared" si="6"/>
        <v>168.37187700000001</v>
      </c>
      <c r="F190" s="303"/>
      <c r="G190" s="205" t="str">
        <f t="shared" si="7"/>
        <v/>
      </c>
      <c r="H190" s="295" t="str">
        <f t="shared" si="8"/>
        <v/>
      </c>
      <c r="I190" s="296"/>
    </row>
    <row r="191" spans="1:9">
      <c r="A191" s="291">
        <v>189</v>
      </c>
      <c r="B191" s="292">
        <v>44233</v>
      </c>
      <c r="C191" s="293">
        <v>198.89757999999998</v>
      </c>
      <c r="D191" s="294">
        <v>212.36985204649764</v>
      </c>
      <c r="E191" s="293">
        <f t="shared" si="6"/>
        <v>198.89757999999998</v>
      </c>
      <c r="F191" s="303"/>
      <c r="G191" s="205" t="str">
        <f t="shared" si="7"/>
        <v/>
      </c>
      <c r="H191" s="295" t="str">
        <f t="shared" si="8"/>
        <v/>
      </c>
      <c r="I191" s="296"/>
    </row>
    <row r="192" spans="1:9">
      <c r="A192" s="291">
        <v>190</v>
      </c>
      <c r="B192" s="292">
        <v>44234</v>
      </c>
      <c r="C192" s="293">
        <v>260.927798</v>
      </c>
      <c r="D192" s="294">
        <v>212.36985204649764</v>
      </c>
      <c r="E192" s="293">
        <f t="shared" si="6"/>
        <v>212.36985204649764</v>
      </c>
      <c r="F192" s="303"/>
      <c r="G192" s="205" t="str">
        <f t="shared" si="7"/>
        <v/>
      </c>
      <c r="H192" s="295" t="str">
        <f t="shared" si="8"/>
        <v/>
      </c>
      <c r="I192" s="296"/>
    </row>
    <row r="193" spans="1:9">
      <c r="A193" s="291">
        <v>191</v>
      </c>
      <c r="B193" s="292">
        <v>44235</v>
      </c>
      <c r="C193" s="293">
        <v>341.245745</v>
      </c>
      <c r="D193" s="294">
        <v>212.36985204649764</v>
      </c>
      <c r="E193" s="293">
        <f t="shared" si="6"/>
        <v>212.36985204649764</v>
      </c>
      <c r="F193" s="303"/>
      <c r="G193" s="205" t="str">
        <f t="shared" si="7"/>
        <v/>
      </c>
      <c r="H193" s="295" t="str">
        <f t="shared" si="8"/>
        <v/>
      </c>
      <c r="I193" s="296"/>
    </row>
    <row r="194" spans="1:9">
      <c r="A194" s="291">
        <v>192</v>
      </c>
      <c r="B194" s="292">
        <v>44236</v>
      </c>
      <c r="C194" s="293">
        <v>335.91172600000004</v>
      </c>
      <c r="D194" s="294">
        <v>212.36985204649764</v>
      </c>
      <c r="E194" s="293">
        <f t="shared" si="6"/>
        <v>212.36985204649764</v>
      </c>
      <c r="F194" s="303"/>
      <c r="G194" s="205" t="str">
        <f t="shared" si="7"/>
        <v/>
      </c>
      <c r="H194" s="295" t="str">
        <f t="shared" si="8"/>
        <v/>
      </c>
      <c r="I194" s="296"/>
    </row>
    <row r="195" spans="1:9">
      <c r="A195" s="291">
        <v>193</v>
      </c>
      <c r="B195" s="292">
        <v>44237</v>
      </c>
      <c r="C195" s="293">
        <v>286.04804600000006</v>
      </c>
      <c r="D195" s="294">
        <v>212.36985204649764</v>
      </c>
      <c r="E195" s="293">
        <f t="shared" ref="E195:E258" si="9">IF(C195&gt;D195,D195,C195)</f>
        <v>212.36985204649764</v>
      </c>
      <c r="F195" s="303"/>
      <c r="G195" s="205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295" t="str">
        <f t="shared" ref="H195:H258" si="11">IF(DAY($B195)=15,TEXT(D195,"#,0"),"")</f>
        <v/>
      </c>
      <c r="I195" s="296"/>
    </row>
    <row r="196" spans="1:9">
      <c r="A196" s="291">
        <v>194</v>
      </c>
      <c r="B196" s="292">
        <v>44238</v>
      </c>
      <c r="C196" s="293">
        <v>194.20349999999999</v>
      </c>
      <c r="D196" s="294">
        <v>212.36985204649764</v>
      </c>
      <c r="E196" s="293">
        <f t="shared" si="9"/>
        <v>194.20349999999999</v>
      </c>
      <c r="F196" s="303"/>
      <c r="G196" s="205" t="str">
        <f t="shared" si="10"/>
        <v/>
      </c>
      <c r="H196" s="295" t="str">
        <f t="shared" si="11"/>
        <v/>
      </c>
      <c r="I196" s="296"/>
    </row>
    <row r="197" spans="1:9">
      <c r="A197" s="291">
        <v>195</v>
      </c>
      <c r="B197" s="292">
        <v>44239</v>
      </c>
      <c r="C197" s="293">
        <v>270.06066399999997</v>
      </c>
      <c r="D197" s="294">
        <v>212.36985204649764</v>
      </c>
      <c r="E197" s="293">
        <f t="shared" si="9"/>
        <v>212.36985204649764</v>
      </c>
      <c r="F197" s="303"/>
      <c r="G197" s="205" t="str">
        <f t="shared" si="10"/>
        <v/>
      </c>
      <c r="H197" s="295" t="str">
        <f t="shared" si="11"/>
        <v/>
      </c>
      <c r="I197" s="296"/>
    </row>
    <row r="198" spans="1:9">
      <c r="A198" s="291">
        <v>196</v>
      </c>
      <c r="B198" s="292">
        <v>44240</v>
      </c>
      <c r="C198" s="293">
        <v>188.21401900000001</v>
      </c>
      <c r="D198" s="294">
        <v>212.36985204649764</v>
      </c>
      <c r="E198" s="293">
        <f t="shared" si="9"/>
        <v>188.21401900000001</v>
      </c>
      <c r="F198" s="303"/>
      <c r="G198" s="205" t="str">
        <f t="shared" si="10"/>
        <v/>
      </c>
      <c r="H198" s="295" t="str">
        <f t="shared" si="11"/>
        <v/>
      </c>
      <c r="I198" s="296"/>
    </row>
    <row r="199" spans="1:9">
      <c r="A199" s="291">
        <v>197</v>
      </c>
      <c r="B199" s="292">
        <v>44241</v>
      </c>
      <c r="C199" s="293">
        <v>166.08467199999998</v>
      </c>
      <c r="D199" s="294">
        <v>212.36985204649764</v>
      </c>
      <c r="E199" s="293">
        <f t="shared" si="9"/>
        <v>166.08467199999998</v>
      </c>
      <c r="F199" s="303"/>
      <c r="G199" s="205" t="str">
        <f t="shared" si="10"/>
        <v/>
      </c>
      <c r="H199" s="295" t="str">
        <f t="shared" si="11"/>
        <v/>
      </c>
      <c r="I199" s="296"/>
    </row>
    <row r="200" spans="1:9">
      <c r="A200" s="291">
        <v>198</v>
      </c>
      <c r="B200" s="292">
        <v>44242</v>
      </c>
      <c r="C200" s="293">
        <v>212.85759200000001</v>
      </c>
      <c r="D200" s="294">
        <v>212.36985204649764</v>
      </c>
      <c r="E200" s="293">
        <f t="shared" si="9"/>
        <v>212.36985204649764</v>
      </c>
      <c r="F200" s="303"/>
      <c r="G200" s="205" t="str">
        <f t="shared" si="10"/>
        <v>F</v>
      </c>
      <c r="H200" s="295" t="str">
        <f t="shared" si="11"/>
        <v>212,4</v>
      </c>
      <c r="I200" s="296"/>
    </row>
    <row r="201" spans="1:9">
      <c r="A201" s="291">
        <v>199</v>
      </c>
      <c r="B201" s="292">
        <v>44243</v>
      </c>
      <c r="C201" s="293">
        <v>193.85834</v>
      </c>
      <c r="D201" s="294">
        <v>212.36985204649764</v>
      </c>
      <c r="E201" s="293">
        <f t="shared" si="9"/>
        <v>193.85834</v>
      </c>
      <c r="F201" s="303"/>
      <c r="G201" s="205" t="str">
        <f t="shared" si="10"/>
        <v/>
      </c>
      <c r="H201" s="295" t="str">
        <f t="shared" si="11"/>
        <v/>
      </c>
      <c r="I201" s="296"/>
    </row>
    <row r="202" spans="1:9">
      <c r="A202" s="291">
        <v>200</v>
      </c>
      <c r="B202" s="292">
        <v>44244</v>
      </c>
      <c r="C202" s="293">
        <v>150.38908499999999</v>
      </c>
      <c r="D202" s="294">
        <v>212.36985204649764</v>
      </c>
      <c r="E202" s="293">
        <f t="shared" si="9"/>
        <v>150.38908499999999</v>
      </c>
      <c r="F202" s="303"/>
      <c r="G202" s="205" t="str">
        <f t="shared" si="10"/>
        <v/>
      </c>
      <c r="H202" s="295" t="str">
        <f t="shared" si="11"/>
        <v/>
      </c>
      <c r="I202" s="296"/>
    </row>
    <row r="203" spans="1:9">
      <c r="A203" s="291">
        <v>201</v>
      </c>
      <c r="B203" s="292">
        <v>44245</v>
      </c>
      <c r="C203" s="293">
        <v>206.50008499999998</v>
      </c>
      <c r="D203" s="294">
        <v>212.36985204649764</v>
      </c>
      <c r="E203" s="293">
        <f t="shared" si="9"/>
        <v>206.50008499999998</v>
      </c>
      <c r="F203" s="303"/>
      <c r="G203" s="205" t="str">
        <f t="shared" si="10"/>
        <v/>
      </c>
      <c r="H203" s="295" t="str">
        <f t="shared" si="11"/>
        <v/>
      </c>
      <c r="I203" s="296"/>
    </row>
    <row r="204" spans="1:9">
      <c r="A204" s="291">
        <v>202</v>
      </c>
      <c r="B204" s="292">
        <v>44246</v>
      </c>
      <c r="C204" s="293">
        <v>231.87363300000001</v>
      </c>
      <c r="D204" s="294">
        <v>212.36985204649764</v>
      </c>
      <c r="E204" s="293">
        <f t="shared" si="9"/>
        <v>212.36985204649764</v>
      </c>
      <c r="F204" s="303"/>
      <c r="G204" s="205" t="str">
        <f t="shared" si="10"/>
        <v/>
      </c>
      <c r="H204" s="295" t="str">
        <f t="shared" si="11"/>
        <v/>
      </c>
      <c r="I204" s="296"/>
    </row>
    <row r="205" spans="1:9">
      <c r="A205" s="291">
        <v>203</v>
      </c>
      <c r="B205" s="292">
        <v>44247</v>
      </c>
      <c r="C205" s="293">
        <v>278.98808100000002</v>
      </c>
      <c r="D205" s="294">
        <v>212.36985204649764</v>
      </c>
      <c r="E205" s="293">
        <f t="shared" si="9"/>
        <v>212.36985204649764</v>
      </c>
      <c r="F205" s="303"/>
      <c r="G205" s="205" t="str">
        <f t="shared" si="10"/>
        <v/>
      </c>
      <c r="H205" s="295" t="str">
        <f t="shared" si="11"/>
        <v/>
      </c>
      <c r="I205" s="296"/>
    </row>
    <row r="206" spans="1:9">
      <c r="A206" s="291">
        <v>204</v>
      </c>
      <c r="B206" s="292">
        <v>44248</v>
      </c>
      <c r="C206" s="293">
        <v>240.68293</v>
      </c>
      <c r="D206" s="294">
        <v>212.36985204649764</v>
      </c>
      <c r="E206" s="293">
        <f t="shared" si="9"/>
        <v>212.36985204649764</v>
      </c>
      <c r="F206" s="303"/>
      <c r="G206" s="205" t="str">
        <f t="shared" si="10"/>
        <v/>
      </c>
      <c r="H206" s="295" t="str">
        <f t="shared" si="11"/>
        <v/>
      </c>
      <c r="I206" s="296"/>
    </row>
    <row r="207" spans="1:9">
      <c r="A207" s="291">
        <v>205</v>
      </c>
      <c r="B207" s="292">
        <v>44249</v>
      </c>
      <c r="C207" s="293">
        <v>175.44514599999999</v>
      </c>
      <c r="D207" s="294">
        <v>212.36985204649764</v>
      </c>
      <c r="E207" s="293">
        <f t="shared" si="9"/>
        <v>175.44514599999999</v>
      </c>
      <c r="F207" s="303"/>
      <c r="G207" s="205" t="str">
        <f t="shared" si="10"/>
        <v/>
      </c>
      <c r="H207" s="295" t="str">
        <f t="shared" si="11"/>
        <v/>
      </c>
      <c r="I207" s="296"/>
    </row>
    <row r="208" spans="1:9">
      <c r="A208" s="291">
        <v>206</v>
      </c>
      <c r="B208" s="292">
        <v>44250</v>
      </c>
      <c r="C208" s="293">
        <v>163.82093499999999</v>
      </c>
      <c r="D208" s="294">
        <v>212.36985204649764</v>
      </c>
      <c r="E208" s="293">
        <f t="shared" si="9"/>
        <v>163.82093499999999</v>
      </c>
      <c r="F208" s="303"/>
      <c r="G208" s="205" t="str">
        <f t="shared" si="10"/>
        <v/>
      </c>
      <c r="H208" s="295" t="str">
        <f t="shared" si="11"/>
        <v/>
      </c>
      <c r="I208" s="296"/>
    </row>
    <row r="209" spans="1:9">
      <c r="A209" s="291">
        <v>207</v>
      </c>
      <c r="B209" s="292">
        <v>44251</v>
      </c>
      <c r="C209" s="293">
        <v>258.985274</v>
      </c>
      <c r="D209" s="294">
        <v>212.36985204649764</v>
      </c>
      <c r="E209" s="293">
        <f t="shared" si="9"/>
        <v>212.36985204649764</v>
      </c>
      <c r="F209" s="303"/>
      <c r="G209" s="205" t="str">
        <f t="shared" si="10"/>
        <v/>
      </c>
      <c r="H209" s="295" t="str">
        <f t="shared" si="11"/>
        <v/>
      </c>
      <c r="I209" s="296"/>
    </row>
    <row r="210" spans="1:9">
      <c r="A210" s="291">
        <v>208</v>
      </c>
      <c r="B210" s="292">
        <v>44252</v>
      </c>
      <c r="C210" s="293">
        <v>138.19765100000001</v>
      </c>
      <c r="D210" s="294">
        <v>212.36985204649764</v>
      </c>
      <c r="E210" s="293">
        <f t="shared" si="9"/>
        <v>138.19765100000001</v>
      </c>
      <c r="F210" s="303"/>
      <c r="G210" s="205" t="str">
        <f t="shared" si="10"/>
        <v/>
      </c>
      <c r="H210" s="295" t="str">
        <f t="shared" si="11"/>
        <v/>
      </c>
      <c r="I210" s="296"/>
    </row>
    <row r="211" spans="1:9">
      <c r="A211" s="291">
        <v>209</v>
      </c>
      <c r="B211" s="292">
        <v>44253</v>
      </c>
      <c r="C211" s="293">
        <v>142.21125700000002</v>
      </c>
      <c r="D211" s="294">
        <v>212.36985204649764</v>
      </c>
      <c r="E211" s="293">
        <f t="shared" si="9"/>
        <v>142.21125700000002</v>
      </c>
      <c r="F211" s="303"/>
      <c r="G211" s="205" t="str">
        <f t="shared" si="10"/>
        <v/>
      </c>
      <c r="H211" s="295" t="str">
        <f t="shared" si="11"/>
        <v/>
      </c>
      <c r="I211" s="296"/>
    </row>
    <row r="212" spans="1:9">
      <c r="A212" s="291">
        <v>210</v>
      </c>
      <c r="B212" s="292">
        <v>44254</v>
      </c>
      <c r="C212" s="293">
        <v>208.04583</v>
      </c>
      <c r="D212" s="294">
        <v>212.36985204649764</v>
      </c>
      <c r="E212" s="293">
        <f t="shared" si="9"/>
        <v>208.04583</v>
      </c>
      <c r="F212" s="303"/>
      <c r="G212" s="205" t="str">
        <f t="shared" si="10"/>
        <v/>
      </c>
      <c r="H212" s="295" t="str">
        <f t="shared" si="11"/>
        <v/>
      </c>
      <c r="I212" s="296"/>
    </row>
    <row r="213" spans="1:9">
      <c r="A213" s="291">
        <v>211</v>
      </c>
      <c r="B213" s="292">
        <v>44255</v>
      </c>
      <c r="C213" s="293">
        <v>219.680318</v>
      </c>
      <c r="D213" s="294">
        <v>212.36985204649764</v>
      </c>
      <c r="E213" s="293">
        <f t="shared" si="9"/>
        <v>212.36985204649764</v>
      </c>
      <c r="F213" s="303"/>
      <c r="G213" s="205" t="str">
        <f t="shared" si="10"/>
        <v/>
      </c>
      <c r="H213" s="295" t="str">
        <f t="shared" si="11"/>
        <v/>
      </c>
      <c r="I213" s="296"/>
    </row>
    <row r="214" spans="1:9">
      <c r="A214" s="291">
        <v>212</v>
      </c>
      <c r="B214" s="292">
        <v>44256</v>
      </c>
      <c r="C214" s="293">
        <v>217.03989300000001</v>
      </c>
      <c r="D214" s="294">
        <v>201.77141510917494</v>
      </c>
      <c r="E214" s="293">
        <f t="shared" si="9"/>
        <v>201.77141510917494</v>
      </c>
      <c r="F214" s="303"/>
      <c r="G214" s="205" t="str">
        <f t="shared" si="10"/>
        <v/>
      </c>
      <c r="H214" s="295" t="str">
        <f t="shared" si="11"/>
        <v/>
      </c>
      <c r="I214" s="296"/>
    </row>
    <row r="215" spans="1:9">
      <c r="A215" s="291">
        <v>213</v>
      </c>
      <c r="B215" s="292">
        <v>44257</v>
      </c>
      <c r="C215" s="293">
        <v>116.65366299999999</v>
      </c>
      <c r="D215" s="294">
        <v>201.77141510917494</v>
      </c>
      <c r="E215" s="293">
        <f t="shared" si="9"/>
        <v>116.65366299999999</v>
      </c>
      <c r="F215" s="303"/>
      <c r="G215" s="205" t="str">
        <f t="shared" si="10"/>
        <v/>
      </c>
      <c r="H215" s="295" t="str">
        <f t="shared" si="11"/>
        <v/>
      </c>
      <c r="I215" s="296"/>
    </row>
    <row r="216" spans="1:9">
      <c r="A216" s="291">
        <v>214</v>
      </c>
      <c r="B216" s="292">
        <v>44258</v>
      </c>
      <c r="C216" s="293">
        <v>59.233159000000001</v>
      </c>
      <c r="D216" s="294">
        <v>201.77141510917494</v>
      </c>
      <c r="E216" s="293">
        <f t="shared" si="9"/>
        <v>59.233159000000001</v>
      </c>
      <c r="F216" s="296"/>
      <c r="G216" s="205" t="str">
        <f t="shared" si="10"/>
        <v/>
      </c>
      <c r="H216" s="295" t="str">
        <f t="shared" si="11"/>
        <v/>
      </c>
      <c r="I216" s="296"/>
    </row>
    <row r="217" spans="1:9">
      <c r="A217" s="291">
        <v>215</v>
      </c>
      <c r="B217" s="292">
        <v>44259</v>
      </c>
      <c r="C217" s="293">
        <v>85.570998000000003</v>
      </c>
      <c r="D217" s="294">
        <v>201.77141510917494</v>
      </c>
      <c r="E217" s="293">
        <f t="shared" si="9"/>
        <v>85.570998000000003</v>
      </c>
      <c r="F217" s="303"/>
      <c r="G217" s="205" t="str">
        <f t="shared" si="10"/>
        <v/>
      </c>
      <c r="H217" s="295" t="str">
        <f t="shared" si="11"/>
        <v/>
      </c>
      <c r="I217" s="296"/>
    </row>
    <row r="218" spans="1:9">
      <c r="A218" s="291">
        <v>216</v>
      </c>
      <c r="B218" s="292">
        <v>44260</v>
      </c>
      <c r="C218" s="293">
        <v>146.74572899999998</v>
      </c>
      <c r="D218" s="294">
        <v>201.77141510917494</v>
      </c>
      <c r="E218" s="293">
        <f t="shared" si="9"/>
        <v>146.74572899999998</v>
      </c>
      <c r="F218" s="303"/>
      <c r="G218" s="205" t="str">
        <f t="shared" si="10"/>
        <v/>
      </c>
      <c r="H218" s="295" t="str">
        <f t="shared" si="11"/>
        <v/>
      </c>
      <c r="I218" s="296"/>
    </row>
    <row r="219" spans="1:9">
      <c r="A219" s="291">
        <v>217</v>
      </c>
      <c r="B219" s="292">
        <v>44261</v>
      </c>
      <c r="C219" s="293">
        <v>136.76976400000001</v>
      </c>
      <c r="D219" s="294">
        <v>201.77141510917494</v>
      </c>
      <c r="E219" s="293">
        <f t="shared" si="9"/>
        <v>136.76976400000001</v>
      </c>
      <c r="F219" s="303"/>
      <c r="G219" s="205" t="str">
        <f t="shared" si="10"/>
        <v/>
      </c>
      <c r="H219" s="295" t="str">
        <f t="shared" si="11"/>
        <v/>
      </c>
      <c r="I219" s="296"/>
    </row>
    <row r="220" spans="1:9">
      <c r="A220" s="291">
        <v>218</v>
      </c>
      <c r="B220" s="292">
        <v>44262</v>
      </c>
      <c r="C220" s="293">
        <v>69.506714000000002</v>
      </c>
      <c r="D220" s="294">
        <v>201.77141510917494</v>
      </c>
      <c r="E220" s="293">
        <f t="shared" si="9"/>
        <v>69.506714000000002</v>
      </c>
      <c r="F220" s="303"/>
      <c r="G220" s="205" t="str">
        <f t="shared" si="10"/>
        <v/>
      </c>
      <c r="H220" s="295" t="str">
        <f t="shared" si="11"/>
        <v/>
      </c>
      <c r="I220" s="296"/>
    </row>
    <row r="221" spans="1:9">
      <c r="A221" s="291">
        <v>219</v>
      </c>
      <c r="B221" s="292">
        <v>44263</v>
      </c>
      <c r="C221" s="293">
        <v>162.11311200000003</v>
      </c>
      <c r="D221" s="294">
        <v>201.77141510917494</v>
      </c>
      <c r="E221" s="293">
        <f t="shared" si="9"/>
        <v>162.11311200000003</v>
      </c>
      <c r="F221" s="303"/>
      <c r="G221" s="205" t="str">
        <f t="shared" si="10"/>
        <v/>
      </c>
      <c r="H221" s="295" t="str">
        <f t="shared" si="11"/>
        <v/>
      </c>
      <c r="I221" s="296"/>
    </row>
    <row r="222" spans="1:9">
      <c r="A222" s="291">
        <v>220</v>
      </c>
      <c r="B222" s="292">
        <v>44264</v>
      </c>
      <c r="C222" s="293">
        <v>139.32670400000001</v>
      </c>
      <c r="D222" s="294">
        <v>201.77141510917494</v>
      </c>
      <c r="E222" s="293">
        <f t="shared" si="9"/>
        <v>139.32670400000001</v>
      </c>
      <c r="F222" s="303"/>
      <c r="G222" s="205" t="str">
        <f t="shared" si="10"/>
        <v/>
      </c>
      <c r="H222" s="295" t="str">
        <f t="shared" si="11"/>
        <v/>
      </c>
      <c r="I222" s="296"/>
    </row>
    <row r="223" spans="1:9">
      <c r="A223" s="291">
        <v>221</v>
      </c>
      <c r="B223" s="292">
        <v>44265</v>
      </c>
      <c r="C223" s="293">
        <v>117.505933</v>
      </c>
      <c r="D223" s="294">
        <v>201.77141510917494</v>
      </c>
      <c r="E223" s="293">
        <f t="shared" si="9"/>
        <v>117.505933</v>
      </c>
      <c r="F223" s="303"/>
      <c r="G223" s="205" t="str">
        <f t="shared" si="10"/>
        <v/>
      </c>
      <c r="H223" s="295" t="str">
        <f t="shared" si="11"/>
        <v/>
      </c>
      <c r="I223" s="296"/>
    </row>
    <row r="224" spans="1:9">
      <c r="A224" s="291">
        <v>222</v>
      </c>
      <c r="B224" s="292">
        <v>44266</v>
      </c>
      <c r="C224" s="293">
        <v>214.55202099999997</v>
      </c>
      <c r="D224" s="294">
        <v>201.77141510917494</v>
      </c>
      <c r="E224" s="293">
        <f t="shared" si="9"/>
        <v>201.77141510917494</v>
      </c>
      <c r="F224" s="303"/>
      <c r="G224" s="205" t="str">
        <f t="shared" si="10"/>
        <v/>
      </c>
      <c r="H224" s="295" t="str">
        <f t="shared" si="11"/>
        <v/>
      </c>
      <c r="I224" s="296"/>
    </row>
    <row r="225" spans="1:9">
      <c r="A225" s="291">
        <v>223</v>
      </c>
      <c r="B225" s="292">
        <v>44267</v>
      </c>
      <c r="C225" s="293">
        <v>177.23169000000001</v>
      </c>
      <c r="D225" s="294">
        <v>201.77141510917494</v>
      </c>
      <c r="E225" s="293">
        <f t="shared" si="9"/>
        <v>177.23169000000001</v>
      </c>
      <c r="F225" s="303"/>
      <c r="G225" s="205" t="str">
        <f t="shared" si="10"/>
        <v/>
      </c>
      <c r="H225" s="295" t="str">
        <f t="shared" si="11"/>
        <v/>
      </c>
      <c r="I225" s="296"/>
    </row>
    <row r="226" spans="1:9">
      <c r="A226" s="291">
        <v>224</v>
      </c>
      <c r="B226" s="292">
        <v>44268</v>
      </c>
      <c r="C226" s="293">
        <v>142.902986</v>
      </c>
      <c r="D226" s="294">
        <v>201.77141510917494</v>
      </c>
      <c r="E226" s="293">
        <f t="shared" si="9"/>
        <v>142.902986</v>
      </c>
      <c r="F226" s="303"/>
      <c r="G226" s="205" t="str">
        <f t="shared" si="10"/>
        <v/>
      </c>
      <c r="H226" s="295" t="str">
        <f t="shared" si="11"/>
        <v/>
      </c>
      <c r="I226" s="296"/>
    </row>
    <row r="227" spans="1:9">
      <c r="A227" s="291">
        <v>225</v>
      </c>
      <c r="B227" s="292">
        <v>44269</v>
      </c>
      <c r="C227" s="293">
        <v>198.94388500000002</v>
      </c>
      <c r="D227" s="294">
        <v>201.77141510917494</v>
      </c>
      <c r="E227" s="293">
        <f t="shared" si="9"/>
        <v>198.94388500000002</v>
      </c>
      <c r="F227" s="303"/>
      <c r="G227" s="205" t="str">
        <f t="shared" si="10"/>
        <v/>
      </c>
      <c r="H227" s="295" t="str">
        <f t="shared" si="11"/>
        <v/>
      </c>
      <c r="I227" s="296"/>
    </row>
    <row r="228" spans="1:9">
      <c r="A228" s="291">
        <v>226</v>
      </c>
      <c r="B228" s="292">
        <v>44270</v>
      </c>
      <c r="C228" s="293">
        <v>229.69514800000002</v>
      </c>
      <c r="D228" s="294">
        <v>201.77141510917494</v>
      </c>
      <c r="E228" s="293">
        <f t="shared" si="9"/>
        <v>201.77141510917494</v>
      </c>
      <c r="F228" s="303"/>
      <c r="G228" s="205" t="str">
        <f t="shared" si="10"/>
        <v>M</v>
      </c>
      <c r="H228" s="295" t="str">
        <f t="shared" si="11"/>
        <v>201,8</v>
      </c>
      <c r="I228" s="296"/>
    </row>
    <row r="229" spans="1:9">
      <c r="A229" s="291">
        <v>227</v>
      </c>
      <c r="B229" s="292">
        <v>44271</v>
      </c>
      <c r="C229" s="293">
        <v>317.664782</v>
      </c>
      <c r="D229" s="294">
        <v>201.77141510917494</v>
      </c>
      <c r="E229" s="293">
        <f t="shared" si="9"/>
        <v>201.77141510917494</v>
      </c>
      <c r="F229" s="303"/>
      <c r="G229" s="205" t="str">
        <f t="shared" si="10"/>
        <v/>
      </c>
      <c r="H229" s="295" t="str">
        <f t="shared" si="11"/>
        <v/>
      </c>
      <c r="I229" s="296"/>
    </row>
    <row r="230" spans="1:9">
      <c r="A230" s="291">
        <v>228</v>
      </c>
      <c r="B230" s="292">
        <v>44272</v>
      </c>
      <c r="C230" s="293">
        <v>352.48069299999997</v>
      </c>
      <c r="D230" s="294">
        <v>201.77141510917494</v>
      </c>
      <c r="E230" s="293">
        <f t="shared" si="9"/>
        <v>201.77141510917494</v>
      </c>
      <c r="F230" s="296"/>
      <c r="G230" s="205" t="str">
        <f t="shared" si="10"/>
        <v/>
      </c>
      <c r="H230" s="295" t="str">
        <f t="shared" si="11"/>
        <v/>
      </c>
      <c r="I230" s="296"/>
    </row>
    <row r="231" spans="1:9">
      <c r="A231" s="291">
        <v>229</v>
      </c>
      <c r="B231" s="292">
        <v>44273</v>
      </c>
      <c r="C231" s="293">
        <v>308.59627799999998</v>
      </c>
      <c r="D231" s="294">
        <v>201.77141510917494</v>
      </c>
      <c r="E231" s="293">
        <f t="shared" si="9"/>
        <v>201.77141510917494</v>
      </c>
      <c r="F231" s="303"/>
      <c r="G231" s="205" t="str">
        <f t="shared" si="10"/>
        <v/>
      </c>
      <c r="H231" s="295" t="str">
        <f t="shared" si="11"/>
        <v/>
      </c>
      <c r="I231" s="296"/>
    </row>
    <row r="232" spans="1:9">
      <c r="A232" s="291">
        <v>230</v>
      </c>
      <c r="B232" s="292">
        <v>44274</v>
      </c>
      <c r="C232" s="293">
        <v>306.92872500000004</v>
      </c>
      <c r="D232" s="294">
        <v>201.77141510917494</v>
      </c>
      <c r="E232" s="293">
        <f t="shared" si="9"/>
        <v>201.77141510917494</v>
      </c>
      <c r="F232" s="303"/>
      <c r="G232" s="205" t="str">
        <f t="shared" si="10"/>
        <v/>
      </c>
      <c r="H232" s="295" t="str">
        <f t="shared" si="11"/>
        <v/>
      </c>
      <c r="I232" s="296"/>
    </row>
    <row r="233" spans="1:9">
      <c r="A233" s="291">
        <v>231</v>
      </c>
      <c r="B233" s="292">
        <v>44275</v>
      </c>
      <c r="C233" s="293">
        <v>356.70293400000003</v>
      </c>
      <c r="D233" s="294">
        <v>201.77141510917494</v>
      </c>
      <c r="E233" s="293">
        <f t="shared" si="9"/>
        <v>201.77141510917494</v>
      </c>
      <c r="F233" s="303"/>
      <c r="G233" s="205" t="str">
        <f t="shared" si="10"/>
        <v/>
      </c>
      <c r="H233" s="295" t="str">
        <f t="shared" si="11"/>
        <v/>
      </c>
      <c r="I233" s="296"/>
    </row>
    <row r="234" spans="1:9">
      <c r="A234" s="291">
        <v>232</v>
      </c>
      <c r="B234" s="292">
        <v>44276</v>
      </c>
      <c r="C234" s="293">
        <v>299.76420299999995</v>
      </c>
      <c r="D234" s="294">
        <v>201.77141510917494</v>
      </c>
      <c r="E234" s="293">
        <f t="shared" si="9"/>
        <v>201.77141510917494</v>
      </c>
      <c r="F234" s="303"/>
      <c r="G234" s="205" t="str">
        <f t="shared" si="10"/>
        <v/>
      </c>
      <c r="H234" s="295" t="str">
        <f t="shared" si="11"/>
        <v/>
      </c>
      <c r="I234" s="296"/>
    </row>
    <row r="235" spans="1:9">
      <c r="A235" s="291">
        <v>233</v>
      </c>
      <c r="B235" s="292">
        <v>44277</v>
      </c>
      <c r="C235" s="293">
        <v>240.35423900000001</v>
      </c>
      <c r="D235" s="294">
        <v>201.77141510917494</v>
      </c>
      <c r="E235" s="293">
        <f t="shared" si="9"/>
        <v>201.77141510917494</v>
      </c>
      <c r="F235" s="303"/>
      <c r="G235" s="205" t="str">
        <f t="shared" si="10"/>
        <v/>
      </c>
      <c r="H235" s="295" t="str">
        <f t="shared" si="11"/>
        <v/>
      </c>
      <c r="I235" s="296"/>
    </row>
    <row r="236" spans="1:9">
      <c r="A236" s="291">
        <v>234</v>
      </c>
      <c r="B236" s="292">
        <v>44278</v>
      </c>
      <c r="C236" s="293">
        <v>68.061356000000004</v>
      </c>
      <c r="D236" s="294">
        <v>201.77141510917494</v>
      </c>
      <c r="E236" s="293">
        <f t="shared" si="9"/>
        <v>68.061356000000004</v>
      </c>
      <c r="F236" s="303"/>
      <c r="G236" s="205" t="str">
        <f t="shared" si="10"/>
        <v/>
      </c>
      <c r="H236" s="295" t="str">
        <f t="shared" si="11"/>
        <v/>
      </c>
      <c r="I236" s="296"/>
    </row>
    <row r="237" spans="1:9">
      <c r="A237" s="291">
        <v>235</v>
      </c>
      <c r="B237" s="292">
        <v>44279</v>
      </c>
      <c r="C237" s="293">
        <v>23.369688999999997</v>
      </c>
      <c r="D237" s="294">
        <v>201.77141510917494</v>
      </c>
      <c r="E237" s="293">
        <f t="shared" si="9"/>
        <v>23.369688999999997</v>
      </c>
      <c r="F237" s="303"/>
      <c r="G237" s="205" t="str">
        <f t="shared" si="10"/>
        <v/>
      </c>
      <c r="H237" s="295" t="str">
        <f t="shared" si="11"/>
        <v/>
      </c>
      <c r="I237" s="296"/>
    </row>
    <row r="238" spans="1:9">
      <c r="A238" s="291">
        <v>236</v>
      </c>
      <c r="B238" s="292">
        <v>44280</v>
      </c>
      <c r="C238" s="293">
        <v>46.521746999999998</v>
      </c>
      <c r="D238" s="294">
        <v>201.77141510917494</v>
      </c>
      <c r="E238" s="293">
        <f t="shared" si="9"/>
        <v>46.521746999999998</v>
      </c>
      <c r="F238" s="303"/>
      <c r="G238" s="205" t="str">
        <f t="shared" si="10"/>
        <v/>
      </c>
      <c r="H238" s="295" t="str">
        <f t="shared" si="11"/>
        <v/>
      </c>
      <c r="I238" s="296"/>
    </row>
    <row r="239" spans="1:9">
      <c r="A239" s="291">
        <v>237</v>
      </c>
      <c r="B239" s="292">
        <v>44281</v>
      </c>
      <c r="C239" s="293">
        <v>101.47027600000001</v>
      </c>
      <c r="D239" s="294">
        <v>201.77141510917494</v>
      </c>
      <c r="E239" s="293">
        <f t="shared" si="9"/>
        <v>101.47027600000001</v>
      </c>
      <c r="F239" s="303"/>
      <c r="G239" s="205" t="str">
        <f t="shared" si="10"/>
        <v/>
      </c>
      <c r="H239" s="295" t="str">
        <f t="shared" si="11"/>
        <v/>
      </c>
      <c r="I239" s="296"/>
    </row>
    <row r="240" spans="1:9">
      <c r="A240" s="291">
        <v>238</v>
      </c>
      <c r="B240" s="292">
        <v>44282</v>
      </c>
      <c r="C240" s="293">
        <v>138.59802299999998</v>
      </c>
      <c r="D240" s="294">
        <v>201.77141510917494</v>
      </c>
      <c r="E240" s="293">
        <f t="shared" si="9"/>
        <v>138.59802299999998</v>
      </c>
      <c r="F240" s="303"/>
      <c r="G240" s="205" t="str">
        <f t="shared" si="10"/>
        <v/>
      </c>
      <c r="H240" s="295" t="str">
        <f t="shared" si="11"/>
        <v/>
      </c>
      <c r="I240" s="296"/>
    </row>
    <row r="241" spans="1:9">
      <c r="A241" s="291">
        <v>239</v>
      </c>
      <c r="B241" s="292">
        <v>44283</v>
      </c>
      <c r="C241" s="293">
        <v>125.51275699999999</v>
      </c>
      <c r="D241" s="294">
        <v>201.77141510917494</v>
      </c>
      <c r="E241" s="293">
        <f t="shared" si="9"/>
        <v>125.51275699999999</v>
      </c>
      <c r="F241" s="303"/>
      <c r="G241" s="205" t="str">
        <f t="shared" si="10"/>
        <v/>
      </c>
      <c r="H241" s="295" t="str">
        <f t="shared" si="11"/>
        <v/>
      </c>
      <c r="I241" s="296"/>
    </row>
    <row r="242" spans="1:9">
      <c r="A242" s="291">
        <v>240</v>
      </c>
      <c r="B242" s="292">
        <v>44284</v>
      </c>
      <c r="C242" s="293">
        <v>224.63117300000002</v>
      </c>
      <c r="D242" s="294">
        <v>201.77141510917494</v>
      </c>
      <c r="E242" s="293">
        <f t="shared" si="9"/>
        <v>201.77141510917494</v>
      </c>
      <c r="F242" s="303"/>
      <c r="G242" s="205" t="str">
        <f t="shared" si="10"/>
        <v/>
      </c>
      <c r="H242" s="295" t="str">
        <f t="shared" si="11"/>
        <v/>
      </c>
      <c r="I242" s="296"/>
    </row>
    <row r="243" spans="1:9">
      <c r="A243" s="291">
        <v>241</v>
      </c>
      <c r="B243" s="292">
        <v>44285</v>
      </c>
      <c r="C243" s="293">
        <v>198.45922300000001</v>
      </c>
      <c r="D243" s="294">
        <v>201.77141510917494</v>
      </c>
      <c r="E243" s="293">
        <f t="shared" si="9"/>
        <v>198.45922300000001</v>
      </c>
      <c r="F243" s="303"/>
      <c r="G243" s="205" t="str">
        <f t="shared" si="10"/>
        <v/>
      </c>
      <c r="H243" s="295" t="str">
        <f t="shared" si="11"/>
        <v/>
      </c>
      <c r="I243" s="296"/>
    </row>
    <row r="244" spans="1:9">
      <c r="A244" s="291">
        <v>242</v>
      </c>
      <c r="B244" s="292">
        <v>44286</v>
      </c>
      <c r="C244" s="293">
        <v>205.817869</v>
      </c>
      <c r="D244" s="294">
        <v>201.77141510917494</v>
      </c>
      <c r="E244" s="293">
        <f t="shared" si="9"/>
        <v>201.77141510917494</v>
      </c>
      <c r="F244" s="303"/>
      <c r="G244" s="205" t="str">
        <f t="shared" si="10"/>
        <v/>
      </c>
      <c r="H244" s="295" t="str">
        <f t="shared" si="11"/>
        <v/>
      </c>
      <c r="I244" s="296"/>
    </row>
    <row r="245" spans="1:9">
      <c r="A245" s="291">
        <v>243</v>
      </c>
      <c r="B245" s="292">
        <v>44287</v>
      </c>
      <c r="C245" s="293">
        <v>182.23051199999998</v>
      </c>
      <c r="D245" s="294">
        <v>168.58444609315609</v>
      </c>
      <c r="E245" s="293">
        <f t="shared" si="9"/>
        <v>168.58444609315609</v>
      </c>
      <c r="F245" s="303"/>
      <c r="G245" s="205" t="str">
        <f t="shared" si="10"/>
        <v/>
      </c>
      <c r="H245" s="295" t="str">
        <f t="shared" si="11"/>
        <v/>
      </c>
      <c r="I245" s="296"/>
    </row>
    <row r="246" spans="1:9">
      <c r="A246" s="291">
        <v>244</v>
      </c>
      <c r="B246" s="292">
        <v>44288</v>
      </c>
      <c r="C246" s="293">
        <v>76.23691199999999</v>
      </c>
      <c r="D246" s="294">
        <v>168.58444609315609</v>
      </c>
      <c r="E246" s="293">
        <f t="shared" si="9"/>
        <v>76.23691199999999</v>
      </c>
      <c r="F246" s="303"/>
      <c r="G246" s="205" t="str">
        <f t="shared" si="10"/>
        <v/>
      </c>
      <c r="H246" s="295" t="str">
        <f t="shared" si="11"/>
        <v/>
      </c>
      <c r="I246" s="296"/>
    </row>
    <row r="247" spans="1:9">
      <c r="A247" s="291">
        <v>245</v>
      </c>
      <c r="B247" s="292">
        <v>44289</v>
      </c>
      <c r="C247" s="293">
        <v>225.276611</v>
      </c>
      <c r="D247" s="294">
        <v>168.58444609315609</v>
      </c>
      <c r="E247" s="293">
        <f t="shared" si="9"/>
        <v>168.58444609315609</v>
      </c>
      <c r="F247" s="296"/>
      <c r="G247" s="205" t="str">
        <f t="shared" si="10"/>
        <v/>
      </c>
      <c r="H247" s="295" t="str">
        <f t="shared" si="11"/>
        <v/>
      </c>
      <c r="I247" s="296"/>
    </row>
    <row r="248" spans="1:9">
      <c r="A248" s="291">
        <v>246</v>
      </c>
      <c r="B248" s="292">
        <v>44290</v>
      </c>
      <c r="C248" s="293">
        <v>191.12999299999998</v>
      </c>
      <c r="D248" s="294">
        <v>168.58444609315609</v>
      </c>
      <c r="E248" s="293">
        <f t="shared" si="9"/>
        <v>168.58444609315609</v>
      </c>
      <c r="F248" s="303"/>
      <c r="G248" s="205" t="str">
        <f t="shared" si="10"/>
        <v/>
      </c>
      <c r="H248" s="295" t="str">
        <f t="shared" si="11"/>
        <v/>
      </c>
      <c r="I248" s="296"/>
    </row>
    <row r="249" spans="1:9">
      <c r="A249" s="291">
        <v>247</v>
      </c>
      <c r="B249" s="292">
        <v>44291</v>
      </c>
      <c r="C249" s="293">
        <v>111.209886</v>
      </c>
      <c r="D249" s="294">
        <v>168.58444609315609</v>
      </c>
      <c r="E249" s="293">
        <f t="shared" si="9"/>
        <v>111.209886</v>
      </c>
      <c r="F249" s="303"/>
      <c r="G249" s="205" t="str">
        <f t="shared" si="10"/>
        <v/>
      </c>
      <c r="H249" s="295" t="str">
        <f t="shared" si="11"/>
        <v/>
      </c>
      <c r="I249" s="296"/>
    </row>
    <row r="250" spans="1:9">
      <c r="A250" s="291">
        <v>248</v>
      </c>
      <c r="B250" s="292">
        <v>44292</v>
      </c>
      <c r="C250" s="293">
        <v>259.31245100000001</v>
      </c>
      <c r="D250" s="294">
        <v>168.58444609315609</v>
      </c>
      <c r="E250" s="293">
        <f t="shared" si="9"/>
        <v>168.58444609315609</v>
      </c>
      <c r="F250" s="303"/>
      <c r="G250" s="205" t="str">
        <f t="shared" si="10"/>
        <v/>
      </c>
      <c r="H250" s="295" t="str">
        <f t="shared" si="11"/>
        <v/>
      </c>
      <c r="I250" s="296"/>
    </row>
    <row r="251" spans="1:9">
      <c r="A251" s="291">
        <v>249</v>
      </c>
      <c r="B251" s="292">
        <v>44293</v>
      </c>
      <c r="C251" s="293">
        <v>219.571595</v>
      </c>
      <c r="D251" s="294">
        <v>168.58444609315609</v>
      </c>
      <c r="E251" s="293">
        <f t="shared" si="9"/>
        <v>168.58444609315609</v>
      </c>
      <c r="F251" s="303"/>
      <c r="G251" s="205" t="str">
        <f t="shared" si="10"/>
        <v/>
      </c>
      <c r="H251" s="295" t="str">
        <f t="shared" si="11"/>
        <v/>
      </c>
      <c r="I251" s="296"/>
    </row>
    <row r="252" spans="1:9">
      <c r="A252" s="291">
        <v>250</v>
      </c>
      <c r="B252" s="292">
        <v>44294</v>
      </c>
      <c r="C252" s="293">
        <v>143.09699700000002</v>
      </c>
      <c r="D252" s="294">
        <v>168.58444609315609</v>
      </c>
      <c r="E252" s="293">
        <f t="shared" si="9"/>
        <v>143.09699700000002</v>
      </c>
      <c r="F252" s="303"/>
      <c r="G252" s="205" t="str">
        <f t="shared" si="10"/>
        <v/>
      </c>
      <c r="H252" s="295" t="str">
        <f t="shared" si="11"/>
        <v/>
      </c>
      <c r="I252" s="296"/>
    </row>
    <row r="253" spans="1:9">
      <c r="A253" s="291">
        <v>251</v>
      </c>
      <c r="B253" s="292">
        <v>44295</v>
      </c>
      <c r="C253" s="293">
        <v>125.65317399999999</v>
      </c>
      <c r="D253" s="294">
        <v>168.58444609315609</v>
      </c>
      <c r="E253" s="293">
        <f t="shared" si="9"/>
        <v>125.65317399999999</v>
      </c>
      <c r="F253" s="303"/>
      <c r="G253" s="205" t="str">
        <f t="shared" si="10"/>
        <v/>
      </c>
      <c r="H253" s="295" t="str">
        <f t="shared" si="11"/>
        <v/>
      </c>
      <c r="I253" s="296"/>
    </row>
    <row r="254" spans="1:9">
      <c r="A254" s="291">
        <v>252</v>
      </c>
      <c r="B254" s="292">
        <v>44296</v>
      </c>
      <c r="C254" s="293">
        <v>84.318607</v>
      </c>
      <c r="D254" s="294">
        <v>168.58444609315609</v>
      </c>
      <c r="E254" s="293">
        <f t="shared" si="9"/>
        <v>84.318607</v>
      </c>
      <c r="F254" s="303"/>
      <c r="G254" s="205" t="str">
        <f t="shared" si="10"/>
        <v/>
      </c>
      <c r="H254" s="295" t="str">
        <f t="shared" si="11"/>
        <v/>
      </c>
      <c r="I254" s="296"/>
    </row>
    <row r="255" spans="1:9">
      <c r="A255" s="291">
        <v>253</v>
      </c>
      <c r="B255" s="292">
        <v>44297</v>
      </c>
      <c r="C255" s="293">
        <v>207.28801800000002</v>
      </c>
      <c r="D255" s="294">
        <v>168.58444609315609</v>
      </c>
      <c r="E255" s="293">
        <f t="shared" si="9"/>
        <v>168.58444609315609</v>
      </c>
      <c r="F255" s="303"/>
      <c r="G255" s="205" t="str">
        <f t="shared" si="10"/>
        <v/>
      </c>
      <c r="H255" s="295" t="str">
        <f t="shared" si="11"/>
        <v/>
      </c>
      <c r="I255" s="296"/>
    </row>
    <row r="256" spans="1:9">
      <c r="A256" s="291">
        <v>254</v>
      </c>
      <c r="B256" s="292">
        <v>44298</v>
      </c>
      <c r="C256" s="293">
        <v>186.45330900000002</v>
      </c>
      <c r="D256" s="294">
        <v>168.58444609315609</v>
      </c>
      <c r="E256" s="293">
        <f t="shared" si="9"/>
        <v>168.58444609315609</v>
      </c>
      <c r="F256" s="303"/>
      <c r="G256" s="205" t="str">
        <f t="shared" si="10"/>
        <v/>
      </c>
      <c r="H256" s="295" t="str">
        <f t="shared" si="11"/>
        <v/>
      </c>
      <c r="I256" s="296"/>
    </row>
    <row r="257" spans="1:9">
      <c r="A257" s="291">
        <v>255</v>
      </c>
      <c r="B257" s="292">
        <v>44299</v>
      </c>
      <c r="C257" s="293">
        <v>78.330196000000001</v>
      </c>
      <c r="D257" s="294">
        <v>168.58444609315609</v>
      </c>
      <c r="E257" s="293">
        <f t="shared" si="9"/>
        <v>78.330196000000001</v>
      </c>
      <c r="F257" s="303"/>
      <c r="G257" s="205" t="str">
        <f t="shared" si="10"/>
        <v/>
      </c>
      <c r="H257" s="295" t="str">
        <f t="shared" si="11"/>
        <v/>
      </c>
      <c r="I257" s="296"/>
    </row>
    <row r="258" spans="1:9">
      <c r="A258" s="291">
        <v>256</v>
      </c>
      <c r="B258" s="292">
        <v>44300</v>
      </c>
      <c r="C258" s="293">
        <v>117.66481300000001</v>
      </c>
      <c r="D258" s="294">
        <v>168.58444609315609</v>
      </c>
      <c r="E258" s="293">
        <f t="shared" si="9"/>
        <v>117.66481300000001</v>
      </c>
      <c r="F258" s="303"/>
      <c r="G258" s="205" t="str">
        <f t="shared" si="10"/>
        <v/>
      </c>
      <c r="H258" s="295" t="str">
        <f t="shared" si="11"/>
        <v/>
      </c>
      <c r="I258" s="296"/>
    </row>
    <row r="259" spans="1:9">
      <c r="A259" s="291">
        <v>257</v>
      </c>
      <c r="B259" s="292">
        <v>44301</v>
      </c>
      <c r="C259" s="293">
        <v>192.740298</v>
      </c>
      <c r="D259" s="294">
        <v>168.58444609315609</v>
      </c>
      <c r="E259" s="293">
        <f t="shared" ref="E259:E322" si="12">IF(C259&gt;D259,D259,C259)</f>
        <v>168.58444609315609</v>
      </c>
      <c r="F259" s="303"/>
      <c r="G259" s="205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A</v>
      </c>
      <c r="H259" s="295" t="str">
        <f t="shared" ref="H259:H322" si="14">IF(DAY($B259)=15,TEXT(D259,"#,0"),"")</f>
        <v>168,6</v>
      </c>
      <c r="I259" s="296"/>
    </row>
    <row r="260" spans="1:9">
      <c r="A260" s="291">
        <v>258</v>
      </c>
      <c r="B260" s="292">
        <v>44302</v>
      </c>
      <c r="C260" s="293">
        <v>243.010312</v>
      </c>
      <c r="D260" s="294">
        <v>168.58444609315609</v>
      </c>
      <c r="E260" s="293">
        <f t="shared" si="12"/>
        <v>168.58444609315609</v>
      </c>
      <c r="F260" s="303"/>
      <c r="G260" s="205" t="str">
        <f t="shared" si="13"/>
        <v/>
      </c>
      <c r="H260" s="295" t="str">
        <f t="shared" si="14"/>
        <v/>
      </c>
      <c r="I260" s="296"/>
    </row>
    <row r="261" spans="1:9">
      <c r="A261" s="291">
        <v>259</v>
      </c>
      <c r="B261" s="292">
        <v>44303</v>
      </c>
      <c r="C261" s="293">
        <v>227.679554</v>
      </c>
      <c r="D261" s="294">
        <v>168.58444609315609</v>
      </c>
      <c r="E261" s="293">
        <f t="shared" si="12"/>
        <v>168.58444609315609</v>
      </c>
      <c r="G261" s="205" t="str">
        <f t="shared" si="13"/>
        <v/>
      </c>
      <c r="H261" s="295" t="str">
        <f t="shared" si="14"/>
        <v/>
      </c>
      <c r="I261" s="296"/>
    </row>
    <row r="262" spans="1:9">
      <c r="A262" s="291">
        <v>260</v>
      </c>
      <c r="B262" s="292">
        <v>44304</v>
      </c>
      <c r="C262" s="293">
        <v>122.07006099999998</v>
      </c>
      <c r="D262" s="294">
        <v>168.58444609315609</v>
      </c>
      <c r="E262" s="293">
        <f t="shared" si="12"/>
        <v>122.07006099999998</v>
      </c>
      <c r="F262" s="303"/>
      <c r="G262" s="205" t="str">
        <f t="shared" si="13"/>
        <v/>
      </c>
      <c r="H262" s="295" t="str">
        <f t="shared" si="14"/>
        <v/>
      </c>
      <c r="I262" s="296"/>
    </row>
    <row r="263" spans="1:9">
      <c r="A263" s="291">
        <v>261</v>
      </c>
      <c r="B263" s="292">
        <v>44305</v>
      </c>
      <c r="C263" s="293">
        <v>63.650377999999996</v>
      </c>
      <c r="D263" s="294">
        <v>168.58444609315609</v>
      </c>
      <c r="E263" s="293">
        <f t="shared" si="12"/>
        <v>63.650377999999996</v>
      </c>
      <c r="F263" s="303"/>
      <c r="G263" s="205" t="str">
        <f t="shared" si="13"/>
        <v/>
      </c>
      <c r="H263" s="295" t="str">
        <f t="shared" si="14"/>
        <v/>
      </c>
      <c r="I263" s="296"/>
    </row>
    <row r="264" spans="1:9">
      <c r="A264" s="291">
        <v>262</v>
      </c>
      <c r="B264" s="292">
        <v>44306</v>
      </c>
      <c r="C264" s="293">
        <v>47.180749000000006</v>
      </c>
      <c r="D264" s="294">
        <v>168.58444609315609</v>
      </c>
      <c r="E264" s="293">
        <f t="shared" si="12"/>
        <v>47.180749000000006</v>
      </c>
      <c r="F264" s="303"/>
      <c r="G264" s="205" t="str">
        <f t="shared" si="13"/>
        <v/>
      </c>
      <c r="H264" s="295" t="str">
        <f t="shared" si="14"/>
        <v/>
      </c>
      <c r="I264" s="296"/>
    </row>
    <row r="265" spans="1:9">
      <c r="A265" s="291">
        <v>263</v>
      </c>
      <c r="B265" s="292">
        <v>44307</v>
      </c>
      <c r="C265" s="293">
        <v>40.098511000000002</v>
      </c>
      <c r="D265" s="294">
        <v>168.58444609315609</v>
      </c>
      <c r="E265" s="293">
        <f t="shared" si="12"/>
        <v>40.098511000000002</v>
      </c>
      <c r="F265" s="303"/>
      <c r="G265" s="205" t="str">
        <f t="shared" si="13"/>
        <v/>
      </c>
      <c r="H265" s="295" t="str">
        <f t="shared" si="14"/>
        <v/>
      </c>
      <c r="I265" s="296"/>
    </row>
    <row r="266" spans="1:9">
      <c r="A266" s="291">
        <v>264</v>
      </c>
      <c r="B266" s="292">
        <v>44308</v>
      </c>
      <c r="C266" s="293">
        <v>63.853593000000004</v>
      </c>
      <c r="D266" s="294">
        <v>168.58444609315609</v>
      </c>
      <c r="E266" s="293">
        <f t="shared" si="12"/>
        <v>63.853593000000004</v>
      </c>
      <c r="F266" s="303"/>
      <c r="G266" s="205" t="str">
        <f t="shared" si="13"/>
        <v/>
      </c>
      <c r="H266" s="295" t="str">
        <f t="shared" si="14"/>
        <v/>
      </c>
      <c r="I266" s="296"/>
    </row>
    <row r="267" spans="1:9">
      <c r="A267" s="291">
        <v>265</v>
      </c>
      <c r="B267" s="292">
        <v>44309</v>
      </c>
      <c r="C267" s="293">
        <v>189.36352199999999</v>
      </c>
      <c r="D267" s="294">
        <v>168.58444609315609</v>
      </c>
      <c r="E267" s="293">
        <f t="shared" si="12"/>
        <v>168.58444609315609</v>
      </c>
      <c r="F267" s="303"/>
      <c r="G267" s="205" t="str">
        <f t="shared" si="13"/>
        <v/>
      </c>
      <c r="H267" s="295" t="str">
        <f t="shared" si="14"/>
        <v/>
      </c>
      <c r="I267" s="296"/>
    </row>
    <row r="268" spans="1:9">
      <c r="A268" s="291">
        <v>266</v>
      </c>
      <c r="B268" s="292">
        <v>44310</v>
      </c>
      <c r="C268" s="293">
        <v>221.39352</v>
      </c>
      <c r="D268" s="294">
        <v>168.58444609315609</v>
      </c>
      <c r="E268" s="293">
        <f t="shared" si="12"/>
        <v>168.58444609315609</v>
      </c>
      <c r="F268" s="303"/>
      <c r="G268" s="205" t="str">
        <f t="shared" si="13"/>
        <v/>
      </c>
      <c r="H268" s="295" t="str">
        <f t="shared" si="14"/>
        <v/>
      </c>
      <c r="I268" s="296"/>
    </row>
    <row r="269" spans="1:9">
      <c r="A269" s="291">
        <v>267</v>
      </c>
      <c r="B269" s="292">
        <v>44311</v>
      </c>
      <c r="C269" s="293">
        <v>138.57889900000001</v>
      </c>
      <c r="D269" s="294">
        <v>168.58444609315609</v>
      </c>
      <c r="E269" s="293">
        <f t="shared" si="12"/>
        <v>138.57889900000001</v>
      </c>
      <c r="F269" s="303"/>
      <c r="G269" s="205" t="str">
        <f t="shared" si="13"/>
        <v/>
      </c>
      <c r="H269" s="295" t="str">
        <f t="shared" si="14"/>
        <v/>
      </c>
      <c r="I269" s="296"/>
    </row>
    <row r="270" spans="1:9">
      <c r="A270" s="291">
        <v>268</v>
      </c>
      <c r="B270" s="292">
        <v>44312</v>
      </c>
      <c r="C270" s="293">
        <v>52.446289999999998</v>
      </c>
      <c r="D270" s="294">
        <v>168.58444609315609</v>
      </c>
      <c r="E270" s="293">
        <f t="shared" si="12"/>
        <v>52.446289999999998</v>
      </c>
      <c r="F270" s="303"/>
      <c r="G270" s="205" t="str">
        <f t="shared" si="13"/>
        <v/>
      </c>
      <c r="H270" s="295" t="str">
        <f t="shared" si="14"/>
        <v/>
      </c>
      <c r="I270" s="296"/>
    </row>
    <row r="271" spans="1:9">
      <c r="A271" s="291">
        <v>269</v>
      </c>
      <c r="B271" s="292">
        <v>44313</v>
      </c>
      <c r="C271" s="293">
        <v>55.059881000000004</v>
      </c>
      <c r="D271" s="294">
        <v>168.58444609315609</v>
      </c>
      <c r="E271" s="293">
        <f t="shared" si="12"/>
        <v>55.059881000000004</v>
      </c>
      <c r="F271" s="303"/>
      <c r="G271" s="205" t="str">
        <f t="shared" si="13"/>
        <v/>
      </c>
      <c r="H271" s="295" t="str">
        <f t="shared" si="14"/>
        <v/>
      </c>
      <c r="I271" s="296"/>
    </row>
    <row r="272" spans="1:9">
      <c r="A272" s="291">
        <v>270</v>
      </c>
      <c r="B272" s="292">
        <v>44314</v>
      </c>
      <c r="C272" s="293">
        <v>64.012494000000004</v>
      </c>
      <c r="D272" s="294">
        <v>168.58444609315609</v>
      </c>
      <c r="E272" s="293">
        <f t="shared" si="12"/>
        <v>64.012494000000004</v>
      </c>
      <c r="F272" s="303"/>
      <c r="G272" s="205" t="str">
        <f t="shared" si="13"/>
        <v/>
      </c>
      <c r="H272" s="295" t="str">
        <f t="shared" si="14"/>
        <v/>
      </c>
      <c r="I272" s="296"/>
    </row>
    <row r="273" spans="1:9">
      <c r="A273" s="291">
        <v>271</v>
      </c>
      <c r="B273" s="292">
        <v>44315</v>
      </c>
      <c r="C273" s="293">
        <v>87.578181000000001</v>
      </c>
      <c r="D273" s="294">
        <v>168.58444609315609</v>
      </c>
      <c r="E273" s="293">
        <f t="shared" si="12"/>
        <v>87.578181000000001</v>
      </c>
      <c r="F273" s="303"/>
      <c r="G273" s="205" t="str">
        <f t="shared" si="13"/>
        <v/>
      </c>
      <c r="H273" s="295" t="str">
        <f t="shared" si="14"/>
        <v/>
      </c>
      <c r="I273" s="296"/>
    </row>
    <row r="274" spans="1:9">
      <c r="A274" s="291">
        <v>272</v>
      </c>
      <c r="B274" s="292">
        <v>44316</v>
      </c>
      <c r="C274" s="293">
        <v>73.165562000000008</v>
      </c>
      <c r="D274" s="294">
        <v>168.58444609315609</v>
      </c>
      <c r="E274" s="293">
        <f t="shared" si="12"/>
        <v>73.165562000000008</v>
      </c>
      <c r="F274" s="303"/>
      <c r="G274" s="205" t="str">
        <f t="shared" si="13"/>
        <v/>
      </c>
      <c r="H274" s="295" t="str">
        <f t="shared" si="14"/>
        <v/>
      </c>
      <c r="I274" s="296"/>
    </row>
    <row r="275" spans="1:9">
      <c r="A275" s="291">
        <v>273</v>
      </c>
      <c r="B275" s="292">
        <v>44317</v>
      </c>
      <c r="C275" s="293">
        <v>168.07851199999999</v>
      </c>
      <c r="D275" s="294">
        <v>148.2255854318004</v>
      </c>
      <c r="E275" s="293">
        <f t="shared" si="12"/>
        <v>148.2255854318004</v>
      </c>
      <c r="F275" s="303"/>
      <c r="G275" s="205" t="str">
        <f t="shared" si="13"/>
        <v/>
      </c>
      <c r="H275" s="295" t="str">
        <f t="shared" si="14"/>
        <v/>
      </c>
      <c r="I275" s="296"/>
    </row>
    <row r="276" spans="1:9">
      <c r="A276" s="291">
        <v>274</v>
      </c>
      <c r="B276" s="292">
        <v>44318</v>
      </c>
      <c r="C276" s="293">
        <v>90.774007999999995</v>
      </c>
      <c r="D276" s="294">
        <v>148.2255854318004</v>
      </c>
      <c r="E276" s="293">
        <f t="shared" si="12"/>
        <v>90.774007999999995</v>
      </c>
      <c r="F276" s="303"/>
      <c r="G276" s="205" t="str">
        <f t="shared" si="13"/>
        <v/>
      </c>
      <c r="H276" s="295" t="str">
        <f t="shared" si="14"/>
        <v/>
      </c>
      <c r="I276" s="296"/>
    </row>
    <row r="277" spans="1:9">
      <c r="A277" s="291">
        <v>275</v>
      </c>
      <c r="B277" s="292">
        <v>44319</v>
      </c>
      <c r="C277" s="293">
        <v>108.63253899999999</v>
      </c>
      <c r="D277" s="294">
        <v>148.2255854318004</v>
      </c>
      <c r="E277" s="293">
        <f t="shared" si="12"/>
        <v>108.63253899999999</v>
      </c>
      <c r="F277" s="296">
        <f>YEAR(B277)</f>
        <v>2021</v>
      </c>
      <c r="G277" s="205" t="str">
        <f t="shared" si="13"/>
        <v/>
      </c>
      <c r="H277" s="295" t="str">
        <f t="shared" si="14"/>
        <v/>
      </c>
      <c r="I277" s="296"/>
    </row>
    <row r="278" spans="1:9">
      <c r="A278" s="291">
        <v>276</v>
      </c>
      <c r="B278" s="292">
        <v>44320</v>
      </c>
      <c r="C278" s="293">
        <v>61.361021000000001</v>
      </c>
      <c r="D278" s="294">
        <v>148.2255854318004</v>
      </c>
      <c r="E278" s="293">
        <f t="shared" si="12"/>
        <v>61.361021000000001</v>
      </c>
      <c r="F278" s="303"/>
      <c r="G278" s="205" t="str">
        <f t="shared" si="13"/>
        <v/>
      </c>
      <c r="H278" s="295" t="str">
        <f t="shared" si="14"/>
        <v/>
      </c>
      <c r="I278" s="296"/>
    </row>
    <row r="279" spans="1:9">
      <c r="A279" s="291">
        <v>277</v>
      </c>
      <c r="B279" s="292">
        <v>44321</v>
      </c>
      <c r="C279" s="293">
        <v>77.206767999999997</v>
      </c>
      <c r="D279" s="294">
        <v>148.2255854318004</v>
      </c>
      <c r="E279" s="293">
        <f t="shared" si="12"/>
        <v>77.206767999999997</v>
      </c>
      <c r="F279" s="303"/>
      <c r="G279" s="205" t="str">
        <f t="shared" si="13"/>
        <v/>
      </c>
      <c r="H279" s="295" t="str">
        <f t="shared" si="14"/>
        <v/>
      </c>
      <c r="I279" s="296"/>
    </row>
    <row r="280" spans="1:9">
      <c r="A280" s="291">
        <v>278</v>
      </c>
      <c r="B280" s="292">
        <v>44322</v>
      </c>
      <c r="C280" s="293">
        <v>120.716683</v>
      </c>
      <c r="D280" s="294">
        <v>148.2255854318004</v>
      </c>
      <c r="E280" s="293">
        <f t="shared" si="12"/>
        <v>120.716683</v>
      </c>
      <c r="F280" s="303"/>
      <c r="G280" s="205" t="str">
        <f t="shared" si="13"/>
        <v/>
      </c>
      <c r="H280" s="295" t="str">
        <f t="shared" si="14"/>
        <v/>
      </c>
      <c r="I280" s="296"/>
    </row>
    <row r="281" spans="1:9">
      <c r="A281" s="291">
        <v>279</v>
      </c>
      <c r="B281" s="292">
        <v>44323</v>
      </c>
      <c r="C281" s="293">
        <v>91.633792</v>
      </c>
      <c r="D281" s="294">
        <v>148.2255854318004</v>
      </c>
      <c r="E281" s="293">
        <f t="shared" si="12"/>
        <v>91.633792</v>
      </c>
      <c r="F281" s="303"/>
      <c r="G281" s="205" t="str">
        <f t="shared" si="13"/>
        <v/>
      </c>
      <c r="H281" s="295" t="str">
        <f t="shared" si="14"/>
        <v/>
      </c>
      <c r="I281" s="296"/>
    </row>
    <row r="282" spans="1:9">
      <c r="A282" s="291">
        <v>280</v>
      </c>
      <c r="B282" s="292">
        <v>44324</v>
      </c>
      <c r="C282" s="293">
        <v>192.916639</v>
      </c>
      <c r="D282" s="294">
        <v>148.2255854318004</v>
      </c>
      <c r="E282" s="293">
        <f t="shared" si="12"/>
        <v>148.2255854318004</v>
      </c>
      <c r="F282" s="303"/>
      <c r="G282" s="205" t="str">
        <f t="shared" si="13"/>
        <v/>
      </c>
      <c r="H282" s="295" t="str">
        <f t="shared" si="14"/>
        <v/>
      </c>
      <c r="I282" s="296"/>
    </row>
    <row r="283" spans="1:9">
      <c r="A283" s="291">
        <v>281</v>
      </c>
      <c r="B283" s="292">
        <v>44325</v>
      </c>
      <c r="C283" s="293">
        <v>250.59213399999999</v>
      </c>
      <c r="D283" s="294">
        <v>148.2255854318004</v>
      </c>
      <c r="E283" s="293">
        <f t="shared" si="12"/>
        <v>148.2255854318004</v>
      </c>
      <c r="F283" s="303"/>
      <c r="G283" s="205" t="str">
        <f t="shared" si="13"/>
        <v/>
      </c>
      <c r="H283" s="295" t="str">
        <f t="shared" si="14"/>
        <v/>
      </c>
      <c r="I283" s="296"/>
    </row>
    <row r="284" spans="1:9">
      <c r="A284" s="291">
        <v>282</v>
      </c>
      <c r="B284" s="292">
        <v>44326</v>
      </c>
      <c r="C284" s="293">
        <v>183.542215</v>
      </c>
      <c r="D284" s="294">
        <v>148.2255854318004</v>
      </c>
      <c r="E284" s="293">
        <f t="shared" si="12"/>
        <v>148.2255854318004</v>
      </c>
      <c r="F284" s="303"/>
      <c r="G284" s="205" t="str">
        <f t="shared" si="13"/>
        <v/>
      </c>
      <c r="H284" s="295" t="str">
        <f t="shared" si="14"/>
        <v/>
      </c>
      <c r="I284" s="296"/>
    </row>
    <row r="285" spans="1:9">
      <c r="A285" s="291">
        <v>283</v>
      </c>
      <c r="B285" s="292">
        <v>44327</v>
      </c>
      <c r="C285" s="293">
        <v>278.17083700000001</v>
      </c>
      <c r="D285" s="294">
        <v>148.2255854318004</v>
      </c>
      <c r="E285" s="293">
        <f t="shared" si="12"/>
        <v>148.2255854318004</v>
      </c>
      <c r="F285" s="303"/>
      <c r="G285" s="205" t="str">
        <f t="shared" si="13"/>
        <v/>
      </c>
      <c r="H285" s="295" t="str">
        <f t="shared" si="14"/>
        <v/>
      </c>
      <c r="I285" s="296"/>
    </row>
    <row r="286" spans="1:9">
      <c r="A286" s="291">
        <v>284</v>
      </c>
      <c r="B286" s="292">
        <v>44328</v>
      </c>
      <c r="C286" s="293">
        <v>291.86536100000001</v>
      </c>
      <c r="D286" s="294">
        <v>148.2255854318004</v>
      </c>
      <c r="E286" s="293">
        <f t="shared" si="12"/>
        <v>148.2255854318004</v>
      </c>
      <c r="F286" s="303"/>
      <c r="G286" s="205" t="str">
        <f t="shared" si="13"/>
        <v/>
      </c>
      <c r="H286" s="295" t="str">
        <f t="shared" si="14"/>
        <v/>
      </c>
      <c r="I286" s="296"/>
    </row>
    <row r="287" spans="1:9">
      <c r="A287" s="291">
        <v>285</v>
      </c>
      <c r="B287" s="292">
        <v>44329</v>
      </c>
      <c r="C287" s="293">
        <v>229.81539999999998</v>
      </c>
      <c r="D287" s="294">
        <v>148.2255854318004</v>
      </c>
      <c r="E287" s="293">
        <f t="shared" si="12"/>
        <v>148.2255854318004</v>
      </c>
      <c r="F287" s="303"/>
      <c r="G287" s="205" t="str">
        <f t="shared" si="13"/>
        <v/>
      </c>
      <c r="H287" s="295" t="str">
        <f t="shared" si="14"/>
        <v/>
      </c>
      <c r="I287" s="296"/>
    </row>
    <row r="288" spans="1:9">
      <c r="A288" s="291">
        <v>286</v>
      </c>
      <c r="B288" s="292">
        <v>44330</v>
      </c>
      <c r="C288" s="293">
        <v>204.92117999999999</v>
      </c>
      <c r="D288" s="294">
        <v>148.2255854318004</v>
      </c>
      <c r="E288" s="293">
        <f t="shared" si="12"/>
        <v>148.2255854318004</v>
      </c>
      <c r="F288" s="303"/>
      <c r="G288" s="205" t="str">
        <f t="shared" si="13"/>
        <v/>
      </c>
      <c r="H288" s="295" t="str">
        <f t="shared" si="14"/>
        <v/>
      </c>
      <c r="I288" s="296"/>
    </row>
    <row r="289" spans="1:9">
      <c r="A289" s="291">
        <v>287</v>
      </c>
      <c r="B289" s="292">
        <v>44331</v>
      </c>
      <c r="C289" s="293">
        <v>269.40564499999999</v>
      </c>
      <c r="D289" s="294">
        <v>148.2255854318004</v>
      </c>
      <c r="E289" s="293">
        <f t="shared" si="12"/>
        <v>148.2255854318004</v>
      </c>
      <c r="F289" s="303"/>
      <c r="G289" s="205" t="str">
        <f t="shared" si="13"/>
        <v>M</v>
      </c>
      <c r="H289" s="295" t="str">
        <f t="shared" si="14"/>
        <v>148,2</v>
      </c>
      <c r="I289" s="296"/>
    </row>
    <row r="290" spans="1:9">
      <c r="A290" s="291">
        <v>288</v>
      </c>
      <c r="B290" s="292">
        <v>44332</v>
      </c>
      <c r="C290" s="293">
        <v>292.65967599999999</v>
      </c>
      <c r="D290" s="294">
        <v>148.2255854318004</v>
      </c>
      <c r="E290" s="293">
        <f t="shared" si="12"/>
        <v>148.2255854318004</v>
      </c>
      <c r="F290" s="303"/>
      <c r="G290" s="205" t="str">
        <f t="shared" si="13"/>
        <v/>
      </c>
      <c r="H290" s="295" t="str">
        <f t="shared" si="14"/>
        <v/>
      </c>
      <c r="I290" s="296"/>
    </row>
    <row r="291" spans="1:9">
      <c r="A291" s="291">
        <v>289</v>
      </c>
      <c r="B291" s="292">
        <v>44333</v>
      </c>
      <c r="C291" s="293">
        <v>106.189633</v>
      </c>
      <c r="D291" s="294">
        <v>148.2255854318004</v>
      </c>
      <c r="E291" s="293">
        <f t="shared" si="12"/>
        <v>106.189633</v>
      </c>
      <c r="F291" s="303"/>
      <c r="G291" s="205" t="str">
        <f t="shared" si="13"/>
        <v/>
      </c>
      <c r="H291" s="295" t="str">
        <f t="shared" si="14"/>
        <v/>
      </c>
      <c r="I291" s="296"/>
    </row>
    <row r="292" spans="1:9">
      <c r="A292" s="291">
        <v>290</v>
      </c>
      <c r="B292" s="292">
        <v>44334</v>
      </c>
      <c r="C292" s="293">
        <v>186.68419499999999</v>
      </c>
      <c r="D292" s="294">
        <v>148.2255854318004</v>
      </c>
      <c r="E292" s="293">
        <f t="shared" si="12"/>
        <v>148.2255854318004</v>
      </c>
      <c r="F292" s="303"/>
      <c r="G292" s="205" t="str">
        <f t="shared" si="13"/>
        <v/>
      </c>
      <c r="H292" s="295" t="str">
        <f t="shared" si="14"/>
        <v/>
      </c>
      <c r="I292" s="296"/>
    </row>
    <row r="293" spans="1:9">
      <c r="A293" s="291">
        <v>291</v>
      </c>
      <c r="B293" s="292">
        <v>44335</v>
      </c>
      <c r="C293" s="293">
        <v>149.78434799999999</v>
      </c>
      <c r="D293" s="294">
        <v>148.2255854318004</v>
      </c>
      <c r="E293" s="293">
        <f t="shared" si="12"/>
        <v>148.2255854318004</v>
      </c>
      <c r="F293" s="303"/>
      <c r="G293" s="205" t="str">
        <f t="shared" si="13"/>
        <v/>
      </c>
      <c r="H293" s="295" t="str">
        <f t="shared" si="14"/>
        <v/>
      </c>
      <c r="I293" s="296"/>
    </row>
    <row r="294" spans="1:9">
      <c r="A294" s="291">
        <v>292</v>
      </c>
      <c r="B294" s="292">
        <v>44336</v>
      </c>
      <c r="C294" s="293">
        <v>87.60540300000001</v>
      </c>
      <c r="D294" s="294">
        <v>148.2255854318004</v>
      </c>
      <c r="E294" s="293">
        <f t="shared" si="12"/>
        <v>87.60540300000001</v>
      </c>
      <c r="F294" s="303"/>
      <c r="G294" s="205" t="str">
        <f t="shared" si="13"/>
        <v/>
      </c>
      <c r="H294" s="295" t="str">
        <f t="shared" si="14"/>
        <v/>
      </c>
      <c r="I294" s="296"/>
    </row>
    <row r="295" spans="1:9">
      <c r="A295" s="291">
        <v>293</v>
      </c>
      <c r="B295" s="292">
        <v>44337</v>
      </c>
      <c r="C295" s="293">
        <v>147.67714699999999</v>
      </c>
      <c r="D295" s="294">
        <v>148.2255854318004</v>
      </c>
      <c r="E295" s="293">
        <f t="shared" si="12"/>
        <v>147.67714699999999</v>
      </c>
      <c r="F295" s="303"/>
      <c r="G295" s="205" t="str">
        <f t="shared" si="13"/>
        <v/>
      </c>
      <c r="H295" s="295" t="str">
        <f t="shared" si="14"/>
        <v/>
      </c>
      <c r="I295" s="296"/>
    </row>
    <row r="296" spans="1:9">
      <c r="A296" s="291">
        <v>294</v>
      </c>
      <c r="B296" s="292">
        <v>44338</v>
      </c>
      <c r="C296" s="293">
        <v>119.54665200000001</v>
      </c>
      <c r="D296" s="294">
        <v>148.2255854318004</v>
      </c>
      <c r="E296" s="293">
        <f t="shared" si="12"/>
        <v>119.54665200000001</v>
      </c>
      <c r="F296" s="303"/>
      <c r="G296" s="205" t="str">
        <f t="shared" si="13"/>
        <v/>
      </c>
      <c r="H296" s="295" t="str">
        <f t="shared" si="14"/>
        <v/>
      </c>
      <c r="I296" s="296"/>
    </row>
    <row r="297" spans="1:9">
      <c r="A297" s="291">
        <v>295</v>
      </c>
      <c r="B297" s="292">
        <v>44339</v>
      </c>
      <c r="C297" s="293">
        <v>120.54001700000001</v>
      </c>
      <c r="D297" s="294">
        <v>148.2255854318004</v>
      </c>
      <c r="E297" s="293">
        <f t="shared" si="12"/>
        <v>120.54001700000001</v>
      </c>
      <c r="F297" s="303"/>
      <c r="G297" s="205" t="str">
        <f t="shared" si="13"/>
        <v/>
      </c>
      <c r="H297" s="295" t="str">
        <f t="shared" si="14"/>
        <v/>
      </c>
      <c r="I297" s="296"/>
    </row>
    <row r="298" spans="1:9">
      <c r="A298" s="291">
        <v>296</v>
      </c>
      <c r="B298" s="292">
        <v>44340</v>
      </c>
      <c r="C298" s="293">
        <v>174.245521</v>
      </c>
      <c r="D298" s="294">
        <v>148.2255854318004</v>
      </c>
      <c r="E298" s="293">
        <f t="shared" si="12"/>
        <v>148.2255854318004</v>
      </c>
      <c r="F298" s="303"/>
      <c r="G298" s="205" t="str">
        <f t="shared" si="13"/>
        <v/>
      </c>
      <c r="H298" s="295" t="str">
        <f t="shared" si="14"/>
        <v/>
      </c>
      <c r="I298" s="296"/>
    </row>
    <row r="299" spans="1:9">
      <c r="A299" s="291">
        <v>297</v>
      </c>
      <c r="B299" s="292">
        <v>44341</v>
      </c>
      <c r="C299" s="293">
        <v>133.72583799999998</v>
      </c>
      <c r="D299" s="294">
        <v>148.2255854318004</v>
      </c>
      <c r="E299" s="293">
        <f t="shared" si="12"/>
        <v>133.72583799999998</v>
      </c>
      <c r="F299" s="303"/>
      <c r="G299" s="205" t="str">
        <f t="shared" si="13"/>
        <v/>
      </c>
      <c r="H299" s="295" t="str">
        <f t="shared" si="14"/>
        <v/>
      </c>
      <c r="I299" s="296"/>
    </row>
    <row r="300" spans="1:9">
      <c r="A300" s="291">
        <v>298</v>
      </c>
      <c r="B300" s="292">
        <v>44342</v>
      </c>
      <c r="C300" s="293">
        <v>88.334888000000007</v>
      </c>
      <c r="D300" s="294">
        <v>148.2255854318004</v>
      </c>
      <c r="E300" s="293">
        <f t="shared" si="12"/>
        <v>88.334888000000007</v>
      </c>
      <c r="F300" s="303"/>
      <c r="G300" s="205" t="str">
        <f t="shared" si="13"/>
        <v/>
      </c>
      <c r="H300" s="295" t="str">
        <f t="shared" si="14"/>
        <v/>
      </c>
      <c r="I300" s="296"/>
    </row>
    <row r="301" spans="1:9">
      <c r="A301" s="291">
        <v>299</v>
      </c>
      <c r="B301" s="292">
        <v>44343</v>
      </c>
      <c r="C301" s="293">
        <v>52.270097</v>
      </c>
      <c r="D301" s="294">
        <v>148.2255854318004</v>
      </c>
      <c r="E301" s="293">
        <f t="shared" si="12"/>
        <v>52.270097</v>
      </c>
      <c r="F301" s="303"/>
      <c r="G301" s="205" t="str">
        <f t="shared" si="13"/>
        <v/>
      </c>
      <c r="H301" s="295" t="str">
        <f t="shared" si="14"/>
        <v/>
      </c>
      <c r="I301" s="296"/>
    </row>
    <row r="302" spans="1:9">
      <c r="A302" s="291">
        <v>300</v>
      </c>
      <c r="B302" s="292">
        <v>44344</v>
      </c>
      <c r="C302" s="293">
        <v>48.856767999999995</v>
      </c>
      <c r="D302" s="294">
        <v>148.2255854318004</v>
      </c>
      <c r="E302" s="293">
        <f t="shared" si="12"/>
        <v>48.856767999999995</v>
      </c>
      <c r="F302" s="303"/>
      <c r="G302" s="205" t="str">
        <f t="shared" si="13"/>
        <v/>
      </c>
      <c r="H302" s="295" t="str">
        <f t="shared" si="14"/>
        <v/>
      </c>
      <c r="I302" s="296"/>
    </row>
    <row r="303" spans="1:9">
      <c r="A303" s="291">
        <v>301</v>
      </c>
      <c r="B303" s="292">
        <v>44345</v>
      </c>
      <c r="C303" s="293">
        <v>81.929534000000004</v>
      </c>
      <c r="D303" s="294">
        <v>148.2255854318004</v>
      </c>
      <c r="E303" s="293">
        <f t="shared" si="12"/>
        <v>81.929534000000004</v>
      </c>
      <c r="F303" s="303"/>
      <c r="G303" s="205" t="str">
        <f t="shared" si="13"/>
        <v/>
      </c>
      <c r="H303" s="295" t="str">
        <f t="shared" si="14"/>
        <v/>
      </c>
      <c r="I303" s="296"/>
    </row>
    <row r="304" spans="1:9">
      <c r="A304" s="291">
        <v>302</v>
      </c>
      <c r="B304" s="292">
        <v>44346</v>
      </c>
      <c r="C304" s="293">
        <v>117.86805100000001</v>
      </c>
      <c r="D304" s="294">
        <v>148.2255854318004</v>
      </c>
      <c r="E304" s="293">
        <f t="shared" si="12"/>
        <v>117.86805100000001</v>
      </c>
      <c r="F304" s="303"/>
      <c r="G304" s="205" t="str">
        <f t="shared" si="13"/>
        <v/>
      </c>
      <c r="H304" s="295" t="str">
        <f t="shared" si="14"/>
        <v/>
      </c>
      <c r="I304" s="296"/>
    </row>
    <row r="305" spans="1:9">
      <c r="A305" s="291">
        <v>303</v>
      </c>
      <c r="B305" s="292">
        <v>44347</v>
      </c>
      <c r="C305" s="293">
        <v>107.58759400000001</v>
      </c>
      <c r="D305" s="294">
        <v>148.2255854318004</v>
      </c>
      <c r="E305" s="293">
        <f t="shared" si="12"/>
        <v>107.58759400000001</v>
      </c>
      <c r="F305" s="303"/>
      <c r="G305" s="205" t="str">
        <f t="shared" si="13"/>
        <v/>
      </c>
      <c r="H305" s="295" t="str">
        <f t="shared" si="14"/>
        <v/>
      </c>
      <c r="I305" s="296"/>
    </row>
    <row r="306" spans="1:9">
      <c r="A306" s="291">
        <v>304</v>
      </c>
      <c r="B306" s="292">
        <v>44348</v>
      </c>
      <c r="C306" s="293">
        <v>104.232285</v>
      </c>
      <c r="D306" s="294">
        <v>125.36009436679667</v>
      </c>
      <c r="E306" s="293">
        <f t="shared" si="12"/>
        <v>104.232285</v>
      </c>
      <c r="F306" s="303"/>
      <c r="G306" s="205" t="str">
        <f t="shared" si="13"/>
        <v/>
      </c>
      <c r="H306" s="295" t="str">
        <f t="shared" si="14"/>
        <v/>
      </c>
      <c r="I306" s="296"/>
    </row>
    <row r="307" spans="1:9">
      <c r="A307" s="291">
        <v>305</v>
      </c>
      <c r="B307" s="292">
        <v>44349</v>
      </c>
      <c r="C307" s="293">
        <v>60.775233</v>
      </c>
      <c r="D307" s="294">
        <v>125.36009436679667</v>
      </c>
      <c r="E307" s="293">
        <f t="shared" si="12"/>
        <v>60.775233</v>
      </c>
      <c r="F307" s="303"/>
      <c r="G307" s="205" t="str">
        <f t="shared" si="13"/>
        <v/>
      </c>
      <c r="H307" s="295" t="str">
        <f t="shared" si="14"/>
        <v/>
      </c>
      <c r="I307" s="296"/>
    </row>
    <row r="308" spans="1:9">
      <c r="A308" s="291">
        <v>306</v>
      </c>
      <c r="B308" s="292">
        <v>44350</v>
      </c>
      <c r="C308" s="293">
        <v>124.32971499999999</v>
      </c>
      <c r="D308" s="294">
        <v>125.36009436679667</v>
      </c>
      <c r="E308" s="293">
        <f t="shared" si="12"/>
        <v>124.32971499999999</v>
      </c>
      <c r="F308" s="296"/>
      <c r="G308" s="205" t="str">
        <f t="shared" si="13"/>
        <v/>
      </c>
      <c r="H308" s="295" t="str">
        <f t="shared" si="14"/>
        <v/>
      </c>
      <c r="I308" s="296"/>
    </row>
    <row r="309" spans="1:9">
      <c r="A309" s="291">
        <v>307</v>
      </c>
      <c r="B309" s="292">
        <v>44351</v>
      </c>
      <c r="C309" s="293">
        <v>102.69985699999999</v>
      </c>
      <c r="D309" s="294">
        <v>125.36009436679667</v>
      </c>
      <c r="E309" s="293">
        <f t="shared" si="12"/>
        <v>102.69985699999999</v>
      </c>
      <c r="F309" s="303"/>
      <c r="G309" s="205" t="str">
        <f t="shared" si="13"/>
        <v/>
      </c>
      <c r="H309" s="295" t="str">
        <f t="shared" si="14"/>
        <v/>
      </c>
      <c r="I309" s="296"/>
    </row>
    <row r="310" spans="1:9">
      <c r="A310" s="291">
        <v>308</v>
      </c>
      <c r="B310" s="292">
        <v>44352</v>
      </c>
      <c r="C310" s="293">
        <v>87.217461999999998</v>
      </c>
      <c r="D310" s="294">
        <v>125.36009436679667</v>
      </c>
      <c r="E310" s="293">
        <f t="shared" si="12"/>
        <v>87.217461999999998</v>
      </c>
      <c r="F310" s="303"/>
      <c r="G310" s="205" t="str">
        <f t="shared" si="13"/>
        <v/>
      </c>
      <c r="H310" s="295" t="str">
        <f t="shared" si="14"/>
        <v/>
      </c>
      <c r="I310" s="296"/>
    </row>
    <row r="311" spans="1:9">
      <c r="A311" s="291">
        <v>309</v>
      </c>
      <c r="B311" s="292">
        <v>44353</v>
      </c>
      <c r="C311" s="293">
        <v>124.337554</v>
      </c>
      <c r="D311" s="294">
        <v>125.36009436679667</v>
      </c>
      <c r="E311" s="293">
        <f t="shared" si="12"/>
        <v>124.337554</v>
      </c>
      <c r="F311" s="303"/>
      <c r="G311" s="205" t="str">
        <f t="shared" si="13"/>
        <v/>
      </c>
      <c r="H311" s="295" t="str">
        <f t="shared" si="14"/>
        <v/>
      </c>
      <c r="I311" s="296"/>
    </row>
    <row r="312" spans="1:9">
      <c r="A312" s="291">
        <v>310</v>
      </c>
      <c r="B312" s="292">
        <v>44354</v>
      </c>
      <c r="C312" s="293">
        <v>101.421727</v>
      </c>
      <c r="D312" s="294">
        <v>125.36009436679667</v>
      </c>
      <c r="E312" s="293">
        <f t="shared" si="12"/>
        <v>101.421727</v>
      </c>
      <c r="F312" s="303"/>
      <c r="G312" s="205" t="str">
        <f t="shared" si="13"/>
        <v/>
      </c>
      <c r="H312" s="295" t="str">
        <f t="shared" si="14"/>
        <v/>
      </c>
      <c r="I312" s="296"/>
    </row>
    <row r="313" spans="1:9">
      <c r="A313" s="291">
        <v>311</v>
      </c>
      <c r="B313" s="292">
        <v>44355</v>
      </c>
      <c r="C313" s="293">
        <v>72.168437000000011</v>
      </c>
      <c r="D313" s="294">
        <v>125.36009436679667</v>
      </c>
      <c r="E313" s="293">
        <f t="shared" si="12"/>
        <v>72.168437000000011</v>
      </c>
      <c r="F313" s="303"/>
      <c r="G313" s="205" t="str">
        <f t="shared" si="13"/>
        <v/>
      </c>
      <c r="H313" s="295" t="str">
        <f t="shared" si="14"/>
        <v/>
      </c>
      <c r="I313" s="296"/>
    </row>
    <row r="314" spans="1:9">
      <c r="A314" s="291">
        <v>312</v>
      </c>
      <c r="B314" s="292">
        <v>44356</v>
      </c>
      <c r="C314" s="293">
        <v>96.902244999999994</v>
      </c>
      <c r="D314" s="294">
        <v>125.36009436679667</v>
      </c>
      <c r="E314" s="293">
        <f t="shared" si="12"/>
        <v>96.902244999999994</v>
      </c>
      <c r="F314" s="303"/>
      <c r="G314" s="205" t="str">
        <f t="shared" si="13"/>
        <v/>
      </c>
      <c r="H314" s="295" t="str">
        <f t="shared" si="14"/>
        <v/>
      </c>
      <c r="I314" s="296"/>
    </row>
    <row r="315" spans="1:9">
      <c r="A315" s="291">
        <v>313</v>
      </c>
      <c r="B315" s="292">
        <v>44357</v>
      </c>
      <c r="C315" s="293">
        <v>108.52340700000001</v>
      </c>
      <c r="D315" s="294">
        <v>125.36009436679667</v>
      </c>
      <c r="E315" s="293">
        <f t="shared" si="12"/>
        <v>108.52340700000001</v>
      </c>
      <c r="F315" s="303"/>
      <c r="G315" s="205" t="str">
        <f t="shared" si="13"/>
        <v/>
      </c>
      <c r="H315" s="295" t="str">
        <f t="shared" si="14"/>
        <v/>
      </c>
      <c r="I315" s="296"/>
    </row>
    <row r="316" spans="1:9">
      <c r="A316" s="291">
        <v>314</v>
      </c>
      <c r="B316" s="292">
        <v>44358</v>
      </c>
      <c r="C316" s="293">
        <v>200.620902</v>
      </c>
      <c r="D316" s="294">
        <v>125.36009436679667</v>
      </c>
      <c r="E316" s="293">
        <f t="shared" si="12"/>
        <v>125.36009436679667</v>
      </c>
      <c r="F316" s="303"/>
      <c r="G316" s="205" t="str">
        <f t="shared" si="13"/>
        <v/>
      </c>
      <c r="H316" s="295" t="str">
        <f t="shared" si="14"/>
        <v/>
      </c>
      <c r="I316" s="296"/>
    </row>
    <row r="317" spans="1:9">
      <c r="A317" s="291">
        <v>315</v>
      </c>
      <c r="B317" s="292">
        <v>44359</v>
      </c>
      <c r="C317" s="293">
        <v>168.70168799999999</v>
      </c>
      <c r="D317" s="294">
        <v>125.36009436679667</v>
      </c>
      <c r="E317" s="293">
        <f t="shared" si="12"/>
        <v>125.36009436679667</v>
      </c>
      <c r="F317" s="303"/>
      <c r="G317" s="205" t="str">
        <f t="shared" si="13"/>
        <v/>
      </c>
      <c r="H317" s="295" t="str">
        <f t="shared" si="14"/>
        <v/>
      </c>
      <c r="I317" s="296"/>
    </row>
    <row r="318" spans="1:9">
      <c r="A318" s="291">
        <v>316</v>
      </c>
      <c r="B318" s="292">
        <v>44360</v>
      </c>
      <c r="C318" s="293">
        <v>97.78537</v>
      </c>
      <c r="D318" s="294">
        <v>125.36009436679667</v>
      </c>
      <c r="E318" s="293">
        <f t="shared" si="12"/>
        <v>97.78537</v>
      </c>
      <c r="F318" s="303"/>
      <c r="G318" s="205" t="str">
        <f t="shared" si="13"/>
        <v/>
      </c>
      <c r="H318" s="295" t="str">
        <f t="shared" si="14"/>
        <v/>
      </c>
      <c r="I318" s="296"/>
    </row>
    <row r="319" spans="1:9">
      <c r="A319" s="291">
        <v>317</v>
      </c>
      <c r="B319" s="292">
        <v>44361</v>
      </c>
      <c r="C319" s="293">
        <v>73.387034</v>
      </c>
      <c r="D319" s="294">
        <v>125.36009436679667</v>
      </c>
      <c r="E319" s="293">
        <f t="shared" si="12"/>
        <v>73.387034</v>
      </c>
      <c r="F319" s="303"/>
      <c r="G319" s="205" t="str">
        <f t="shared" si="13"/>
        <v/>
      </c>
      <c r="H319" s="295" t="str">
        <f t="shared" si="14"/>
        <v/>
      </c>
      <c r="I319" s="296"/>
    </row>
    <row r="320" spans="1:9">
      <c r="A320" s="291">
        <v>318</v>
      </c>
      <c r="B320" s="292">
        <v>44362</v>
      </c>
      <c r="C320" s="293">
        <v>113.433581</v>
      </c>
      <c r="D320" s="294">
        <v>125.36009436679667</v>
      </c>
      <c r="E320" s="293">
        <f t="shared" si="12"/>
        <v>113.433581</v>
      </c>
      <c r="F320" s="303"/>
      <c r="G320" s="205" t="str">
        <f t="shared" si="13"/>
        <v>J</v>
      </c>
      <c r="H320" s="295" t="str">
        <f t="shared" si="14"/>
        <v>125,4</v>
      </c>
      <c r="I320" s="296"/>
    </row>
    <row r="321" spans="1:9">
      <c r="A321" s="291">
        <v>319</v>
      </c>
      <c r="B321" s="292">
        <v>44363</v>
      </c>
      <c r="C321" s="293">
        <v>105.03147199999999</v>
      </c>
      <c r="D321" s="294">
        <v>125.36009436679667</v>
      </c>
      <c r="E321" s="293">
        <f t="shared" si="12"/>
        <v>105.03147199999999</v>
      </c>
      <c r="F321" s="303"/>
      <c r="G321" s="205" t="str">
        <f t="shared" si="13"/>
        <v/>
      </c>
      <c r="H321" s="295" t="str">
        <f t="shared" si="14"/>
        <v/>
      </c>
      <c r="I321" s="296"/>
    </row>
    <row r="322" spans="1:9">
      <c r="A322" s="291">
        <v>320</v>
      </c>
      <c r="B322" s="292">
        <v>44364</v>
      </c>
      <c r="C322" s="293">
        <v>96.274867</v>
      </c>
      <c r="D322" s="294">
        <v>125.36009436679667</v>
      </c>
      <c r="E322" s="293">
        <f t="shared" si="12"/>
        <v>96.274867</v>
      </c>
      <c r="F322" s="296"/>
      <c r="G322" s="205" t="str">
        <f t="shared" si="13"/>
        <v/>
      </c>
      <c r="H322" s="295" t="str">
        <f t="shared" si="14"/>
        <v/>
      </c>
      <c r="I322" s="296"/>
    </row>
    <row r="323" spans="1:9">
      <c r="A323" s="291">
        <v>321</v>
      </c>
      <c r="B323" s="292">
        <v>44365</v>
      </c>
      <c r="C323" s="293">
        <v>119.659942</v>
      </c>
      <c r="D323" s="294">
        <v>125.36009436679667</v>
      </c>
      <c r="E323" s="293">
        <f t="shared" ref="E323:E386" si="15">IF(C323&gt;D323,D323,C323)</f>
        <v>119.659942</v>
      </c>
      <c r="F323" s="303"/>
      <c r="G323" s="205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295" t="str">
        <f t="shared" ref="H323:H386" si="17">IF(DAY($B323)=15,TEXT(D323,"#,0"),"")</f>
        <v/>
      </c>
      <c r="I323" s="296"/>
    </row>
    <row r="324" spans="1:9">
      <c r="A324" s="291">
        <v>322</v>
      </c>
      <c r="B324" s="292">
        <v>44366</v>
      </c>
      <c r="C324" s="293">
        <v>91.504491999999999</v>
      </c>
      <c r="D324" s="294">
        <v>125.36009436679667</v>
      </c>
      <c r="E324" s="293">
        <f t="shared" si="15"/>
        <v>91.504491999999999</v>
      </c>
      <c r="F324" s="303"/>
      <c r="G324" s="205" t="str">
        <f t="shared" si="16"/>
        <v/>
      </c>
      <c r="H324" s="295" t="str">
        <f t="shared" si="17"/>
        <v/>
      </c>
      <c r="I324" s="296"/>
    </row>
    <row r="325" spans="1:9">
      <c r="A325" s="291">
        <v>323</v>
      </c>
      <c r="B325" s="292">
        <v>44367</v>
      </c>
      <c r="C325" s="293">
        <v>246.609386</v>
      </c>
      <c r="D325" s="294">
        <v>125.36009436679667</v>
      </c>
      <c r="E325" s="293">
        <f t="shared" si="15"/>
        <v>125.36009436679667</v>
      </c>
      <c r="F325" s="303"/>
      <c r="G325" s="205" t="str">
        <f t="shared" si="16"/>
        <v/>
      </c>
      <c r="H325" s="295" t="str">
        <f t="shared" si="17"/>
        <v/>
      </c>
      <c r="I325" s="296"/>
    </row>
    <row r="326" spans="1:9">
      <c r="A326" s="291">
        <v>324</v>
      </c>
      <c r="B326" s="292">
        <v>44368</v>
      </c>
      <c r="C326" s="293">
        <v>176.26033799999999</v>
      </c>
      <c r="D326" s="294">
        <v>125.36009436679667</v>
      </c>
      <c r="E326" s="293">
        <f t="shared" si="15"/>
        <v>125.36009436679667</v>
      </c>
      <c r="F326" s="303"/>
      <c r="G326" s="205" t="str">
        <f t="shared" si="16"/>
        <v/>
      </c>
      <c r="H326" s="295" t="str">
        <f t="shared" si="17"/>
        <v/>
      </c>
      <c r="I326" s="296"/>
    </row>
    <row r="327" spans="1:9">
      <c r="A327" s="291">
        <v>325</v>
      </c>
      <c r="B327" s="292">
        <v>44369</v>
      </c>
      <c r="C327" s="293">
        <v>118.332554</v>
      </c>
      <c r="D327" s="294">
        <v>125.36009436679667</v>
      </c>
      <c r="E327" s="293">
        <f t="shared" si="15"/>
        <v>118.332554</v>
      </c>
      <c r="F327" s="303"/>
      <c r="G327" s="205" t="str">
        <f t="shared" si="16"/>
        <v/>
      </c>
      <c r="H327" s="295" t="str">
        <f t="shared" si="17"/>
        <v/>
      </c>
      <c r="I327" s="296"/>
    </row>
    <row r="328" spans="1:9">
      <c r="A328" s="291">
        <v>326</v>
      </c>
      <c r="B328" s="292">
        <v>44370</v>
      </c>
      <c r="C328" s="293">
        <v>145.47273999999999</v>
      </c>
      <c r="D328" s="294">
        <v>125.36009436679667</v>
      </c>
      <c r="E328" s="293">
        <f t="shared" si="15"/>
        <v>125.36009436679667</v>
      </c>
      <c r="F328" s="303"/>
      <c r="G328" s="205" t="str">
        <f t="shared" si="16"/>
        <v/>
      </c>
      <c r="H328" s="295" t="str">
        <f t="shared" si="17"/>
        <v/>
      </c>
      <c r="I328" s="296"/>
    </row>
    <row r="329" spans="1:9">
      <c r="A329" s="291">
        <v>327</v>
      </c>
      <c r="B329" s="292">
        <v>44371</v>
      </c>
      <c r="C329" s="293">
        <v>137.651062</v>
      </c>
      <c r="D329" s="294">
        <v>125.36009436679667</v>
      </c>
      <c r="E329" s="293">
        <f t="shared" si="15"/>
        <v>125.36009436679667</v>
      </c>
      <c r="F329" s="303"/>
      <c r="G329" s="205" t="str">
        <f t="shared" si="16"/>
        <v/>
      </c>
      <c r="H329" s="295" t="str">
        <f t="shared" si="17"/>
        <v/>
      </c>
      <c r="I329" s="296"/>
    </row>
    <row r="330" spans="1:9">
      <c r="A330" s="291">
        <v>328</v>
      </c>
      <c r="B330" s="292">
        <v>44372</v>
      </c>
      <c r="C330" s="293">
        <v>113.47672999999999</v>
      </c>
      <c r="D330" s="294">
        <v>125.36009436679667</v>
      </c>
      <c r="E330" s="293">
        <f t="shared" si="15"/>
        <v>113.47672999999999</v>
      </c>
      <c r="F330" s="303"/>
      <c r="G330" s="205" t="str">
        <f t="shared" si="16"/>
        <v/>
      </c>
      <c r="H330" s="295" t="str">
        <f t="shared" si="17"/>
        <v/>
      </c>
      <c r="I330" s="296"/>
    </row>
    <row r="331" spans="1:9">
      <c r="A331" s="291">
        <v>329</v>
      </c>
      <c r="B331" s="292">
        <v>44373</v>
      </c>
      <c r="C331" s="293">
        <v>125.726333</v>
      </c>
      <c r="D331" s="294">
        <v>125.36009436679667</v>
      </c>
      <c r="E331" s="293">
        <f t="shared" si="15"/>
        <v>125.36009436679667</v>
      </c>
      <c r="F331" s="303"/>
      <c r="G331" s="205" t="str">
        <f t="shared" si="16"/>
        <v/>
      </c>
      <c r="H331" s="295" t="str">
        <f t="shared" si="17"/>
        <v/>
      </c>
      <c r="I331" s="296"/>
    </row>
    <row r="332" spans="1:9">
      <c r="A332" s="291">
        <v>330</v>
      </c>
      <c r="B332" s="292">
        <v>44374</v>
      </c>
      <c r="C332" s="293">
        <v>158.09772700000002</v>
      </c>
      <c r="D332" s="294">
        <v>125.36009436679667</v>
      </c>
      <c r="E332" s="293">
        <f t="shared" si="15"/>
        <v>125.36009436679667</v>
      </c>
      <c r="F332" s="303"/>
      <c r="G332" s="205" t="str">
        <f t="shared" si="16"/>
        <v/>
      </c>
      <c r="H332" s="295" t="str">
        <f t="shared" si="17"/>
        <v/>
      </c>
      <c r="I332" s="296"/>
    </row>
    <row r="333" spans="1:9">
      <c r="A333" s="291">
        <v>331</v>
      </c>
      <c r="B333" s="292">
        <v>44375</v>
      </c>
      <c r="C333" s="293">
        <v>127.65046000000001</v>
      </c>
      <c r="D333" s="294">
        <v>125.36009436679667</v>
      </c>
      <c r="E333" s="293">
        <f t="shared" si="15"/>
        <v>125.36009436679667</v>
      </c>
      <c r="F333" s="303"/>
      <c r="G333" s="205" t="str">
        <f t="shared" si="16"/>
        <v/>
      </c>
      <c r="H333" s="295" t="str">
        <f t="shared" si="17"/>
        <v/>
      </c>
      <c r="I333" s="296"/>
    </row>
    <row r="334" spans="1:9">
      <c r="A334" s="291">
        <v>332</v>
      </c>
      <c r="B334" s="292">
        <v>44376</v>
      </c>
      <c r="C334" s="293">
        <v>71.413732999999993</v>
      </c>
      <c r="D334" s="294">
        <v>125.36009436679667</v>
      </c>
      <c r="E334" s="293">
        <f t="shared" si="15"/>
        <v>71.413732999999993</v>
      </c>
      <c r="F334" s="303"/>
      <c r="G334" s="205" t="str">
        <f t="shared" si="16"/>
        <v/>
      </c>
      <c r="H334" s="295" t="str">
        <f t="shared" si="17"/>
        <v/>
      </c>
      <c r="I334" s="296"/>
    </row>
    <row r="335" spans="1:9">
      <c r="A335" s="291">
        <v>333</v>
      </c>
      <c r="B335" s="292">
        <v>44377</v>
      </c>
      <c r="C335" s="293">
        <v>68.069317999999996</v>
      </c>
      <c r="D335" s="294">
        <v>125.36009436679667</v>
      </c>
      <c r="E335" s="293">
        <f>IF(C335&gt;D335,D335,C335)</f>
        <v>68.069317999999996</v>
      </c>
      <c r="F335" s="303"/>
      <c r="G335" s="205" t="str">
        <f t="shared" si="16"/>
        <v/>
      </c>
      <c r="H335" s="295" t="str">
        <f t="shared" si="17"/>
        <v/>
      </c>
      <c r="I335" s="296"/>
    </row>
    <row r="336" spans="1:9">
      <c r="A336" s="291">
        <v>334</v>
      </c>
      <c r="B336" s="292">
        <v>44378</v>
      </c>
      <c r="C336" s="293">
        <v>53.796114000000003</v>
      </c>
      <c r="D336" s="294">
        <v>123.30335963364223</v>
      </c>
      <c r="E336" s="293">
        <f t="shared" si="15"/>
        <v>53.796114000000003</v>
      </c>
      <c r="F336" s="296"/>
      <c r="G336" s="205" t="str">
        <f t="shared" si="16"/>
        <v/>
      </c>
      <c r="H336" s="295" t="str">
        <f t="shared" si="17"/>
        <v/>
      </c>
      <c r="I336" s="296"/>
    </row>
    <row r="337" spans="1:9">
      <c r="A337" s="291">
        <v>335</v>
      </c>
      <c r="B337" s="292">
        <v>44379</v>
      </c>
      <c r="C337" s="293">
        <v>81.503187999999994</v>
      </c>
      <c r="D337" s="294">
        <v>123.30335963364223</v>
      </c>
      <c r="E337" s="293">
        <f t="shared" si="15"/>
        <v>81.503187999999994</v>
      </c>
      <c r="F337" s="296"/>
      <c r="G337" s="205" t="str">
        <f t="shared" si="16"/>
        <v/>
      </c>
      <c r="H337" s="295" t="str">
        <f t="shared" si="17"/>
        <v/>
      </c>
      <c r="I337" s="296"/>
    </row>
    <row r="338" spans="1:9">
      <c r="A338" s="291">
        <v>336</v>
      </c>
      <c r="B338" s="292">
        <v>44380</v>
      </c>
      <c r="C338" s="293">
        <v>108.56992200000001</v>
      </c>
      <c r="D338" s="294">
        <v>123.30335963364223</v>
      </c>
      <c r="E338" s="293">
        <f t="shared" si="15"/>
        <v>108.56992200000001</v>
      </c>
      <c r="F338" s="303"/>
      <c r="G338" s="205" t="str">
        <f t="shared" si="16"/>
        <v/>
      </c>
      <c r="H338" s="295" t="str">
        <f t="shared" si="17"/>
        <v/>
      </c>
      <c r="I338" s="296"/>
    </row>
    <row r="339" spans="1:9">
      <c r="A339" s="291">
        <v>337</v>
      </c>
      <c r="B339" s="292">
        <v>44381</v>
      </c>
      <c r="C339" s="293">
        <v>175.18055699999999</v>
      </c>
      <c r="D339" s="294">
        <v>123.30335963364223</v>
      </c>
      <c r="E339" s="293">
        <f t="shared" si="15"/>
        <v>123.30335963364223</v>
      </c>
      <c r="F339" s="303"/>
      <c r="G339" s="205" t="str">
        <f t="shared" si="16"/>
        <v/>
      </c>
      <c r="H339" s="295" t="str">
        <f t="shared" si="17"/>
        <v/>
      </c>
      <c r="I339" s="296"/>
    </row>
    <row r="340" spans="1:9">
      <c r="A340" s="291">
        <v>338</v>
      </c>
      <c r="B340" s="292">
        <v>44382</v>
      </c>
      <c r="C340" s="293">
        <v>185.55289999999999</v>
      </c>
      <c r="D340" s="294">
        <v>123.30335963364223</v>
      </c>
      <c r="E340" s="293">
        <f t="shared" si="15"/>
        <v>123.30335963364223</v>
      </c>
      <c r="F340" s="303"/>
      <c r="G340" s="205" t="str">
        <f t="shared" si="16"/>
        <v/>
      </c>
      <c r="H340" s="295" t="str">
        <f t="shared" si="17"/>
        <v/>
      </c>
      <c r="I340" s="296"/>
    </row>
    <row r="341" spans="1:9">
      <c r="A341" s="291">
        <v>339</v>
      </c>
      <c r="B341" s="292">
        <v>44383</v>
      </c>
      <c r="C341" s="293">
        <v>170.10090700000001</v>
      </c>
      <c r="D341" s="294">
        <v>123.30335963364223</v>
      </c>
      <c r="E341" s="293">
        <f t="shared" si="15"/>
        <v>123.30335963364223</v>
      </c>
      <c r="F341" s="303"/>
      <c r="G341" s="205" t="str">
        <f t="shared" si="16"/>
        <v/>
      </c>
      <c r="H341" s="295" t="str">
        <f t="shared" si="17"/>
        <v/>
      </c>
      <c r="I341" s="296"/>
    </row>
    <row r="342" spans="1:9">
      <c r="A342" s="291">
        <v>340</v>
      </c>
      <c r="B342" s="292">
        <v>44384</v>
      </c>
      <c r="C342" s="293">
        <v>99.963069000000004</v>
      </c>
      <c r="D342" s="294">
        <v>123.30335963364223</v>
      </c>
      <c r="E342" s="293">
        <f t="shared" si="15"/>
        <v>99.963069000000004</v>
      </c>
      <c r="F342" s="303"/>
      <c r="G342" s="205" t="str">
        <f t="shared" si="16"/>
        <v/>
      </c>
      <c r="H342" s="295" t="str">
        <f t="shared" si="17"/>
        <v/>
      </c>
      <c r="I342" s="296"/>
    </row>
    <row r="343" spans="1:9">
      <c r="A343" s="291">
        <v>341</v>
      </c>
      <c r="B343" s="292">
        <v>44385</v>
      </c>
      <c r="C343" s="293">
        <v>118.72583</v>
      </c>
      <c r="D343" s="294">
        <v>123.30335963364223</v>
      </c>
      <c r="E343" s="293">
        <f t="shared" si="15"/>
        <v>118.72583</v>
      </c>
      <c r="F343" s="303"/>
      <c r="G343" s="205" t="str">
        <f t="shared" si="16"/>
        <v/>
      </c>
      <c r="H343" s="295" t="str">
        <f t="shared" si="17"/>
        <v/>
      </c>
      <c r="I343" s="296"/>
    </row>
    <row r="344" spans="1:9">
      <c r="A344" s="291">
        <v>342</v>
      </c>
      <c r="B344" s="292">
        <v>44386</v>
      </c>
      <c r="C344" s="293">
        <v>106.795545</v>
      </c>
      <c r="D344" s="294">
        <v>123.30335963364223</v>
      </c>
      <c r="E344" s="293">
        <f t="shared" si="15"/>
        <v>106.795545</v>
      </c>
      <c r="F344" s="303"/>
      <c r="G344" s="205" t="str">
        <f t="shared" si="16"/>
        <v/>
      </c>
      <c r="H344" s="295" t="str">
        <f t="shared" si="17"/>
        <v/>
      </c>
      <c r="I344" s="296"/>
    </row>
    <row r="345" spans="1:9">
      <c r="A345" s="291">
        <v>343</v>
      </c>
      <c r="B345" s="292">
        <v>44387</v>
      </c>
      <c r="C345" s="293">
        <v>101.93258</v>
      </c>
      <c r="D345" s="294">
        <v>123.30335963364223</v>
      </c>
      <c r="E345" s="293">
        <f t="shared" si="15"/>
        <v>101.93258</v>
      </c>
      <c r="F345" s="303"/>
      <c r="G345" s="205" t="str">
        <f t="shared" si="16"/>
        <v/>
      </c>
      <c r="H345" s="295" t="str">
        <f t="shared" si="17"/>
        <v/>
      </c>
      <c r="I345" s="296"/>
    </row>
    <row r="346" spans="1:9">
      <c r="A346" s="291">
        <v>344</v>
      </c>
      <c r="B346" s="292">
        <v>44388</v>
      </c>
      <c r="C346" s="293">
        <v>129.884085</v>
      </c>
      <c r="D346" s="294">
        <v>123.30335963364223</v>
      </c>
      <c r="E346" s="293">
        <f t="shared" si="15"/>
        <v>123.30335963364223</v>
      </c>
      <c r="F346" s="303"/>
      <c r="G346" s="205" t="str">
        <f t="shared" si="16"/>
        <v/>
      </c>
      <c r="H346" s="295" t="str">
        <f t="shared" si="17"/>
        <v/>
      </c>
      <c r="I346" s="296"/>
    </row>
    <row r="347" spans="1:9">
      <c r="A347" s="291">
        <v>345</v>
      </c>
      <c r="B347" s="292">
        <v>44389</v>
      </c>
      <c r="C347" s="293">
        <v>268.860343</v>
      </c>
      <c r="D347" s="294">
        <v>123.30335963364223</v>
      </c>
      <c r="E347" s="293">
        <f t="shared" si="15"/>
        <v>123.30335963364223</v>
      </c>
      <c r="F347" s="303"/>
      <c r="G347" s="205" t="str">
        <f t="shared" si="16"/>
        <v/>
      </c>
      <c r="H347" s="295" t="str">
        <f t="shared" si="17"/>
        <v/>
      </c>
      <c r="I347" s="296"/>
    </row>
    <row r="348" spans="1:9">
      <c r="A348" s="291">
        <v>346</v>
      </c>
      <c r="B348" s="292">
        <v>44390</v>
      </c>
      <c r="C348" s="293">
        <v>180.855908</v>
      </c>
      <c r="D348" s="294">
        <v>123.30335963364223</v>
      </c>
      <c r="E348" s="293">
        <f t="shared" si="15"/>
        <v>123.30335963364223</v>
      </c>
      <c r="F348" s="303"/>
      <c r="G348" s="205" t="str">
        <f t="shared" si="16"/>
        <v/>
      </c>
      <c r="H348" s="295" t="str">
        <f t="shared" si="17"/>
        <v/>
      </c>
      <c r="I348" s="296"/>
    </row>
    <row r="349" spans="1:9">
      <c r="A349" s="291">
        <v>347</v>
      </c>
      <c r="B349" s="292">
        <v>44391</v>
      </c>
      <c r="C349" s="293">
        <v>192.08663999999999</v>
      </c>
      <c r="D349" s="294">
        <v>123.30335963364223</v>
      </c>
      <c r="E349" s="293">
        <f t="shared" si="15"/>
        <v>123.30335963364223</v>
      </c>
      <c r="F349" s="303"/>
      <c r="G349" s="205" t="str">
        <f t="shared" si="16"/>
        <v/>
      </c>
      <c r="H349" s="295" t="str">
        <f t="shared" si="17"/>
        <v/>
      </c>
      <c r="I349" s="296"/>
    </row>
    <row r="350" spans="1:9">
      <c r="A350" s="291">
        <v>348</v>
      </c>
      <c r="B350" s="292">
        <v>44392</v>
      </c>
      <c r="C350" s="293">
        <v>191.57196400000001</v>
      </c>
      <c r="D350" s="294">
        <v>123.30335963364223</v>
      </c>
      <c r="E350" s="293">
        <f t="shared" si="15"/>
        <v>123.30335963364223</v>
      </c>
      <c r="F350" s="303"/>
      <c r="G350" s="205" t="str">
        <f t="shared" si="16"/>
        <v>J</v>
      </c>
      <c r="H350" s="295" t="str">
        <f t="shared" si="17"/>
        <v>123,3</v>
      </c>
      <c r="I350" s="296"/>
    </row>
    <row r="351" spans="1:9">
      <c r="A351" s="291">
        <v>349</v>
      </c>
      <c r="B351" s="292">
        <v>44393</v>
      </c>
      <c r="C351" s="293">
        <v>169.40406099999998</v>
      </c>
      <c r="D351" s="294">
        <v>123.30335963364223</v>
      </c>
      <c r="E351" s="293">
        <f t="shared" si="15"/>
        <v>123.30335963364223</v>
      </c>
      <c r="F351" s="296"/>
      <c r="G351" s="205" t="str">
        <f t="shared" si="16"/>
        <v/>
      </c>
      <c r="H351" s="295" t="str">
        <f t="shared" si="17"/>
        <v/>
      </c>
      <c r="I351" s="296"/>
    </row>
    <row r="352" spans="1:9">
      <c r="A352" s="291">
        <v>350</v>
      </c>
      <c r="B352" s="292">
        <v>44394</v>
      </c>
      <c r="C352" s="293">
        <v>110.358834</v>
      </c>
      <c r="D352" s="294">
        <v>123.30335963364223</v>
      </c>
      <c r="E352" s="293">
        <f t="shared" si="15"/>
        <v>110.358834</v>
      </c>
      <c r="F352" s="303"/>
      <c r="G352" s="205" t="str">
        <f t="shared" si="16"/>
        <v/>
      </c>
      <c r="H352" s="295" t="str">
        <f t="shared" si="17"/>
        <v/>
      </c>
      <c r="I352" s="296"/>
    </row>
    <row r="353" spans="1:9">
      <c r="A353" s="291">
        <v>351</v>
      </c>
      <c r="B353" s="292">
        <v>44395</v>
      </c>
      <c r="C353" s="293">
        <v>164.72331399999999</v>
      </c>
      <c r="D353" s="294">
        <v>123.30335963364223</v>
      </c>
      <c r="E353" s="293">
        <f t="shared" si="15"/>
        <v>123.30335963364223</v>
      </c>
      <c r="F353" s="303"/>
      <c r="G353" s="205" t="str">
        <f t="shared" si="16"/>
        <v/>
      </c>
      <c r="H353" s="295" t="str">
        <f t="shared" si="17"/>
        <v/>
      </c>
      <c r="I353" s="296"/>
    </row>
    <row r="354" spans="1:9">
      <c r="A354" s="291">
        <v>352</v>
      </c>
      <c r="B354" s="292">
        <v>44396</v>
      </c>
      <c r="C354" s="293">
        <v>90.256762000000009</v>
      </c>
      <c r="D354" s="294">
        <v>123.30335963364223</v>
      </c>
      <c r="E354" s="293">
        <f t="shared" si="15"/>
        <v>90.256762000000009</v>
      </c>
      <c r="F354" s="303"/>
      <c r="G354" s="205" t="str">
        <f t="shared" si="16"/>
        <v/>
      </c>
      <c r="H354" s="295" t="str">
        <f t="shared" si="17"/>
        <v/>
      </c>
      <c r="I354" s="296"/>
    </row>
    <row r="355" spans="1:9">
      <c r="A355" s="291">
        <v>353</v>
      </c>
      <c r="B355" s="292">
        <v>44397</v>
      </c>
      <c r="C355" s="293">
        <v>60.920558</v>
      </c>
      <c r="D355" s="294">
        <v>123.30335963364223</v>
      </c>
      <c r="E355" s="293">
        <f t="shared" si="15"/>
        <v>60.920558</v>
      </c>
      <c r="F355" s="303"/>
      <c r="G355" s="205" t="str">
        <f t="shared" si="16"/>
        <v/>
      </c>
      <c r="H355" s="295" t="str">
        <f t="shared" si="17"/>
        <v/>
      </c>
      <c r="I355" s="296"/>
    </row>
    <row r="356" spans="1:9">
      <c r="A356" s="291">
        <v>354</v>
      </c>
      <c r="B356" s="292">
        <v>44398</v>
      </c>
      <c r="C356" s="293">
        <v>54.755589000000001</v>
      </c>
      <c r="D356" s="294">
        <v>123.30335963364223</v>
      </c>
      <c r="E356" s="293">
        <f t="shared" si="15"/>
        <v>54.755589000000001</v>
      </c>
      <c r="F356" s="303"/>
      <c r="G356" s="205" t="str">
        <f t="shared" si="16"/>
        <v/>
      </c>
      <c r="H356" s="295" t="str">
        <f t="shared" si="17"/>
        <v/>
      </c>
      <c r="I356" s="296"/>
    </row>
    <row r="357" spans="1:9">
      <c r="A357" s="291">
        <v>355</v>
      </c>
      <c r="B357" s="292">
        <v>44399</v>
      </c>
      <c r="C357" s="293">
        <v>107.60026499999999</v>
      </c>
      <c r="D357" s="294">
        <v>123.30335963364223</v>
      </c>
      <c r="E357" s="293">
        <f t="shared" si="15"/>
        <v>107.60026499999999</v>
      </c>
      <c r="F357" s="303"/>
      <c r="G357" s="205" t="str">
        <f t="shared" si="16"/>
        <v/>
      </c>
      <c r="H357" s="295" t="str">
        <f t="shared" si="17"/>
        <v/>
      </c>
      <c r="I357" s="296"/>
    </row>
    <row r="358" spans="1:9">
      <c r="A358" s="291">
        <v>356</v>
      </c>
      <c r="B358" s="292">
        <v>44400</v>
      </c>
      <c r="C358" s="293">
        <v>186.93583900000002</v>
      </c>
      <c r="D358" s="294">
        <v>123.30335963364223</v>
      </c>
      <c r="E358" s="293">
        <f t="shared" si="15"/>
        <v>123.30335963364223</v>
      </c>
      <c r="F358" s="303"/>
      <c r="G358" s="205" t="str">
        <f t="shared" si="16"/>
        <v/>
      </c>
      <c r="H358" s="295" t="str">
        <f t="shared" si="17"/>
        <v/>
      </c>
      <c r="I358" s="296"/>
    </row>
    <row r="359" spans="1:9">
      <c r="A359" s="291">
        <v>357</v>
      </c>
      <c r="B359" s="292">
        <v>44401</v>
      </c>
      <c r="C359" s="293">
        <v>132.24556799999999</v>
      </c>
      <c r="D359" s="294">
        <v>123.30335963364223</v>
      </c>
      <c r="E359" s="293">
        <f t="shared" si="15"/>
        <v>123.30335963364223</v>
      </c>
      <c r="F359" s="303"/>
      <c r="G359" s="205" t="str">
        <f t="shared" si="16"/>
        <v/>
      </c>
      <c r="H359" s="295" t="str">
        <f t="shared" si="17"/>
        <v/>
      </c>
      <c r="I359" s="296"/>
    </row>
    <row r="360" spans="1:9">
      <c r="A360" s="291">
        <v>358</v>
      </c>
      <c r="B360" s="292">
        <v>44402</v>
      </c>
      <c r="C360" s="293">
        <v>99.352208000000005</v>
      </c>
      <c r="D360" s="294">
        <v>123.30335963364223</v>
      </c>
      <c r="E360" s="293">
        <f t="shared" si="15"/>
        <v>99.352208000000005</v>
      </c>
      <c r="F360" s="303"/>
      <c r="G360" s="205" t="str">
        <f t="shared" si="16"/>
        <v/>
      </c>
      <c r="H360" s="295" t="str">
        <f t="shared" si="17"/>
        <v/>
      </c>
      <c r="I360" s="296"/>
    </row>
    <row r="361" spans="1:9">
      <c r="A361" s="291">
        <v>359</v>
      </c>
      <c r="B361" s="292">
        <v>44403</v>
      </c>
      <c r="C361" s="293">
        <v>96.195096000000007</v>
      </c>
      <c r="D361" s="294">
        <v>123.30335963364223</v>
      </c>
      <c r="E361" s="293">
        <f t="shared" si="15"/>
        <v>96.195096000000007</v>
      </c>
      <c r="F361" s="303"/>
      <c r="G361" s="205" t="str">
        <f t="shared" si="16"/>
        <v/>
      </c>
      <c r="H361" s="295" t="str">
        <f t="shared" si="17"/>
        <v/>
      </c>
      <c r="I361" s="296"/>
    </row>
    <row r="362" spans="1:9">
      <c r="A362" s="291">
        <v>360</v>
      </c>
      <c r="B362" s="292">
        <v>44404</v>
      </c>
      <c r="C362" s="293">
        <v>97.58481900000001</v>
      </c>
      <c r="D362" s="294">
        <v>123.30335963364223</v>
      </c>
      <c r="E362" s="293">
        <f t="shared" si="15"/>
        <v>97.58481900000001</v>
      </c>
      <c r="F362" s="303"/>
      <c r="G362" s="205" t="str">
        <f t="shared" si="16"/>
        <v/>
      </c>
      <c r="H362" s="295" t="str">
        <f t="shared" si="17"/>
        <v/>
      </c>
      <c r="I362" s="296"/>
    </row>
    <row r="363" spans="1:9">
      <c r="A363" s="291">
        <v>361</v>
      </c>
      <c r="B363" s="292">
        <v>44405</v>
      </c>
      <c r="C363" s="293">
        <v>141.26926900000001</v>
      </c>
      <c r="D363" s="294">
        <v>123.30335963364223</v>
      </c>
      <c r="E363" s="293">
        <f t="shared" si="15"/>
        <v>123.30335963364223</v>
      </c>
      <c r="F363" s="303"/>
      <c r="G363" s="205" t="str">
        <f t="shared" si="16"/>
        <v/>
      </c>
      <c r="H363" s="295" t="str">
        <f t="shared" si="17"/>
        <v/>
      </c>
      <c r="I363" s="296"/>
    </row>
    <row r="364" spans="1:9">
      <c r="A364" s="291">
        <v>362</v>
      </c>
      <c r="B364" s="292">
        <v>44406</v>
      </c>
      <c r="C364" s="293">
        <v>126.49508</v>
      </c>
      <c r="D364" s="294">
        <v>123.30335963364223</v>
      </c>
      <c r="E364" s="293">
        <f t="shared" si="15"/>
        <v>123.30335963364223</v>
      </c>
      <c r="F364" s="303"/>
      <c r="G364" s="205" t="str">
        <f t="shared" si="16"/>
        <v/>
      </c>
      <c r="H364" s="295" t="str">
        <f t="shared" si="17"/>
        <v/>
      </c>
      <c r="I364" s="296"/>
    </row>
    <row r="365" spans="1:9">
      <c r="A365" s="291">
        <v>363</v>
      </c>
      <c r="B365" s="292">
        <v>44407</v>
      </c>
      <c r="C365" s="293">
        <v>139.68964300000002</v>
      </c>
      <c r="D365" s="294">
        <v>123.30335963364223</v>
      </c>
      <c r="E365" s="293">
        <f t="shared" si="15"/>
        <v>123.30335963364223</v>
      </c>
      <c r="F365" s="303"/>
      <c r="G365" s="205" t="str">
        <f t="shared" si="16"/>
        <v/>
      </c>
      <c r="H365" s="295" t="str">
        <f t="shared" si="17"/>
        <v/>
      </c>
      <c r="I365" s="296"/>
    </row>
    <row r="366" spans="1:9">
      <c r="A366" s="291">
        <v>364</v>
      </c>
      <c r="B366" s="292">
        <v>44408</v>
      </c>
      <c r="C366" s="293">
        <v>231.23278699999997</v>
      </c>
      <c r="D366" s="294">
        <v>123.30335963364223</v>
      </c>
      <c r="E366" s="293">
        <f t="shared" si="15"/>
        <v>123.30335963364223</v>
      </c>
      <c r="F366" s="303"/>
      <c r="G366" s="205" t="str">
        <f t="shared" si="16"/>
        <v/>
      </c>
      <c r="H366" s="295" t="str">
        <f t="shared" si="17"/>
        <v/>
      </c>
      <c r="I366" s="296"/>
    </row>
    <row r="367" spans="1:9">
      <c r="A367" s="291">
        <v>365</v>
      </c>
      <c r="B367" s="292">
        <v>44409</v>
      </c>
      <c r="C367" s="293">
        <v>105.186589</v>
      </c>
      <c r="D367" s="294">
        <v>119.88874866280776</v>
      </c>
      <c r="E367" s="293">
        <f t="shared" si="15"/>
        <v>105.186589</v>
      </c>
      <c r="F367" s="303"/>
      <c r="G367" s="205" t="str">
        <f t="shared" si="16"/>
        <v/>
      </c>
      <c r="H367" s="295" t="str">
        <f t="shared" si="17"/>
        <v/>
      </c>
      <c r="I367" s="296"/>
    </row>
    <row r="368" spans="1:9">
      <c r="A368" s="291">
        <v>366</v>
      </c>
      <c r="B368" s="292">
        <v>44410</v>
      </c>
      <c r="C368" s="293">
        <v>65.453987999999995</v>
      </c>
      <c r="D368" s="294">
        <v>119.88874866280776</v>
      </c>
      <c r="E368" s="293">
        <f t="shared" si="15"/>
        <v>65.453987999999995</v>
      </c>
      <c r="F368" s="296"/>
      <c r="G368" s="205" t="str">
        <f t="shared" si="16"/>
        <v/>
      </c>
      <c r="H368" s="295" t="str">
        <f t="shared" si="17"/>
        <v/>
      </c>
      <c r="I368" s="296"/>
    </row>
    <row r="369" spans="1:9">
      <c r="A369" s="291">
        <v>367</v>
      </c>
      <c r="B369" s="292">
        <v>44411</v>
      </c>
      <c r="C369" s="293">
        <v>81.198025000000015</v>
      </c>
      <c r="D369" s="294">
        <v>119.88874866280776</v>
      </c>
      <c r="E369" s="293">
        <f t="shared" si="15"/>
        <v>81.198025000000015</v>
      </c>
      <c r="F369" s="303"/>
      <c r="G369" s="205" t="str">
        <f t="shared" si="16"/>
        <v/>
      </c>
      <c r="H369" s="295" t="str">
        <f t="shared" si="17"/>
        <v/>
      </c>
      <c r="I369" s="296"/>
    </row>
    <row r="370" spans="1:9">
      <c r="A370" s="291">
        <v>368</v>
      </c>
      <c r="B370" s="292">
        <v>44412</v>
      </c>
      <c r="C370" s="293">
        <v>117.955766</v>
      </c>
      <c r="D370" s="294">
        <v>119.88874866280776</v>
      </c>
      <c r="E370" s="293">
        <f t="shared" si="15"/>
        <v>117.955766</v>
      </c>
      <c r="F370" s="303"/>
      <c r="G370" s="205" t="str">
        <f t="shared" si="16"/>
        <v/>
      </c>
      <c r="H370" s="295" t="str">
        <f t="shared" si="17"/>
        <v/>
      </c>
      <c r="I370" s="296"/>
    </row>
    <row r="371" spans="1:9">
      <c r="A371" s="291">
        <v>369</v>
      </c>
      <c r="B371" s="292">
        <v>44413</v>
      </c>
      <c r="C371" s="293">
        <v>126.17005400000001</v>
      </c>
      <c r="D371" s="294">
        <v>119.88874866280776</v>
      </c>
      <c r="E371" s="293">
        <f t="shared" si="15"/>
        <v>119.88874866280776</v>
      </c>
      <c r="F371" s="303"/>
      <c r="G371" s="205" t="str">
        <f t="shared" si="16"/>
        <v/>
      </c>
      <c r="H371" s="295" t="str">
        <f t="shared" si="17"/>
        <v/>
      </c>
      <c r="I371" s="296"/>
    </row>
    <row r="372" spans="1:9">
      <c r="A372" s="291">
        <v>370</v>
      </c>
      <c r="B372" s="292">
        <v>44414</v>
      </c>
      <c r="C372" s="293">
        <v>136.28684099999998</v>
      </c>
      <c r="D372" s="294">
        <v>119.88874866280776</v>
      </c>
      <c r="E372" s="293">
        <f t="shared" si="15"/>
        <v>119.88874866280776</v>
      </c>
      <c r="F372" s="303"/>
      <c r="G372" s="205" t="str">
        <f t="shared" si="16"/>
        <v/>
      </c>
      <c r="H372" s="295" t="str">
        <f t="shared" si="17"/>
        <v/>
      </c>
      <c r="I372" s="296"/>
    </row>
    <row r="373" spans="1:9">
      <c r="A373" s="291">
        <v>371</v>
      </c>
      <c r="B373" s="292">
        <v>44415</v>
      </c>
      <c r="C373" s="293">
        <v>161.55767399999999</v>
      </c>
      <c r="D373" s="294">
        <v>119.88874866280776</v>
      </c>
      <c r="E373" s="293">
        <f t="shared" si="15"/>
        <v>119.88874866280776</v>
      </c>
      <c r="F373" s="303"/>
      <c r="G373" s="205" t="str">
        <f t="shared" si="16"/>
        <v/>
      </c>
      <c r="H373" s="295" t="str">
        <f t="shared" si="17"/>
        <v/>
      </c>
      <c r="I373" s="296"/>
    </row>
    <row r="374" spans="1:9">
      <c r="A374" s="291">
        <v>372</v>
      </c>
      <c r="B374" s="292">
        <v>44416</v>
      </c>
      <c r="C374" s="293">
        <v>90.908063999999996</v>
      </c>
      <c r="D374" s="294">
        <v>119.88874866280776</v>
      </c>
      <c r="E374" s="293">
        <f t="shared" si="15"/>
        <v>90.908063999999996</v>
      </c>
      <c r="F374" s="303"/>
      <c r="G374" s="205" t="str">
        <f t="shared" si="16"/>
        <v/>
      </c>
      <c r="H374" s="295" t="str">
        <f t="shared" si="17"/>
        <v/>
      </c>
      <c r="I374" s="296"/>
    </row>
    <row r="375" spans="1:9">
      <c r="A375" s="291">
        <v>373</v>
      </c>
      <c r="B375" s="292">
        <v>44417</v>
      </c>
      <c r="C375" s="293">
        <v>83.165186000000006</v>
      </c>
      <c r="D375" s="294">
        <v>119.88874866280776</v>
      </c>
      <c r="E375" s="293">
        <f t="shared" si="15"/>
        <v>83.165186000000006</v>
      </c>
      <c r="F375" s="303"/>
      <c r="G375" s="205" t="str">
        <f t="shared" si="16"/>
        <v/>
      </c>
      <c r="H375" s="295" t="str">
        <f t="shared" si="17"/>
        <v/>
      </c>
      <c r="I375" s="296"/>
    </row>
    <row r="376" spans="1:9">
      <c r="A376" s="291">
        <v>374</v>
      </c>
      <c r="B376" s="292">
        <v>44418</v>
      </c>
      <c r="C376" s="293">
        <v>63.679190999999996</v>
      </c>
      <c r="D376" s="294">
        <v>119.88874866280776</v>
      </c>
      <c r="E376" s="293">
        <f t="shared" si="15"/>
        <v>63.679190999999996</v>
      </c>
      <c r="F376" s="303"/>
      <c r="G376" s="205" t="str">
        <f t="shared" si="16"/>
        <v/>
      </c>
      <c r="H376" s="295" t="str">
        <f t="shared" si="17"/>
        <v/>
      </c>
      <c r="I376" s="296"/>
    </row>
    <row r="377" spans="1:9">
      <c r="A377" s="291">
        <v>375</v>
      </c>
      <c r="B377" s="292">
        <v>44419</v>
      </c>
      <c r="C377" s="293">
        <v>70.816256999999993</v>
      </c>
      <c r="D377" s="294">
        <v>119.88874866280776</v>
      </c>
      <c r="E377" s="293">
        <f t="shared" si="15"/>
        <v>70.816256999999993</v>
      </c>
      <c r="F377" s="303"/>
      <c r="G377" s="205" t="str">
        <f t="shared" si="16"/>
        <v/>
      </c>
      <c r="H377" s="295" t="str">
        <f t="shared" si="17"/>
        <v/>
      </c>
      <c r="I377" s="296"/>
    </row>
    <row r="378" spans="1:9">
      <c r="A378" s="291">
        <v>376</v>
      </c>
      <c r="B378" s="292">
        <v>44420</v>
      </c>
      <c r="C378" s="293">
        <v>105.14160200000001</v>
      </c>
      <c r="D378" s="294">
        <v>119.88874866280776</v>
      </c>
      <c r="E378" s="293">
        <f t="shared" si="15"/>
        <v>105.14160200000001</v>
      </c>
      <c r="F378" s="303"/>
      <c r="G378" s="205" t="str">
        <f t="shared" si="16"/>
        <v/>
      </c>
      <c r="H378" s="295" t="str">
        <f t="shared" si="17"/>
        <v/>
      </c>
      <c r="I378" s="296"/>
    </row>
    <row r="379" spans="1:9">
      <c r="A379" s="291">
        <v>377</v>
      </c>
      <c r="B379" s="292">
        <v>44421</v>
      </c>
      <c r="C379" s="293">
        <v>77.889082000000002</v>
      </c>
      <c r="D379" s="294">
        <v>119.88874866280776</v>
      </c>
      <c r="E379" s="293">
        <f t="shared" si="15"/>
        <v>77.889082000000002</v>
      </c>
      <c r="F379" s="303"/>
      <c r="G379" s="205" t="str">
        <f t="shared" si="16"/>
        <v/>
      </c>
      <c r="H379" s="295" t="str">
        <f t="shared" si="17"/>
        <v/>
      </c>
      <c r="I379" s="296"/>
    </row>
    <row r="380" spans="1:9">
      <c r="A380" s="291">
        <v>378</v>
      </c>
      <c r="B380" s="292">
        <v>44422</v>
      </c>
      <c r="C380" s="293">
        <v>88.148835999999989</v>
      </c>
      <c r="D380" s="294">
        <v>119.88874866280776</v>
      </c>
      <c r="E380" s="293">
        <f t="shared" si="15"/>
        <v>88.148835999999989</v>
      </c>
      <c r="F380" s="303"/>
      <c r="G380" s="205" t="str">
        <f t="shared" si="16"/>
        <v/>
      </c>
      <c r="H380" s="295" t="str">
        <f t="shared" si="17"/>
        <v/>
      </c>
      <c r="I380" s="296"/>
    </row>
    <row r="381" spans="1:9">
      <c r="A381" s="291">
        <v>379</v>
      </c>
      <c r="B381" s="292">
        <v>44423</v>
      </c>
      <c r="C381" s="293">
        <v>135.29880499999999</v>
      </c>
      <c r="D381" s="294">
        <v>119.88874866280776</v>
      </c>
      <c r="E381" s="293">
        <f t="shared" si="15"/>
        <v>119.88874866280776</v>
      </c>
      <c r="F381" s="303"/>
      <c r="G381" s="205" t="str">
        <f t="shared" si="16"/>
        <v>A</v>
      </c>
      <c r="H381" s="295" t="str">
        <f t="shared" si="17"/>
        <v>119,9</v>
      </c>
      <c r="I381" s="296"/>
    </row>
    <row r="382" spans="1:9">
      <c r="A382" s="291">
        <v>380</v>
      </c>
      <c r="B382" s="292">
        <v>44424</v>
      </c>
      <c r="C382" s="293">
        <v>245.534614</v>
      </c>
      <c r="D382" s="294">
        <v>119.88874866280776</v>
      </c>
      <c r="E382" s="293">
        <f t="shared" si="15"/>
        <v>119.88874866280776</v>
      </c>
      <c r="F382" s="303"/>
      <c r="G382" s="205" t="str">
        <f t="shared" si="16"/>
        <v/>
      </c>
      <c r="H382" s="295" t="str">
        <f t="shared" si="17"/>
        <v/>
      </c>
      <c r="I382" s="296"/>
    </row>
    <row r="383" spans="1:9">
      <c r="A383" s="291">
        <v>381</v>
      </c>
      <c r="B383" s="292">
        <v>44425</v>
      </c>
      <c r="C383" s="293">
        <v>263.96527000000003</v>
      </c>
      <c r="D383" s="294">
        <v>119.88874866280776</v>
      </c>
      <c r="E383" s="293">
        <f t="shared" si="15"/>
        <v>119.88874866280776</v>
      </c>
      <c r="F383" s="303"/>
      <c r="G383" s="205" t="str">
        <f t="shared" si="16"/>
        <v/>
      </c>
      <c r="H383" s="295" t="str">
        <f t="shared" si="17"/>
        <v/>
      </c>
      <c r="I383" s="296"/>
    </row>
    <row r="384" spans="1:9">
      <c r="A384" s="291">
        <v>382</v>
      </c>
      <c r="B384" s="292">
        <v>44426</v>
      </c>
      <c r="C384" s="293">
        <v>194.14503900000003</v>
      </c>
      <c r="D384" s="294">
        <v>119.88874866280776</v>
      </c>
      <c r="E384" s="293">
        <f t="shared" si="15"/>
        <v>119.88874866280776</v>
      </c>
      <c r="F384" s="303"/>
      <c r="G384" s="205" t="str">
        <f t="shared" si="16"/>
        <v/>
      </c>
      <c r="H384" s="295" t="str">
        <f t="shared" si="17"/>
        <v/>
      </c>
      <c r="I384" s="296"/>
    </row>
    <row r="385" spans="1:9">
      <c r="A385" s="291">
        <v>383</v>
      </c>
      <c r="B385" s="292">
        <v>44427</v>
      </c>
      <c r="C385" s="293">
        <v>100.68488499999999</v>
      </c>
      <c r="D385" s="294">
        <v>119.88874866280776</v>
      </c>
      <c r="E385" s="293">
        <f t="shared" si="15"/>
        <v>100.68488499999999</v>
      </c>
      <c r="F385" s="303"/>
      <c r="G385" s="205" t="str">
        <f t="shared" si="16"/>
        <v/>
      </c>
      <c r="H385" s="295" t="str">
        <f t="shared" si="17"/>
        <v/>
      </c>
      <c r="I385" s="296"/>
    </row>
    <row r="386" spans="1:9">
      <c r="A386" s="291">
        <v>384</v>
      </c>
      <c r="B386" s="292">
        <v>44428</v>
      </c>
      <c r="C386" s="293">
        <v>70.082198000000005</v>
      </c>
      <c r="D386" s="294">
        <v>119.88874866280776</v>
      </c>
      <c r="E386" s="293">
        <f t="shared" si="15"/>
        <v>70.082198000000005</v>
      </c>
      <c r="F386" s="303"/>
      <c r="G386" s="205" t="str">
        <f t="shared" si="16"/>
        <v/>
      </c>
      <c r="H386" s="295" t="str">
        <f t="shared" si="17"/>
        <v/>
      </c>
      <c r="I386" s="296"/>
    </row>
    <row r="387" spans="1:9">
      <c r="A387" s="291">
        <v>385</v>
      </c>
      <c r="B387" s="292">
        <v>44429</v>
      </c>
      <c r="C387" s="293">
        <v>75.086461</v>
      </c>
      <c r="D387" s="294">
        <v>119.88874866280776</v>
      </c>
      <c r="E387" s="293">
        <f t="shared" ref="E387:E395" si="18">IF(C387&gt;D387,D387,C387)</f>
        <v>75.086461</v>
      </c>
      <c r="F387" s="303"/>
      <c r="G387" s="205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295" t="str">
        <f t="shared" ref="H387:H395" si="20">IF(DAY($B387)=15,TEXT(D387,"#,0"),"")</f>
        <v/>
      </c>
      <c r="I387" s="296"/>
    </row>
    <row r="388" spans="1:9">
      <c r="A388" s="291">
        <v>386</v>
      </c>
      <c r="B388" s="292">
        <v>44430</v>
      </c>
      <c r="C388" s="293">
        <v>136.116916</v>
      </c>
      <c r="D388" s="294">
        <v>119.88874866280776</v>
      </c>
      <c r="E388" s="293">
        <f t="shared" si="18"/>
        <v>119.88874866280776</v>
      </c>
      <c r="F388" s="303"/>
      <c r="G388" s="205" t="str">
        <f t="shared" si="19"/>
        <v/>
      </c>
      <c r="H388" s="295" t="str">
        <f t="shared" si="20"/>
        <v/>
      </c>
      <c r="I388" s="296"/>
    </row>
    <row r="389" spans="1:9">
      <c r="A389" s="291">
        <v>387</v>
      </c>
      <c r="B389" s="292">
        <v>44431</v>
      </c>
      <c r="C389" s="293">
        <v>225.83128399999998</v>
      </c>
      <c r="D389" s="294">
        <v>119.88874866280776</v>
      </c>
      <c r="E389" s="293">
        <f t="shared" si="18"/>
        <v>119.88874866280776</v>
      </c>
      <c r="F389" s="303"/>
      <c r="G389" s="205" t="str">
        <f t="shared" si="19"/>
        <v/>
      </c>
      <c r="H389" s="295" t="str">
        <f t="shared" si="20"/>
        <v/>
      </c>
      <c r="I389" s="296"/>
    </row>
    <row r="390" spans="1:9">
      <c r="A390" s="291">
        <v>388</v>
      </c>
      <c r="B390" s="292">
        <v>44432</v>
      </c>
      <c r="C390" s="293">
        <v>200.03100800000001</v>
      </c>
      <c r="D390" s="294">
        <v>119.88874866280776</v>
      </c>
      <c r="E390" s="293">
        <f t="shared" si="18"/>
        <v>119.88874866280776</v>
      </c>
      <c r="F390" s="303"/>
      <c r="G390" s="205" t="str">
        <f t="shared" si="19"/>
        <v/>
      </c>
      <c r="H390" s="295" t="str">
        <f t="shared" si="20"/>
        <v/>
      </c>
      <c r="I390" s="296"/>
    </row>
    <row r="391" spans="1:9">
      <c r="A391" s="291">
        <v>389</v>
      </c>
      <c r="B391" s="292">
        <v>44433</v>
      </c>
      <c r="C391" s="293">
        <v>84.560846999999995</v>
      </c>
      <c r="D391" s="294">
        <v>119.88874866280776</v>
      </c>
      <c r="E391" s="293">
        <f t="shared" si="18"/>
        <v>84.560846999999995</v>
      </c>
      <c r="F391" s="303"/>
      <c r="G391" s="205" t="str">
        <f t="shared" si="19"/>
        <v/>
      </c>
      <c r="H391" s="295" t="str">
        <f t="shared" si="20"/>
        <v/>
      </c>
      <c r="I391" s="296"/>
    </row>
    <row r="392" spans="1:9">
      <c r="A392" s="291">
        <v>390</v>
      </c>
      <c r="B392" s="292">
        <v>44434</v>
      </c>
      <c r="C392" s="293">
        <v>43.339232000000003</v>
      </c>
      <c r="D392" s="294">
        <v>119.88874866280776</v>
      </c>
      <c r="E392" s="293">
        <f t="shared" si="18"/>
        <v>43.339232000000003</v>
      </c>
      <c r="F392" s="303"/>
      <c r="G392" s="205" t="str">
        <f t="shared" si="19"/>
        <v/>
      </c>
      <c r="H392" s="295" t="str">
        <f t="shared" si="20"/>
        <v/>
      </c>
      <c r="I392" s="296"/>
    </row>
    <row r="393" spans="1:9">
      <c r="A393" s="291">
        <v>391</v>
      </c>
      <c r="B393" s="292">
        <v>44435</v>
      </c>
      <c r="C393" s="293">
        <v>80.723176000000009</v>
      </c>
      <c r="D393" s="294">
        <v>119.88874866280776</v>
      </c>
      <c r="E393" s="293">
        <f t="shared" si="18"/>
        <v>80.723176000000009</v>
      </c>
      <c r="F393" s="303"/>
      <c r="G393" s="205" t="str">
        <f t="shared" si="19"/>
        <v/>
      </c>
      <c r="H393" s="295" t="str">
        <f t="shared" si="20"/>
        <v/>
      </c>
      <c r="I393" s="296"/>
    </row>
    <row r="394" spans="1:9">
      <c r="A394" s="291">
        <v>392</v>
      </c>
      <c r="B394" s="292">
        <v>44436</v>
      </c>
      <c r="C394" s="293">
        <v>164.13817799999998</v>
      </c>
      <c r="D394" s="294">
        <v>119.88874866280776</v>
      </c>
      <c r="E394" s="293">
        <f t="shared" si="18"/>
        <v>119.88874866280776</v>
      </c>
      <c r="F394" s="303"/>
      <c r="G394" s="205" t="str">
        <f t="shared" si="19"/>
        <v/>
      </c>
      <c r="H394" s="295" t="str">
        <f t="shared" si="20"/>
        <v/>
      </c>
      <c r="I394" s="296"/>
    </row>
    <row r="395" spans="1:9">
      <c r="A395" s="291">
        <v>393</v>
      </c>
      <c r="B395" s="292">
        <v>44437</v>
      </c>
      <c r="C395" s="293">
        <v>107.65864099999999</v>
      </c>
      <c r="D395" s="294">
        <v>119.88874866280776</v>
      </c>
      <c r="E395" s="293">
        <f t="shared" si="18"/>
        <v>107.65864099999999</v>
      </c>
      <c r="F395" s="303"/>
      <c r="G395" s="205" t="str">
        <f t="shared" si="19"/>
        <v/>
      </c>
      <c r="H395" s="295" t="str">
        <f t="shared" si="20"/>
        <v/>
      </c>
      <c r="I395" s="296"/>
    </row>
    <row r="396" spans="1:9">
      <c r="A396" s="291">
        <v>394</v>
      </c>
      <c r="B396" s="292">
        <v>44438</v>
      </c>
      <c r="C396" s="293">
        <v>70.593452999999997</v>
      </c>
      <c r="D396" s="294">
        <v>119.88874866280776</v>
      </c>
      <c r="E396" s="293">
        <f t="shared" ref="E396" si="21">IF(C396&gt;D396,D396,C396)</f>
        <v>70.593452999999997</v>
      </c>
      <c r="F396" s="303"/>
      <c r="G396" s="205"/>
      <c r="H396" s="295"/>
      <c r="I396" s="296"/>
    </row>
    <row r="397" spans="1:9">
      <c r="B397" s="292"/>
      <c r="C397" s="293"/>
      <c r="D397" s="294"/>
      <c r="E397" s="293"/>
      <c r="F397" s="303"/>
      <c r="G397" s="205"/>
      <c r="H397" s="295"/>
      <c r="I397" s="296"/>
    </row>
    <row r="398" spans="1:9">
      <c r="B398" s="292"/>
      <c r="C398" s="293"/>
      <c r="D398" s="294"/>
      <c r="E398" s="293"/>
      <c r="F398" s="303"/>
      <c r="G398" s="205"/>
      <c r="H398" s="295"/>
      <c r="I398" s="296"/>
    </row>
    <row r="399" spans="1:9">
      <c r="B399" s="292"/>
      <c r="C399" s="293"/>
      <c r="D399" s="294"/>
      <c r="E399" s="293"/>
      <c r="F399" s="303"/>
      <c r="G399" s="205"/>
      <c r="H399" s="295"/>
      <c r="I399" s="296"/>
    </row>
    <row r="400" spans="1:9">
      <c r="B400" s="292"/>
      <c r="C400" s="293"/>
      <c r="D400" s="294"/>
      <c r="E400" s="293"/>
      <c r="F400" s="303"/>
      <c r="G400" s="205"/>
      <c r="H400" s="295"/>
      <c r="I400" s="296"/>
    </row>
    <row r="401" spans="2:9">
      <c r="B401" s="292"/>
      <c r="C401" s="293"/>
      <c r="D401" s="294"/>
      <c r="E401" s="293"/>
      <c r="F401" s="303"/>
      <c r="G401" s="205"/>
      <c r="H401" s="295"/>
      <c r="I401" s="296"/>
    </row>
    <row r="402" spans="2:9">
      <c r="B402" s="292"/>
      <c r="C402" s="293"/>
      <c r="D402" s="294"/>
      <c r="E402" s="293"/>
      <c r="F402" s="303"/>
      <c r="G402" s="205"/>
      <c r="H402" s="295"/>
      <c r="I402" s="296"/>
    </row>
    <row r="403" spans="2:9">
      <c r="B403" s="292"/>
      <c r="C403" s="293"/>
      <c r="D403" s="294"/>
      <c r="E403" s="293"/>
      <c r="F403" s="303"/>
      <c r="G403" s="205"/>
      <c r="H403" s="295"/>
      <c r="I403" s="296"/>
    </row>
    <row r="404" spans="2:9">
      <c r="B404" s="292"/>
      <c r="C404" s="293"/>
      <c r="D404" s="294"/>
      <c r="E404" s="293"/>
      <c r="F404" s="303"/>
      <c r="G404" s="205"/>
      <c r="H404" s="295"/>
      <c r="I404" s="296"/>
    </row>
    <row r="405" spans="2:9">
      <c r="B405" s="292"/>
      <c r="C405" s="293"/>
      <c r="D405" s="294"/>
      <c r="E405" s="293"/>
      <c r="F405" s="303"/>
      <c r="G405" s="205"/>
      <c r="H405" s="295"/>
      <c r="I405" s="296"/>
    </row>
    <row r="406" spans="2:9">
      <c r="B406" s="292"/>
      <c r="C406" s="293"/>
      <c r="D406" s="294"/>
      <c r="E406" s="293"/>
      <c r="F406" s="303"/>
      <c r="G406" s="205"/>
      <c r="H406" s="295"/>
      <c r="I406" s="296"/>
    </row>
    <row r="407" spans="2:9">
      <c r="B407" s="292"/>
      <c r="C407" s="293"/>
      <c r="D407" s="294"/>
      <c r="E407" s="293"/>
      <c r="F407" s="303"/>
      <c r="G407" s="205"/>
      <c r="H407" s="295"/>
      <c r="I407" s="296"/>
    </row>
    <row r="408" spans="2:9">
      <c r="B408" s="292"/>
      <c r="C408" s="293"/>
      <c r="D408" s="294"/>
      <c r="E408" s="293"/>
      <c r="F408" s="303"/>
      <c r="G408" s="205"/>
      <c r="H408" s="295"/>
      <c r="I408" s="296"/>
    </row>
    <row r="409" spans="2:9">
      <c r="B409" s="292"/>
      <c r="C409" s="293"/>
      <c r="D409" s="294"/>
      <c r="E409" s="293"/>
      <c r="F409" s="303"/>
      <c r="G409" s="205"/>
      <c r="H409" s="295"/>
      <c r="I409" s="296"/>
    </row>
    <row r="410" spans="2:9">
      <c r="B410" s="292"/>
      <c r="C410" s="293"/>
      <c r="D410" s="294"/>
      <c r="E410" s="293"/>
      <c r="F410" s="303"/>
      <c r="G410" s="205"/>
      <c r="H410" s="295"/>
      <c r="I410" s="296"/>
    </row>
    <row r="411" spans="2:9">
      <c r="B411" s="292"/>
      <c r="C411" s="293"/>
      <c r="D411" s="294"/>
      <c r="E411" s="293"/>
      <c r="F411" s="303"/>
      <c r="G411" s="205"/>
      <c r="H411" s="295"/>
      <c r="I411" s="296"/>
    </row>
    <row r="412" spans="2:9">
      <c r="B412" s="292"/>
      <c r="C412" s="293"/>
      <c r="D412" s="294"/>
      <c r="E412" s="293"/>
      <c r="F412" s="303"/>
      <c r="G412" s="205"/>
      <c r="H412" s="295"/>
      <c r="I412" s="296"/>
    </row>
    <row r="413" spans="2:9">
      <c r="B413" s="292"/>
      <c r="C413" s="293"/>
      <c r="D413" s="294"/>
      <c r="E413" s="293"/>
      <c r="F413" s="303"/>
      <c r="G413" s="205"/>
      <c r="H413" s="295"/>
      <c r="I413" s="296"/>
    </row>
    <row r="414" spans="2:9">
      <c r="B414" s="292"/>
      <c r="C414" s="293"/>
      <c r="D414" s="294"/>
      <c r="E414" s="293"/>
      <c r="F414" s="303"/>
      <c r="G414" s="205"/>
      <c r="H414" s="295"/>
      <c r="I414" s="296"/>
    </row>
    <row r="415" spans="2:9">
      <c r="B415" s="292"/>
      <c r="C415" s="293"/>
      <c r="D415" s="294"/>
      <c r="E415" s="293"/>
      <c r="F415" s="303"/>
      <c r="G415" s="205"/>
      <c r="H415" s="295"/>
      <c r="I415" s="296"/>
    </row>
    <row r="416" spans="2:9">
      <c r="B416" s="292"/>
      <c r="C416" s="293"/>
      <c r="D416" s="294"/>
      <c r="E416" s="293"/>
      <c r="F416" s="303"/>
      <c r="G416" s="205"/>
      <c r="H416" s="295"/>
      <c r="I416" s="296"/>
    </row>
    <row r="417" spans="2:9">
      <c r="B417" s="292"/>
      <c r="C417" s="293"/>
      <c r="D417" s="294"/>
      <c r="E417" s="293"/>
      <c r="F417" s="303"/>
      <c r="G417" s="205"/>
      <c r="H417" s="295"/>
      <c r="I417" s="296"/>
    </row>
    <row r="418" spans="2:9">
      <c r="B418" s="292"/>
      <c r="C418" s="293"/>
      <c r="D418" s="294"/>
      <c r="E418" s="293"/>
      <c r="F418" s="303"/>
      <c r="G418" s="205"/>
      <c r="H418" s="295"/>
      <c r="I418" s="296"/>
    </row>
    <row r="419" spans="2:9">
      <c r="B419" s="292"/>
      <c r="C419" s="293"/>
      <c r="D419" s="294"/>
      <c r="E419" s="293"/>
      <c r="F419" s="303"/>
      <c r="G419" s="205"/>
      <c r="H419" s="295"/>
      <c r="I419" s="296"/>
    </row>
    <row r="420" spans="2:9">
      <c r="B420" s="292"/>
      <c r="C420" s="293"/>
      <c r="D420" s="294"/>
      <c r="E420" s="293"/>
      <c r="F420" s="303"/>
      <c r="G420" s="205"/>
      <c r="H420" s="295"/>
      <c r="I420" s="296"/>
    </row>
    <row r="421" spans="2:9">
      <c r="B421" s="292"/>
      <c r="C421" s="293"/>
      <c r="D421" s="294"/>
      <c r="E421" s="293"/>
      <c r="F421" s="303"/>
      <c r="G421" s="205"/>
      <c r="H421" s="295"/>
      <c r="I421" s="296"/>
    </row>
    <row r="422" spans="2:9">
      <c r="B422" s="292"/>
      <c r="C422" s="293"/>
      <c r="D422" s="294"/>
      <c r="E422" s="293"/>
      <c r="F422" s="303"/>
      <c r="G422" s="205"/>
      <c r="H422" s="295"/>
      <c r="I422" s="296"/>
    </row>
    <row r="423" spans="2:9">
      <c r="B423" s="292"/>
      <c r="C423" s="293"/>
      <c r="D423" s="294"/>
      <c r="E423" s="293"/>
      <c r="F423" s="303"/>
      <c r="G423" s="205"/>
      <c r="H423" s="295"/>
      <c r="I423" s="296"/>
    </row>
    <row r="424" spans="2:9">
      <c r="B424" s="292"/>
      <c r="C424" s="293"/>
      <c r="D424" s="294"/>
      <c r="E424" s="293"/>
      <c r="F424" s="303"/>
      <c r="G424" s="205"/>
      <c r="H424" s="295"/>
      <c r="I424" s="296"/>
    </row>
    <row r="425" spans="2:9">
      <c r="B425" s="292"/>
      <c r="C425" s="293"/>
      <c r="D425" s="294"/>
      <c r="E425" s="293"/>
      <c r="F425" s="303"/>
      <c r="G425" s="205"/>
      <c r="H425" s="295"/>
      <c r="I425" s="296"/>
    </row>
    <row r="426" spans="2:9">
      <c r="B426" s="292"/>
      <c r="C426" s="293"/>
      <c r="D426" s="294"/>
      <c r="E426" s="293"/>
      <c r="F426" s="303"/>
      <c r="G426" s="205"/>
      <c r="H426" s="295"/>
      <c r="I426" s="296"/>
    </row>
    <row r="427" spans="2:9">
      <c r="B427" s="292"/>
      <c r="C427" s="293"/>
      <c r="D427" s="294"/>
      <c r="E427" s="293"/>
      <c r="F427" s="303"/>
      <c r="G427" s="205"/>
      <c r="H427" s="295"/>
      <c r="I427" s="296"/>
    </row>
    <row r="428" spans="2:9">
      <c r="B428" s="292"/>
      <c r="C428" s="293"/>
      <c r="D428" s="294"/>
      <c r="E428" s="293"/>
      <c r="F428" s="303"/>
      <c r="G428" s="205"/>
      <c r="H428" s="295"/>
      <c r="I428" s="296"/>
    </row>
    <row r="429" spans="2:9">
      <c r="B429" s="292"/>
      <c r="C429" s="293"/>
      <c r="D429" s="294"/>
      <c r="E429" s="293"/>
      <c r="F429" s="303"/>
      <c r="G429" s="205"/>
      <c r="H429" s="295"/>
      <c r="I429" s="296"/>
    </row>
    <row r="430" spans="2:9">
      <c r="B430" s="292"/>
      <c r="C430" s="293"/>
      <c r="D430" s="294"/>
      <c r="E430" s="293"/>
      <c r="F430" s="303"/>
      <c r="G430" s="205"/>
      <c r="H430" s="295"/>
      <c r="I430" s="296"/>
    </row>
    <row r="431" spans="2:9">
      <c r="B431" s="292"/>
      <c r="C431" s="293"/>
      <c r="D431" s="294"/>
      <c r="E431" s="293"/>
      <c r="F431" s="303"/>
      <c r="G431" s="205"/>
      <c r="H431" s="295"/>
      <c r="I431" s="296"/>
    </row>
    <row r="432" spans="2:9">
      <c r="B432" s="292"/>
      <c r="C432" s="293"/>
      <c r="D432" s="294"/>
      <c r="E432" s="293"/>
      <c r="F432" s="303"/>
      <c r="G432" s="205"/>
      <c r="H432" s="295"/>
      <c r="I432" s="296"/>
    </row>
    <row r="433" spans="2:9">
      <c r="B433" s="292"/>
      <c r="C433" s="293"/>
      <c r="D433" s="294"/>
      <c r="E433" s="293"/>
      <c r="F433" s="303"/>
      <c r="G433" s="205"/>
      <c r="H433" s="295"/>
      <c r="I433" s="296"/>
    </row>
    <row r="434" spans="2:9">
      <c r="B434" s="292"/>
      <c r="C434" s="293"/>
      <c r="D434" s="294"/>
      <c r="E434" s="293"/>
      <c r="F434" s="303"/>
      <c r="G434" s="205"/>
      <c r="H434" s="295"/>
      <c r="I434" s="296"/>
    </row>
    <row r="435" spans="2:9">
      <c r="B435" s="292"/>
      <c r="C435" s="293"/>
      <c r="D435" s="294"/>
      <c r="E435" s="293"/>
      <c r="F435" s="303"/>
      <c r="G435" s="205"/>
      <c r="H435" s="295"/>
      <c r="I435" s="296"/>
    </row>
    <row r="436" spans="2:9">
      <c r="B436" s="292"/>
      <c r="C436" s="293"/>
      <c r="D436" s="294"/>
      <c r="E436" s="293"/>
      <c r="F436" s="303"/>
      <c r="G436" s="205"/>
      <c r="H436" s="295"/>
      <c r="I436" s="296"/>
    </row>
    <row r="437" spans="2:9">
      <c r="B437" s="292"/>
      <c r="C437" s="293"/>
      <c r="D437" s="294"/>
      <c r="E437" s="293"/>
      <c r="F437" s="303"/>
      <c r="G437" s="205"/>
      <c r="H437" s="295"/>
      <c r="I437" s="296"/>
    </row>
    <row r="438" spans="2:9">
      <c r="B438" s="292"/>
      <c r="C438" s="293"/>
      <c r="D438" s="294"/>
      <c r="E438" s="293"/>
      <c r="F438" s="303"/>
      <c r="G438" s="205"/>
      <c r="H438" s="295"/>
      <c r="I438" s="296"/>
    </row>
    <row r="439" spans="2:9">
      <c r="B439" s="292"/>
      <c r="C439" s="293"/>
      <c r="D439" s="294"/>
      <c r="E439" s="293"/>
      <c r="F439" s="303"/>
      <c r="G439" s="205"/>
      <c r="H439" s="295"/>
      <c r="I439" s="296"/>
    </row>
    <row r="440" spans="2:9">
      <c r="B440" s="292"/>
      <c r="C440" s="293"/>
      <c r="D440" s="294"/>
      <c r="E440" s="293"/>
      <c r="F440" s="303"/>
      <c r="G440" s="205"/>
      <c r="H440" s="295"/>
      <c r="I440" s="296"/>
    </row>
    <row r="441" spans="2:9">
      <c r="B441" s="292"/>
      <c r="C441" s="293"/>
      <c r="D441" s="294"/>
      <c r="E441" s="293"/>
      <c r="F441" s="303"/>
      <c r="G441" s="205"/>
      <c r="H441" s="295"/>
      <c r="I441" s="296"/>
    </row>
    <row r="442" spans="2:9">
      <c r="B442" s="292"/>
      <c r="C442" s="293"/>
      <c r="D442" s="294"/>
      <c r="E442" s="293"/>
      <c r="F442" s="303"/>
      <c r="G442" s="205"/>
      <c r="H442" s="295"/>
      <c r="I442" s="296"/>
    </row>
    <row r="443" spans="2:9">
      <c r="B443" s="292"/>
      <c r="C443" s="293"/>
      <c r="D443" s="294"/>
      <c r="E443" s="293"/>
      <c r="F443" s="303"/>
      <c r="G443" s="205"/>
      <c r="H443" s="295"/>
      <c r="I443" s="296"/>
    </row>
    <row r="444" spans="2:9">
      <c r="B444" s="292"/>
      <c r="C444" s="293"/>
      <c r="D444" s="294"/>
      <c r="E444" s="293"/>
      <c r="F444" s="303"/>
      <c r="G444" s="205"/>
      <c r="H444" s="295"/>
      <c r="I444" s="296"/>
    </row>
    <row r="445" spans="2:9">
      <c r="B445" s="292"/>
      <c r="C445" s="293"/>
      <c r="D445" s="294"/>
      <c r="E445" s="293"/>
      <c r="F445" s="303"/>
      <c r="G445" s="205"/>
      <c r="H445" s="295"/>
      <c r="I445" s="296"/>
    </row>
    <row r="446" spans="2:9">
      <c r="B446" s="292"/>
      <c r="C446" s="293"/>
      <c r="D446" s="294"/>
      <c r="E446" s="293"/>
      <c r="F446" s="303"/>
      <c r="G446" s="205"/>
      <c r="H446" s="295"/>
      <c r="I446" s="296"/>
    </row>
    <row r="447" spans="2:9">
      <c r="B447" s="292"/>
      <c r="C447" s="293"/>
      <c r="D447" s="294"/>
      <c r="E447" s="293"/>
      <c r="F447" s="303"/>
      <c r="G447" s="205"/>
      <c r="H447" s="295"/>
      <c r="I447" s="296"/>
    </row>
    <row r="448" spans="2:9">
      <c r="B448" s="292"/>
      <c r="C448" s="293"/>
      <c r="D448" s="294"/>
      <c r="E448" s="293"/>
      <c r="F448" s="303"/>
      <c r="G448" s="205"/>
      <c r="H448" s="295"/>
      <c r="I448" s="296"/>
    </row>
    <row r="449" spans="2:9">
      <c r="B449" s="292"/>
      <c r="C449" s="293"/>
      <c r="D449" s="294"/>
      <c r="E449" s="293"/>
      <c r="F449" s="303"/>
      <c r="G449" s="205"/>
      <c r="H449" s="295"/>
      <c r="I449" s="296"/>
    </row>
    <row r="450" spans="2:9">
      <c r="B450" s="292"/>
      <c r="C450" s="293"/>
      <c r="D450" s="294"/>
      <c r="E450" s="293"/>
      <c r="F450" s="303"/>
      <c r="G450" s="205"/>
      <c r="H450" s="295"/>
      <c r="I450" s="296"/>
    </row>
    <row r="451" spans="2:9">
      <c r="B451" s="292"/>
      <c r="C451" s="293"/>
      <c r="D451" s="294"/>
      <c r="E451" s="293"/>
      <c r="F451" s="303"/>
      <c r="G451" s="205"/>
      <c r="H451" s="295"/>
      <c r="I451" s="296"/>
    </row>
    <row r="452" spans="2:9">
      <c r="B452" s="292"/>
      <c r="C452" s="293"/>
      <c r="D452" s="294"/>
      <c r="E452" s="293"/>
      <c r="F452" s="303"/>
      <c r="G452" s="205"/>
      <c r="H452" s="295"/>
      <c r="I452" s="296"/>
    </row>
    <row r="453" spans="2:9">
      <c r="B453" s="292"/>
      <c r="C453" s="293"/>
      <c r="D453" s="294"/>
      <c r="E453" s="293"/>
      <c r="F453" s="303"/>
      <c r="G453" s="205"/>
      <c r="H453" s="295"/>
      <c r="I453" s="296"/>
    </row>
    <row r="454" spans="2:9">
      <c r="B454" s="292"/>
      <c r="C454" s="293"/>
      <c r="D454" s="294"/>
      <c r="E454" s="293"/>
      <c r="F454" s="303"/>
      <c r="G454" s="205"/>
      <c r="H454" s="295"/>
      <c r="I454" s="296"/>
    </row>
    <row r="455" spans="2:9">
      <c r="B455" s="292"/>
      <c r="C455" s="293"/>
      <c r="D455" s="294"/>
      <c r="E455" s="293"/>
      <c r="F455" s="303"/>
      <c r="G455" s="205"/>
      <c r="H455" s="295"/>
      <c r="I455" s="296"/>
    </row>
    <row r="456" spans="2:9">
      <c r="B456" s="292"/>
      <c r="C456" s="293"/>
      <c r="D456" s="294"/>
      <c r="E456" s="293"/>
      <c r="F456" s="303"/>
      <c r="G456" s="205"/>
      <c r="H456" s="295"/>
      <c r="I456" s="296"/>
    </row>
    <row r="457" spans="2:9">
      <c r="B457" s="292"/>
      <c r="C457" s="293"/>
      <c r="D457" s="294"/>
      <c r="E457" s="293"/>
      <c r="F457" s="303"/>
      <c r="G457" s="205"/>
      <c r="H457" s="295"/>
      <c r="I457" s="296"/>
    </row>
    <row r="458" spans="2:9">
      <c r="B458" s="292"/>
      <c r="C458" s="293"/>
      <c r="D458" s="294"/>
      <c r="E458" s="293"/>
      <c r="F458" s="303"/>
      <c r="G458" s="205"/>
      <c r="H458" s="295"/>
      <c r="I458" s="296"/>
    </row>
    <row r="459" spans="2:9">
      <c r="B459" s="292"/>
      <c r="C459" s="293"/>
      <c r="D459" s="294"/>
      <c r="E459" s="293"/>
      <c r="F459" s="303"/>
      <c r="G459" s="205"/>
      <c r="H459" s="295"/>
      <c r="I459" s="296"/>
    </row>
    <row r="460" spans="2:9">
      <c r="B460" s="292"/>
      <c r="C460" s="293"/>
      <c r="D460" s="294"/>
      <c r="E460" s="293"/>
      <c r="F460" s="303"/>
      <c r="G460" s="205"/>
      <c r="H460" s="295"/>
      <c r="I460" s="296"/>
    </row>
    <row r="461" spans="2:9">
      <c r="B461" s="292"/>
      <c r="C461" s="293"/>
      <c r="D461" s="294"/>
      <c r="E461" s="293"/>
      <c r="F461" s="303"/>
      <c r="G461" s="205"/>
      <c r="H461" s="295"/>
      <c r="I461" s="296"/>
    </row>
    <row r="462" spans="2:9">
      <c r="B462" s="292"/>
      <c r="C462" s="293"/>
      <c r="D462" s="294"/>
      <c r="E462" s="293"/>
      <c r="F462" s="303"/>
      <c r="G462" s="205"/>
      <c r="H462" s="295"/>
      <c r="I462" s="296"/>
    </row>
    <row r="463" spans="2:9">
      <c r="B463" s="292"/>
      <c r="C463" s="293"/>
      <c r="D463" s="294"/>
      <c r="E463" s="293"/>
      <c r="F463" s="303"/>
      <c r="G463" s="205"/>
      <c r="H463" s="295"/>
      <c r="I463" s="296"/>
    </row>
    <row r="464" spans="2:9">
      <c r="B464" s="292"/>
      <c r="C464" s="293"/>
      <c r="D464" s="294"/>
      <c r="E464" s="293"/>
      <c r="F464" s="303"/>
      <c r="G464" s="205"/>
      <c r="H464" s="295"/>
      <c r="I464" s="296"/>
    </row>
    <row r="465" spans="2:9">
      <c r="B465" s="292"/>
      <c r="C465" s="293"/>
      <c r="D465" s="294"/>
      <c r="E465" s="293"/>
      <c r="F465" s="303"/>
      <c r="G465" s="205"/>
      <c r="H465" s="295"/>
      <c r="I465" s="296"/>
    </row>
    <row r="466" spans="2:9">
      <c r="B466" s="292"/>
      <c r="C466" s="293"/>
      <c r="D466" s="294"/>
      <c r="E466" s="293"/>
      <c r="F466" s="303"/>
      <c r="G466" s="205"/>
      <c r="H466" s="295"/>
      <c r="I466" s="296"/>
    </row>
    <row r="467" spans="2:9">
      <c r="B467" s="292"/>
      <c r="C467" s="293"/>
      <c r="D467" s="294"/>
      <c r="E467" s="293"/>
      <c r="F467" s="303"/>
      <c r="G467" s="205"/>
      <c r="H467" s="295"/>
      <c r="I467" s="296"/>
    </row>
    <row r="468" spans="2:9">
      <c r="B468" s="292"/>
      <c r="C468" s="293"/>
      <c r="D468" s="294"/>
      <c r="E468" s="293"/>
      <c r="F468" s="303"/>
      <c r="G468" s="205"/>
      <c r="H468" s="295"/>
      <c r="I468" s="296"/>
    </row>
    <row r="469" spans="2:9">
      <c r="B469" s="292"/>
      <c r="C469" s="293"/>
      <c r="D469" s="294"/>
      <c r="E469" s="293"/>
      <c r="F469" s="303"/>
      <c r="G469" s="205"/>
      <c r="H469" s="295"/>
      <c r="I469" s="296"/>
    </row>
    <row r="470" spans="2:9">
      <c r="B470" s="292"/>
      <c r="C470" s="293"/>
      <c r="D470" s="294"/>
      <c r="E470" s="293"/>
      <c r="F470" s="303"/>
      <c r="G470" s="205"/>
      <c r="H470" s="295"/>
      <c r="I470" s="296"/>
    </row>
    <row r="471" spans="2:9">
      <c r="B471" s="292"/>
      <c r="C471" s="293"/>
      <c r="D471" s="294"/>
      <c r="E471" s="293"/>
      <c r="F471" s="303"/>
      <c r="G471" s="205"/>
      <c r="H471" s="295"/>
      <c r="I471" s="296"/>
    </row>
    <row r="472" spans="2:9">
      <c r="B472" s="292"/>
      <c r="C472" s="293"/>
      <c r="D472" s="294"/>
      <c r="E472" s="293"/>
      <c r="F472" s="303"/>
      <c r="G472" s="205"/>
      <c r="H472" s="295"/>
      <c r="I472" s="296"/>
    </row>
    <row r="473" spans="2:9">
      <c r="B473" s="292"/>
      <c r="C473" s="293"/>
      <c r="D473" s="294"/>
      <c r="E473" s="293"/>
      <c r="F473" s="303"/>
      <c r="G473" s="205"/>
      <c r="H473" s="295"/>
      <c r="I473" s="296"/>
    </row>
    <row r="474" spans="2:9">
      <c r="B474" s="292"/>
      <c r="C474" s="293"/>
      <c r="D474" s="294"/>
      <c r="E474" s="293"/>
      <c r="F474" s="303"/>
      <c r="G474" s="205"/>
      <c r="H474" s="295"/>
      <c r="I474" s="296"/>
    </row>
    <row r="475" spans="2:9">
      <c r="B475" s="292"/>
      <c r="C475" s="293"/>
      <c r="D475" s="294"/>
      <c r="E475" s="293"/>
      <c r="F475" s="303"/>
      <c r="G475" s="205"/>
      <c r="H475" s="295"/>
      <c r="I475" s="296"/>
    </row>
    <row r="476" spans="2:9">
      <c r="B476" s="292"/>
      <c r="C476" s="293"/>
      <c r="D476" s="294"/>
      <c r="E476" s="293"/>
      <c r="F476" s="303"/>
      <c r="G476" s="205"/>
      <c r="H476" s="295"/>
      <c r="I476" s="296"/>
    </row>
    <row r="477" spans="2:9">
      <c r="B477" s="292"/>
      <c r="C477" s="293"/>
      <c r="D477" s="294"/>
      <c r="E477" s="293"/>
      <c r="F477" s="303"/>
      <c r="G477" s="205"/>
      <c r="H477" s="295"/>
      <c r="I477" s="296"/>
    </row>
    <row r="478" spans="2:9">
      <c r="B478" s="292"/>
      <c r="C478" s="293"/>
      <c r="D478" s="294"/>
      <c r="E478" s="293"/>
      <c r="F478" s="303"/>
      <c r="G478" s="205"/>
      <c r="H478" s="295"/>
      <c r="I478" s="296"/>
    </row>
    <row r="479" spans="2:9">
      <c r="B479" s="292"/>
      <c r="C479" s="293"/>
      <c r="D479" s="294"/>
      <c r="E479" s="293"/>
      <c r="F479" s="303"/>
      <c r="G479" s="205"/>
      <c r="H479" s="295"/>
      <c r="I479" s="296"/>
    </row>
    <row r="480" spans="2:9">
      <c r="B480" s="292"/>
      <c r="C480" s="293"/>
      <c r="D480" s="294"/>
      <c r="E480" s="293"/>
      <c r="F480" s="303"/>
      <c r="G480" s="205"/>
      <c r="H480" s="295"/>
      <c r="I480" s="296"/>
    </row>
    <row r="481" spans="2:9">
      <c r="B481" s="292"/>
      <c r="C481" s="293"/>
      <c r="D481" s="294"/>
      <c r="E481" s="293"/>
      <c r="F481" s="303"/>
      <c r="G481" s="205"/>
      <c r="H481" s="295"/>
      <c r="I481" s="296"/>
    </row>
    <row r="482" spans="2:9">
      <c r="B482" s="292"/>
      <c r="C482" s="293"/>
      <c r="D482" s="294"/>
      <c r="E482" s="293"/>
      <c r="F482" s="303"/>
      <c r="G482" s="205"/>
      <c r="H482" s="295"/>
      <c r="I482" s="296"/>
    </row>
    <row r="483" spans="2:9">
      <c r="B483" s="292"/>
      <c r="C483" s="293"/>
      <c r="D483" s="294"/>
      <c r="E483" s="293"/>
      <c r="F483" s="303"/>
      <c r="G483" s="205"/>
      <c r="H483" s="295"/>
      <c r="I483" s="296"/>
    </row>
    <row r="484" spans="2:9">
      <c r="B484" s="292"/>
      <c r="C484" s="293"/>
      <c r="D484" s="294"/>
      <c r="E484" s="293"/>
      <c r="F484" s="303"/>
      <c r="G484" s="205"/>
      <c r="H484" s="295"/>
      <c r="I484" s="296"/>
    </row>
    <row r="485" spans="2:9">
      <c r="B485" s="292"/>
      <c r="C485" s="293"/>
      <c r="D485" s="294"/>
      <c r="E485" s="293"/>
      <c r="F485" s="303"/>
      <c r="G485" s="205"/>
      <c r="H485" s="295"/>
      <c r="I485" s="296"/>
    </row>
    <row r="486" spans="2:9">
      <c r="B486" s="292"/>
      <c r="C486" s="293"/>
      <c r="D486" s="294"/>
      <c r="E486" s="293"/>
      <c r="F486" s="303"/>
      <c r="G486" s="205"/>
      <c r="H486" s="295"/>
      <c r="I486" s="296"/>
    </row>
    <row r="487" spans="2:9">
      <c r="B487" s="292"/>
      <c r="C487" s="293"/>
      <c r="D487" s="294"/>
      <c r="E487" s="293"/>
      <c r="F487" s="303"/>
      <c r="G487" s="205"/>
      <c r="H487" s="295"/>
      <c r="I487" s="296"/>
    </row>
    <row r="488" spans="2:9">
      <c r="B488" s="292"/>
      <c r="C488" s="293"/>
      <c r="D488" s="294"/>
      <c r="E488" s="293"/>
      <c r="F488" s="303"/>
      <c r="G488" s="205"/>
      <c r="H488" s="295"/>
      <c r="I488" s="29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I26" sqref="I26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Agosto 2021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4" t="s">
        <v>63</v>
      </c>
      <c r="D7" s="12"/>
      <c r="E7" s="13"/>
      <c r="F7" s="325" t="str">
        <f>K3</f>
        <v>Agosto 2021</v>
      </c>
      <c r="G7" s="326"/>
      <c r="H7" s="327" t="s">
        <v>64</v>
      </c>
      <c r="I7" s="327"/>
      <c r="J7" s="327" t="s">
        <v>71</v>
      </c>
      <c r="K7" s="327"/>
      <c r="L7" s="9"/>
    </row>
    <row r="8" spans="1:19" ht="12.75" customHeight="1">
      <c r="A8" s="7"/>
      <c r="B8" s="8"/>
      <c r="C8" s="324"/>
      <c r="D8" s="12"/>
      <c r="E8" s="14"/>
      <c r="F8" s="15" t="s">
        <v>0</v>
      </c>
      <c r="G8" s="25" t="str">
        <f>CONCATENATE("% ",MID(YEAR(F7),3,2),"/",MID(YEAR(F7)-1,3,2))</f>
        <v>% 21/20</v>
      </c>
      <c r="H8" s="15" t="s">
        <v>0</v>
      </c>
      <c r="I8" s="25" t="str">
        <f>G8</f>
        <v>% 21/20</v>
      </c>
      <c r="J8" s="15" t="s">
        <v>0</v>
      </c>
      <c r="K8" s="25" t="str">
        <f>G8</f>
        <v>% 21/20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1879.8039341619999</v>
      </c>
      <c r="G9" s="92">
        <f>VLOOKUP("Hidráulica",Dat_01!$A$8:$J$29,4,FALSE)*100</f>
        <v>-0.32873702999999999</v>
      </c>
      <c r="H9" s="91">
        <f>VLOOKUP("Hidráulica",Dat_01!$A$8:$J$29,5,FALSE)/1000</f>
        <v>23445.34225419</v>
      </c>
      <c r="I9" s="92">
        <f>VLOOKUP("Hidráulica",Dat_01!$A$8:$J$29,7,FALSE)*100</f>
        <v>9.6172230400000007</v>
      </c>
      <c r="J9" s="91">
        <f>VLOOKUP("Hidráulica",Dat_01!$A$8:$J$29,8,FALSE)/1000</f>
        <v>32667.740358348001</v>
      </c>
      <c r="K9" s="92">
        <f>VLOOKUP("Hidráulica",Dat_01!$A$8:$J$29,10,FALSE)*100</f>
        <v>5.2530529599999998</v>
      </c>
      <c r="L9" s="19"/>
      <c r="M9" s="184"/>
      <c r="N9" s="184"/>
      <c r="O9" s="185"/>
      <c r="P9" s="184"/>
      <c r="Q9" s="185"/>
      <c r="R9" s="184"/>
      <c r="S9" s="185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3597.1086889999997</v>
      </c>
      <c r="G10" s="92">
        <f>VLOOKUP("Eólica",Dat_01!$A$8:$J$29,4,FALSE)*100</f>
        <v>2.5269598699999998</v>
      </c>
      <c r="H10" s="91">
        <f>VLOOKUP("Eólica",Dat_01!$A$8:$J$29,5,FALSE)/1000</f>
        <v>38689.329020999998</v>
      </c>
      <c r="I10" s="92">
        <f>VLOOKUP("Eólica",Dat_01!$A$8:$J$29,7,FALSE)*100</f>
        <v>18.567834489999999</v>
      </c>
      <c r="J10" s="91">
        <f>VLOOKUP("Eólica",Dat_01!$A$8:$J$29,8,FALSE)/1000</f>
        <v>59854.103826999999</v>
      </c>
      <c r="K10" s="92">
        <f>VLOOKUP("Eólica",Dat_01!$A$8:$J$29,10,FALSE)*100</f>
        <v>13.175389300000001</v>
      </c>
      <c r="L10" s="19"/>
      <c r="M10" s="184"/>
      <c r="N10" s="184"/>
      <c r="O10" s="185"/>
      <c r="P10" s="184"/>
      <c r="Q10" s="185"/>
      <c r="R10" s="184"/>
      <c r="S10" s="185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2330.2383330000002</v>
      </c>
      <c r="G11" s="92">
        <f>VLOOKUP("Solar fotovoltaica",Dat_01!$A$8:$J$29,4,FALSE)*100</f>
        <v>31.025326110000002</v>
      </c>
      <c r="H11" s="91">
        <f>VLOOKUP("Solar fotovoltaica",Dat_01!$A$8:$J$29,5,FALSE)/1000</f>
        <v>14436.519084000001</v>
      </c>
      <c r="I11" s="92">
        <f>VLOOKUP("Solar fotovoltaica",Dat_01!$A$8:$J$29,7,FALSE)*100</f>
        <v>34.993965340000003</v>
      </c>
      <c r="J11" s="91">
        <f>VLOOKUP("Solar fotovoltaica",Dat_01!$A$8:$J$29,8,FALSE)/1000</f>
        <v>18654.722425</v>
      </c>
      <c r="K11" s="92">
        <f>VLOOKUP("Solar fotovoltaica",Dat_01!$A$8:$J$29,10,FALSE)*100</f>
        <v>40.443207730000005</v>
      </c>
      <c r="L11" s="19"/>
      <c r="M11" s="184"/>
      <c r="N11" s="184"/>
      <c r="O11" s="185"/>
      <c r="P11" s="184"/>
      <c r="Q11" s="185"/>
      <c r="R11" s="184"/>
      <c r="S11" s="185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661.321641</v>
      </c>
      <c r="G12" s="92">
        <f>VLOOKUP("Solar térmica",Dat_01!$A$8:$J$29,4,FALSE)*100</f>
        <v>-11.17734901</v>
      </c>
      <c r="H12" s="91">
        <f>VLOOKUP("Solar térmica",Dat_01!$A$8:$J$29,5,FALSE)/1000</f>
        <v>3653.4351919999999</v>
      </c>
      <c r="I12" s="92">
        <f>VLOOKUP("Solar térmica",Dat_01!$A$8:$J$29,7,FALSE)*100</f>
        <v>2.5784235799999999</v>
      </c>
      <c r="J12" s="91">
        <f>VLOOKUP("Solar térmica",Dat_01!$A$8:$J$29,8,FALSE)/1000</f>
        <v>4630.1433159999997</v>
      </c>
      <c r="K12" s="92">
        <f>VLOOKUP("Solar térmica",Dat_01!$A$8:$J$29,10,FALSE)*100</f>
        <v>3.8528763100000001</v>
      </c>
      <c r="L12" s="19"/>
      <c r="M12" s="184"/>
      <c r="N12" s="184"/>
      <c r="O12" s="185"/>
      <c r="P12" s="184"/>
      <c r="Q12" s="185"/>
      <c r="R12" s="184"/>
      <c r="S12" s="185"/>
    </row>
    <row r="13" spans="1:19">
      <c r="A13" s="7"/>
      <c r="B13" s="8"/>
      <c r="C13" s="20"/>
      <c r="D13" s="12"/>
      <c r="E13" s="90" t="s">
        <v>153</v>
      </c>
      <c r="F13" s="91">
        <f>VLOOKUP("Otras renovables",Dat_01!$A$8:$J$29,2,FALSE)/1000</f>
        <v>409.60947299999998</v>
      </c>
      <c r="G13" s="92">
        <f>VLOOKUP("Otras renovables",Dat_01!$A$8:$J$29,4,FALSE)*100</f>
        <v>11.349247739999999</v>
      </c>
      <c r="H13" s="91">
        <f>VLOOKUP("Otras renovables",Dat_01!$A$8:$J$29,5,FALSE)/1000</f>
        <v>3011.8693450000001</v>
      </c>
      <c r="I13" s="92">
        <f>VLOOKUP("Otras renovables",Dat_01!$A$8:$J$29,7,FALSE)*100</f>
        <v>5.8396038900000002</v>
      </c>
      <c r="J13" s="91">
        <f>VLOOKUP("Otras renovables",Dat_01!$A$8:$J$29,8,FALSE)/1000</f>
        <v>4636.4668380000003</v>
      </c>
      <c r="K13" s="92">
        <f>VLOOKUP("Otras renovables",Dat_01!$A$8:$J$29,10,FALSE)*100</f>
        <v>14.022445400000001</v>
      </c>
      <c r="L13" s="19"/>
      <c r="M13" s="184"/>
      <c r="N13" s="184"/>
      <c r="O13" s="185"/>
      <c r="P13" s="184"/>
      <c r="Q13" s="185"/>
      <c r="R13" s="184"/>
      <c r="S13" s="185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67.949683999999991</v>
      </c>
      <c r="G14" s="92">
        <f>VLOOKUP("Residuos renovables",Dat_01!$A$8:$J$29,4,FALSE)*100</f>
        <v>2.8961961299999999</v>
      </c>
      <c r="H14" s="91">
        <f>VLOOKUP("Residuos renovables",Dat_01!$A$8:$J$29,5,FALSE)/1000</f>
        <v>494.6755895</v>
      </c>
      <c r="I14" s="92">
        <f>VLOOKUP("Residuos renovables",Dat_01!$A$8:$J$29,7,FALSE)*100</f>
        <v>41.981399930000002</v>
      </c>
      <c r="J14" s="91">
        <f>VLOOKUP("Residuos renovables",Dat_01!$A$8:$J$29,8,FALSE)/1000</f>
        <v>752.391662</v>
      </c>
      <c r="K14" s="92">
        <f>VLOOKUP("Residuos renovables",Dat_01!$A$8:$J$29,10,FALSE)*100</f>
        <v>25.483045989999997</v>
      </c>
      <c r="L14" s="19"/>
      <c r="M14" s="184"/>
      <c r="N14" s="184"/>
      <c r="O14" s="185"/>
      <c r="P14" s="184"/>
      <c r="Q14" s="185"/>
      <c r="R14" s="184"/>
      <c r="S14" s="185"/>
    </row>
    <row r="15" spans="1:19" ht="12.75" customHeight="1">
      <c r="A15" s="7"/>
      <c r="B15" s="8"/>
      <c r="C15" s="11"/>
      <c r="D15" s="12"/>
      <c r="E15" s="93" t="s">
        <v>151</v>
      </c>
      <c r="F15" s="94">
        <f>SUM(F9:F14)</f>
        <v>8946.0317541619988</v>
      </c>
      <c r="G15" s="95">
        <f>((SUM(Dat_01!B8,Dat_01!B14:B17,Dat_01!B19)/SUM(Dat_01!C8,Dat_01!C14:C17,Dat_01!C19))-1)*100</f>
        <v>7.1206780257294877</v>
      </c>
      <c r="H15" s="94">
        <f>SUM(H9:H14)</f>
        <v>83731.170485690003</v>
      </c>
      <c r="I15" s="95">
        <f>((SUM(Dat_01!E8,Dat_01!E14:E17,Dat_01!E19)/SUM(Dat_01!F8,Dat_01!F14:F17,Dat_01!F19))-1)*100</f>
        <v>17.15762752915515</v>
      </c>
      <c r="J15" s="94">
        <f>SUM(J9:J14)</f>
        <v>121195.56842634799</v>
      </c>
      <c r="K15" s="95">
        <f>((SUM(Dat_01!H8,Dat_01!H14:H17,Dat_01!H19)/SUM(Dat_01!I8,Dat_01!I14:I17,Dat_01!I19))-1)*100</f>
        <v>13.980090557602519</v>
      </c>
      <c r="L15" s="19"/>
      <c r="M15" s="184"/>
      <c r="N15" s="184"/>
      <c r="O15" s="185"/>
      <c r="P15" s="184"/>
      <c r="Q15" s="185"/>
      <c r="R15" s="184"/>
      <c r="S15" s="185"/>
    </row>
    <row r="16" spans="1:19">
      <c r="A16" s="7"/>
      <c r="B16" s="8"/>
      <c r="C16" s="11"/>
      <c r="D16" s="12"/>
      <c r="E16" s="90" t="s">
        <v>155</v>
      </c>
      <c r="F16" s="91">
        <f>VLOOKUP("Turbinación bombeo",Dat_01!$A$8:$J$29,2,FALSE)/1000</f>
        <v>159.086738274</v>
      </c>
      <c r="G16" s="92">
        <f>VLOOKUP("Turbinación bombeo",Dat_01!$A$8:$J$29,4,FALSE)*100</f>
        <v>0.14580397</v>
      </c>
      <c r="H16" s="91">
        <f>VLOOKUP("Turbinación bombeo",Dat_01!$A$8:$J$29,5,FALSE)/1000</f>
        <v>1825.5815463260001</v>
      </c>
      <c r="I16" s="92">
        <f>VLOOKUP("Turbinación bombeo",Dat_01!$A$8:$J$29,7,FALSE)*100</f>
        <v>1.2219800300000001</v>
      </c>
      <c r="J16" s="91">
        <f>VLOOKUP("Turbinación bombeo",Dat_01!$A$8:$J$29,8,FALSE)/1000</f>
        <v>2770.1396488239998</v>
      </c>
      <c r="K16" s="92">
        <f>VLOOKUP("Turbinación bombeo",Dat_01!$A$8:$J$29,10,FALSE)*100</f>
        <v>10.0184204</v>
      </c>
      <c r="L16" s="19"/>
      <c r="M16" s="184"/>
      <c r="N16" s="184"/>
      <c r="O16" s="185"/>
      <c r="P16" s="184"/>
      <c r="Q16" s="185"/>
      <c r="R16" s="184"/>
      <c r="S16" s="185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5150.2640140000003</v>
      </c>
      <c r="G17" s="92">
        <f>VLOOKUP("Nuclear",Dat_01!$A$8:$J$29,4,FALSE)*100</f>
        <v>-3.209306E-2</v>
      </c>
      <c r="H17" s="91">
        <f>VLOOKUP("Nuclear",Dat_01!$A$8:$J$29,5,FALSE)/1000</f>
        <v>36916.019744999998</v>
      </c>
      <c r="I17" s="92">
        <f>VLOOKUP("Nuclear",Dat_01!$A$8:$J$29,7,FALSE)*100</f>
        <v>1.2878137199999999</v>
      </c>
      <c r="J17" s="91">
        <f>VLOOKUP("Nuclear",Dat_01!$A$8:$J$29,8,FALSE)/1000</f>
        <v>56226.139929999998</v>
      </c>
      <c r="K17" s="92">
        <f>VLOOKUP("Nuclear",Dat_01!$A$8:$J$29,10,FALSE)*100</f>
        <v>4.6062926700000002</v>
      </c>
      <c r="L17" s="19"/>
      <c r="M17" s="184"/>
      <c r="N17" s="184"/>
      <c r="O17" s="185"/>
      <c r="P17" s="184"/>
      <c r="Q17" s="185"/>
      <c r="R17" s="184"/>
      <c r="S17" s="185"/>
    </row>
    <row r="18" spans="1:19">
      <c r="A18" s="7"/>
      <c r="B18" s="8"/>
      <c r="C18" s="11"/>
      <c r="D18" s="12"/>
      <c r="E18" s="90" t="s">
        <v>157</v>
      </c>
      <c r="F18" s="91">
        <f>VLOOKUP("Ciclo combinado",Dat_01!$A$8:$J$29,2,FALSE)/1000</f>
        <v>3325.1988149999997</v>
      </c>
      <c r="G18" s="92">
        <f>VLOOKUP("Ciclo combinado",Dat_01!$A$8:$J$29,4,FALSE)*100</f>
        <v>-34.169808250000003</v>
      </c>
      <c r="H18" s="91">
        <f>VLOOKUP("Ciclo combinado",Dat_01!$A$8:$J$29,5,FALSE)/1000</f>
        <v>19281.537967</v>
      </c>
      <c r="I18" s="92">
        <f>VLOOKUP("Ciclo combinado",Dat_01!$A$8:$J$29,7,FALSE)*100</f>
        <v>-23.585720649999999</v>
      </c>
      <c r="J18" s="91">
        <f>VLOOKUP("Ciclo combinado",Dat_01!$A$8:$J$29,8,FALSE)/1000</f>
        <v>32405.192096999999</v>
      </c>
      <c r="K18" s="92">
        <f>VLOOKUP("Ciclo combinado",Dat_01!$A$8:$J$29,10,FALSE)*100</f>
        <v>-24.465148469999999</v>
      </c>
      <c r="L18" s="19"/>
      <c r="M18" s="184"/>
      <c r="N18" s="184"/>
      <c r="O18" s="185"/>
      <c r="P18" s="184"/>
      <c r="Q18" s="185"/>
      <c r="R18" s="184"/>
      <c r="S18" s="185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320.34443199999998</v>
      </c>
      <c r="G19" s="92">
        <f>VLOOKUP("Carbón",Dat_01!$A$8:$J$29,4,FALSE)*100</f>
        <v>-5.3212568500000001</v>
      </c>
      <c r="H19" s="91">
        <f>VLOOKUP("Carbón",Dat_01!$A$8:$J$29,5,FALSE)/1000</f>
        <v>2637.6855599999999</v>
      </c>
      <c r="I19" s="92">
        <f>VLOOKUP("Carbón",Dat_01!$A$8:$J$29,7,FALSE)*100</f>
        <v>-29.171274749999998</v>
      </c>
      <c r="J19" s="91">
        <f>VLOOKUP("Carbón",Dat_01!$A$8:$J$29,8,FALSE)/1000</f>
        <v>3713.7076320000001</v>
      </c>
      <c r="K19" s="92">
        <f>VLOOKUP("Carbón",Dat_01!$A$8:$J$29,10,FALSE)*100</f>
        <v>-35.579156789999999</v>
      </c>
      <c r="L19" s="19"/>
      <c r="M19" s="184"/>
      <c r="N19" s="184"/>
      <c r="O19" s="185"/>
      <c r="P19" s="184"/>
      <c r="Q19" s="185"/>
      <c r="R19" s="184"/>
      <c r="S19" s="185"/>
    </row>
    <row r="20" spans="1:19">
      <c r="A20" s="7"/>
      <c r="B20" s="8"/>
      <c r="C20" s="163">
        <f>ABS(F14)</f>
        <v>67.949683999999991</v>
      </c>
      <c r="D20" s="12"/>
      <c r="E20" s="90" t="s">
        <v>9</v>
      </c>
      <c r="F20" s="91">
        <f>VLOOKUP("Cogeneración",Dat_01!$A$8:$J$29,2,FALSE)/1000</f>
        <v>2097.6266230000001</v>
      </c>
      <c r="G20" s="92">
        <f>VLOOKUP("Cogeneración",Dat_01!$A$8:$J$29,4,FALSE)*100</f>
        <v>-4.2881595799999994</v>
      </c>
      <c r="H20" s="91">
        <f>VLOOKUP("Cogeneración",Dat_01!$A$8:$J$29,5,FALSE)/1000</f>
        <v>17367.749490999999</v>
      </c>
      <c r="I20" s="92">
        <f>VLOOKUP("Cogeneración",Dat_01!$A$8:$J$29,7,FALSE)*100</f>
        <v>-1.27441136</v>
      </c>
      <c r="J20" s="91">
        <f>VLOOKUP("Cogeneración",Dat_01!$A$8:$J$29,8,FALSE)/1000</f>
        <v>26750.242979999999</v>
      </c>
      <c r="K20" s="92">
        <f>VLOOKUP("Cogeneración",Dat_01!$A$8:$J$29,10,FALSE)*100</f>
        <v>-1.83483935</v>
      </c>
      <c r="L20" s="19"/>
      <c r="M20" s="184"/>
      <c r="N20" s="184"/>
      <c r="O20" s="185"/>
      <c r="P20" s="184"/>
      <c r="Q20" s="185"/>
      <c r="R20" s="184"/>
      <c r="S20" s="185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198.40012299999998</v>
      </c>
      <c r="G21" s="92">
        <f>VLOOKUP("Residuos no renovables",Dat_01!$A$8:$J$29,4,FALSE)*100</f>
        <v>10.8608729</v>
      </c>
      <c r="H21" s="91">
        <f>VLOOKUP("Residuos no renovables",Dat_01!$A$8:$J$29,5,FALSE)/1000</f>
        <v>1420.1313145000001</v>
      </c>
      <c r="I21" s="92">
        <f>VLOOKUP("Residuos no renovables",Dat_01!$A$8:$J$29,7,FALSE)*100</f>
        <v>17.918954920000001</v>
      </c>
      <c r="J21" s="91">
        <f>VLOOKUP("Residuos no renovables",Dat_01!$A$8:$J$29,8,FALSE)/1000</f>
        <v>2111.5922009999999</v>
      </c>
      <c r="K21" s="92">
        <f>VLOOKUP("Residuos no renovables",Dat_01!$A$8:$J$29,10,FALSE)*100</f>
        <v>13.08449411</v>
      </c>
      <c r="L21" s="19"/>
      <c r="M21" s="184"/>
      <c r="N21" s="184"/>
      <c r="O21" s="185"/>
      <c r="P21" s="184"/>
      <c r="Q21" s="185"/>
      <c r="R21" s="184"/>
      <c r="S21" s="185"/>
    </row>
    <row r="22" spans="1:19">
      <c r="A22" s="7"/>
      <c r="B22" s="8"/>
      <c r="C22" s="11"/>
      <c r="D22" s="12"/>
      <c r="E22" s="93" t="s">
        <v>152</v>
      </c>
      <c r="F22" s="94">
        <f>SUM(F16:F21)</f>
        <v>11250.920745273999</v>
      </c>
      <c r="G22" s="95">
        <f>((SUM(Dat_01!B9:B13,Dat_01!B18,Dat_01!B20)/SUM(Dat_01!C9:C13,Dat_01!C18,Dat_01!C20))-1)*100</f>
        <v>-13.923682270458704</v>
      </c>
      <c r="H22" s="94">
        <f>SUM(H16:H21)</f>
        <v>79448.705623825997</v>
      </c>
      <c r="I22" s="95">
        <f>((SUM(Dat_01!E9:E13,Dat_01!E18,Dat_01!E20)/SUM(Dat_01!F9:F13,Dat_01!F18,Dat_01!F20))-1)*100</f>
        <v>-7.6214379730201509</v>
      </c>
      <c r="J22" s="94">
        <f>SUM(J16:J21)</f>
        <v>123977.014488824</v>
      </c>
      <c r="K22" s="95">
        <f>((SUM(Dat_01!H9:H13,Dat_01!H18,Dat_01!H20)/SUM(Dat_01!I9:I13,Dat_01!I18,Dat_01!I20))-1)*100</f>
        <v>-7.5153055253624812</v>
      </c>
      <c r="L22" s="19"/>
      <c r="M22" s="184"/>
      <c r="N22" s="184"/>
      <c r="O22" s="185"/>
      <c r="P22" s="184"/>
      <c r="Q22" s="185"/>
      <c r="R22" s="184"/>
      <c r="S22" s="185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-216.75099700000001</v>
      </c>
      <c r="G23" s="92">
        <f>VLOOKUP("Consumo de bombeo",Dat_01!$A$8:$J$29,4,FALSE)*100</f>
        <v>-16.403008829999997</v>
      </c>
      <c r="H23" s="91">
        <f>VLOOKUP("Consumo de bombeo",Dat_01!$A$8:$J$29,5,FALSE)/1000</f>
        <v>-3124.1904188379999</v>
      </c>
      <c r="I23" s="92">
        <f>VLOOKUP("Consumo de bombeo",Dat_01!$A$8:$J$29,7,FALSE)*100</f>
        <v>-2.8189608000000002</v>
      </c>
      <c r="J23" s="91">
        <f>VLOOKUP("Consumo de bombeo",Dat_01!$A$8:$J$29,8,FALSE)/1000</f>
        <v>-4530.7039558859997</v>
      </c>
      <c r="K23" s="92">
        <f>VLOOKUP("Consumo de bombeo",Dat_01!$A$8:$J$29,10,FALSE)*100</f>
        <v>-2.28941295</v>
      </c>
      <c r="L23" s="19"/>
      <c r="M23" s="184"/>
      <c r="N23" s="184"/>
      <c r="O23" s="185"/>
      <c r="P23" s="184"/>
      <c r="Q23" s="185"/>
      <c r="R23" s="184"/>
      <c r="S23" s="185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-40.107311000000003</v>
      </c>
      <c r="G24" s="92">
        <f>VLOOKUP("Enlace Península-Baleares",Dat_01!$A$8:$J$29,4,FALSE)*100</f>
        <v>-78.049365749999993</v>
      </c>
      <c r="H24" s="91">
        <f>VLOOKUP("Enlace Península-Baleares",Dat_01!$A$8:$J$29,5,FALSE)/1000</f>
        <v>-753.68750399999999</v>
      </c>
      <c r="I24" s="92">
        <f>VLOOKUP("Enlace Península-Baleares",Dat_01!$A$8:$J$29,7,FALSE)*100</f>
        <v>-22.278610629999999</v>
      </c>
      <c r="J24" s="91">
        <f>VLOOKUP("Enlace Península-Baleares",Dat_01!$A$8:$J$29,8,FALSE)/1000</f>
        <v>-1210.4951899999999</v>
      </c>
      <c r="K24" s="92">
        <f>VLOOKUP("Enlace Península-Baleares",Dat_01!$A$8:$J$29,10,FALSE)*100</f>
        <v>-17.743131630000001</v>
      </c>
      <c r="L24" s="19"/>
      <c r="M24" s="184"/>
      <c r="N24" s="184"/>
      <c r="O24" s="185"/>
      <c r="P24" s="184"/>
      <c r="Q24" s="185"/>
      <c r="R24" s="184"/>
      <c r="S24" s="185"/>
    </row>
    <row r="25" spans="1:19" ht="12.75" customHeight="1">
      <c r="E25" s="96" t="s">
        <v>76</v>
      </c>
      <c r="F25" s="97">
        <f>VLOOKUP("Saldos intercambios internacionales",Dat_01!$A$8:$J$29,2,FALSE)/1000</f>
        <v>661.43739399999993</v>
      </c>
      <c r="G25" s="95" t="s">
        <v>18</v>
      </c>
      <c r="H25" s="97">
        <f>VLOOKUP("Saldos intercambios internacionales",Dat_01!$A$8:$J$29,5,FALSE)/1000</f>
        <v>3074.5939579999999</v>
      </c>
      <c r="I25" s="98">
        <f>VLOOKUP("Saldos intercambios internacionales",Dat_01!$A$8:$J$29,7,FALSE)*100</f>
        <v>-12.315570839999999</v>
      </c>
      <c r="J25" s="97">
        <f>VLOOKUP("Saldos intercambios internacionales",Dat_01!$A$8:$J$29,8,FALSE)/1000</f>
        <v>2847.7478999999998</v>
      </c>
      <c r="K25" s="98">
        <f>VLOOKUP("Saldos intercambios internacionales",Dat_01!$A$8:$J$29,10,FALSE)*100</f>
        <v>-34.334519749999998</v>
      </c>
      <c r="L25" s="19"/>
      <c r="M25" s="184"/>
      <c r="N25" s="184"/>
      <c r="O25" s="185"/>
      <c r="P25" s="184"/>
      <c r="Q25" s="185"/>
      <c r="R25" s="184"/>
      <c r="S25" s="185"/>
    </row>
    <row r="26" spans="1:19" ht="16.149999999999999" customHeight="1">
      <c r="E26" s="99" t="s">
        <v>13</v>
      </c>
      <c r="F26" s="100">
        <f>VLOOKUP("Demanda transporte (b.c.)",Dat_01!$A$8:$J$29,2,FALSE)/1000</f>
        <v>20601.531585436001</v>
      </c>
      <c r="G26" s="101">
        <f>VLOOKUP("Demanda transporte (b.c.)",Dat_01!$A$8:$J$29,4,FALSE)*100</f>
        <v>-0.67032213000000007</v>
      </c>
      <c r="H26" s="100">
        <f>VLOOKUP("Demanda transporte (b.c.)",Dat_01!$A$8:$J$29,5,FALSE)/1000</f>
        <v>162376.59214367802</v>
      </c>
      <c r="I26" s="101">
        <f>VLOOKUP("Demanda transporte (b.c.)",Dat_01!$A$8:$J$29,7,FALSE)*100</f>
        <v>3.5603935799999999</v>
      </c>
      <c r="J26" s="100">
        <f>VLOOKUP("Demanda transporte (b.c.)",Dat_01!$A$8:$J$29,8,FALSE)/1000</f>
        <v>242279.13166828599</v>
      </c>
      <c r="K26" s="101">
        <f>VLOOKUP("Demanda transporte (b.c.)",Dat_01!$A$8:$J$29,10,FALSE)*100</f>
        <v>1.5376497200000001</v>
      </c>
      <c r="L26" s="19"/>
    </row>
    <row r="27" spans="1:19" ht="16.350000000000001" customHeight="1">
      <c r="E27" s="320" t="s">
        <v>83</v>
      </c>
      <c r="F27" s="321"/>
      <c r="G27" s="321"/>
      <c r="H27" s="321"/>
      <c r="I27" s="321"/>
      <c r="J27" s="321"/>
      <c r="K27" s="321"/>
      <c r="L27" s="16"/>
      <c r="M27" s="318"/>
      <c r="N27" s="318"/>
      <c r="O27" s="318"/>
      <c r="P27" s="318"/>
      <c r="Q27" s="318"/>
      <c r="R27" s="318"/>
      <c r="S27" s="318"/>
    </row>
    <row r="28" spans="1:19" ht="34.5" customHeight="1">
      <c r="E28" s="322" t="s">
        <v>188</v>
      </c>
      <c r="F28" s="323"/>
      <c r="G28" s="323"/>
      <c r="H28" s="323"/>
      <c r="I28" s="323"/>
      <c r="J28" s="323"/>
      <c r="K28" s="323"/>
      <c r="L28" s="16"/>
      <c r="M28" s="302"/>
      <c r="N28" s="302"/>
      <c r="O28" s="302"/>
      <c r="P28" s="302"/>
      <c r="Q28" s="302"/>
      <c r="R28" s="302"/>
      <c r="S28" s="302"/>
    </row>
    <row r="29" spans="1:19" ht="12.75" customHeight="1">
      <c r="E29" s="318" t="s">
        <v>54</v>
      </c>
      <c r="F29" s="318"/>
      <c r="G29" s="318"/>
      <c r="H29" s="318"/>
      <c r="I29" s="318"/>
      <c r="J29" s="318"/>
      <c r="K29" s="318"/>
      <c r="L29" s="16"/>
    </row>
    <row r="30" spans="1:19" ht="12.75" customHeight="1">
      <c r="E30" s="318" t="s">
        <v>72</v>
      </c>
      <c r="F30" s="318"/>
      <c r="G30" s="318"/>
      <c r="H30" s="318"/>
      <c r="I30" s="318"/>
      <c r="J30" s="318"/>
      <c r="K30" s="318"/>
      <c r="L30" s="16"/>
    </row>
    <row r="31" spans="1:19" ht="12.75" customHeight="1">
      <c r="E31" s="318" t="s">
        <v>154</v>
      </c>
      <c r="F31" s="318"/>
      <c r="G31" s="318"/>
      <c r="H31" s="318"/>
      <c r="I31" s="318"/>
      <c r="J31" s="318"/>
      <c r="K31" s="318"/>
      <c r="L31" s="16"/>
    </row>
    <row r="32" spans="1:19" ht="12.75" customHeight="1">
      <c r="E32" s="319" t="s">
        <v>156</v>
      </c>
      <c r="F32" s="319"/>
      <c r="G32" s="319"/>
      <c r="H32" s="319"/>
      <c r="I32" s="319"/>
      <c r="J32" s="319"/>
      <c r="K32" s="319"/>
      <c r="L32" s="16"/>
    </row>
    <row r="33" spans="5:12" ht="12.75" customHeight="1">
      <c r="E33" s="318" t="s">
        <v>158</v>
      </c>
      <c r="F33" s="318"/>
      <c r="G33" s="318"/>
      <c r="H33" s="318"/>
      <c r="I33" s="318"/>
      <c r="J33" s="318"/>
      <c r="K33" s="318"/>
      <c r="L33" s="16"/>
    </row>
    <row r="34" spans="5:12" ht="15" customHeight="1">
      <c r="E34" s="319" t="s">
        <v>74</v>
      </c>
      <c r="F34" s="319"/>
      <c r="G34" s="319"/>
      <c r="H34" s="319"/>
      <c r="I34" s="319"/>
      <c r="J34" s="319"/>
      <c r="K34" s="319"/>
    </row>
    <row r="35" spans="5:12" ht="24" customHeight="1">
      <c r="E35" s="319" t="s">
        <v>79</v>
      </c>
      <c r="F35" s="319"/>
      <c r="G35" s="319"/>
      <c r="H35" s="319"/>
      <c r="I35" s="319"/>
      <c r="J35" s="319"/>
      <c r="K35" s="319"/>
    </row>
    <row r="36" spans="5:12">
      <c r="F36" s="276"/>
      <c r="G36" s="276"/>
      <c r="H36" s="276"/>
      <c r="I36" s="276"/>
      <c r="J36" s="276"/>
      <c r="K36" s="276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H31" sqref="H3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Agosto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8" t="s">
        <v>58</v>
      </c>
      <c r="D7" s="32"/>
      <c r="E7" s="39"/>
    </row>
    <row r="8" spans="2:7" s="29" customFormat="1" ht="12.75" customHeight="1">
      <c r="B8" s="28"/>
      <c r="C8" s="328"/>
      <c r="D8" s="32"/>
      <c r="E8" s="39"/>
      <c r="F8" s="33"/>
    </row>
    <row r="9" spans="2:7" s="29" customFormat="1" ht="12.75" customHeight="1">
      <c r="B9" s="28"/>
      <c r="C9" s="288"/>
      <c r="D9" s="32"/>
      <c r="E9" s="39"/>
      <c r="F9" s="261"/>
      <c r="G9" s="262"/>
    </row>
    <row r="10" spans="2:7" s="29" customFormat="1" ht="12.75" customHeight="1">
      <c r="B10" s="28"/>
      <c r="C10" s="130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8" t="s">
        <v>60</v>
      </c>
      <c r="E23" s="41"/>
    </row>
    <row r="24" spans="2:6" ht="12.75" customHeight="1">
      <c r="C24" s="328"/>
      <c r="E24" s="37"/>
    </row>
    <row r="25" spans="2:6" ht="12.75" customHeight="1">
      <c r="C25" s="328"/>
      <c r="E25" s="38"/>
    </row>
    <row r="26" spans="2:6" ht="12.75" customHeight="1">
      <c r="C26" s="130"/>
    </row>
    <row r="27" spans="2:6">
      <c r="C27" s="130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G26" sqref="G26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Agosto 2021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9" t="s">
        <v>73</v>
      </c>
      <c r="D7" s="32"/>
      <c r="E7" s="39"/>
      <c r="F7" s="32"/>
    </row>
    <row r="8" spans="2:7" s="29" customFormat="1" ht="12.75" customHeight="1">
      <c r="B8" s="28"/>
      <c r="C8" s="329"/>
      <c r="D8" s="32"/>
      <c r="E8" s="39"/>
      <c r="F8" s="32"/>
    </row>
    <row r="9" spans="2:7" s="29" customFormat="1" ht="12.75" customHeight="1">
      <c r="B9" s="28"/>
      <c r="C9" s="329"/>
      <c r="D9" s="32"/>
      <c r="E9" s="39"/>
      <c r="F9" s="32"/>
    </row>
    <row r="10" spans="2:7" s="29" customFormat="1" ht="12.75" customHeight="1">
      <c r="B10" s="28"/>
      <c r="C10" s="329"/>
      <c r="D10" s="32"/>
      <c r="E10" s="39"/>
      <c r="F10" s="32"/>
    </row>
    <row r="11" spans="2:7" s="29" customFormat="1" ht="12.75" customHeight="1">
      <c r="B11" s="28"/>
      <c r="C11" s="132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89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62</v>
      </c>
      <c r="E7" s="4"/>
    </row>
    <row r="8" spans="3:25">
      <c r="C8" s="329"/>
      <c r="E8" s="4"/>
    </row>
    <row r="9" spans="3:25">
      <c r="C9" s="32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J13" sqref="J1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192</v>
      </c>
      <c r="E7" s="4"/>
    </row>
    <row r="8" spans="3:25">
      <c r="C8" s="329"/>
      <c r="E8" s="4"/>
    </row>
    <row r="9" spans="3:25">
      <c r="C9" s="329"/>
      <c r="E9" s="4"/>
    </row>
    <row r="10" spans="3:25">
      <c r="C10" s="329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55</v>
      </c>
      <c r="E7" s="4"/>
    </row>
    <row r="8" spans="3:25">
      <c r="C8" s="329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04" t="s">
        <v>188</v>
      </c>
      <c r="F26" s="305"/>
      <c r="G26" s="305"/>
      <c r="H26" s="305"/>
      <c r="I26" s="305"/>
      <c r="J26" s="305"/>
      <c r="K26" s="305"/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Agosto 2021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</v>
      </c>
      <c r="E7" s="4"/>
    </row>
    <row r="8" spans="3:25">
      <c r="C8" s="329"/>
      <c r="E8" s="4"/>
    </row>
    <row r="9" spans="3:25">
      <c r="C9" s="117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04" t="s">
        <v>188</v>
      </c>
    </row>
    <row r="40" spans="3:5">
      <c r="E40" s="41"/>
    </row>
    <row r="42" spans="3:5">
      <c r="C42" s="117"/>
    </row>
    <row r="43" spans="3:5">
      <c r="C43" s="117"/>
    </row>
    <row r="44" spans="3:5">
      <c r="C44" s="117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8A6FF07076DA458DD70211006EEBB4" ma:contentTypeVersion="11" ma:contentTypeDescription="Crear nuevo documento." ma:contentTypeScope="" ma:versionID="0513c025a64e9d2787fc2c146f04ed30">
  <xsd:schema xmlns:xsd="http://www.w3.org/2001/XMLSchema" xmlns:xs="http://www.w3.org/2001/XMLSchema" xmlns:p="http://schemas.microsoft.com/office/2006/metadata/properties" xmlns:ns3="fdc812d0-7ad8-4a82-9195-c1c1a8745337" xmlns:ns4="8a808b56-9519-4f3c-a07e-328060d9d6d3" targetNamespace="http://schemas.microsoft.com/office/2006/metadata/properties" ma:root="true" ma:fieldsID="fb87618cb5fba00c03cf8ff8d3915a45" ns3:_="" ns4:_="">
    <xsd:import namespace="fdc812d0-7ad8-4a82-9195-c1c1a8745337"/>
    <xsd:import namespace="8a808b56-9519-4f3c-a07e-328060d9d6d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c812d0-7ad8-4a82-9195-c1c1a87453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8b56-9519-4f3c-a07e-328060d9d6d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61CDC8-3AB5-4340-936C-C01F0D779A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c812d0-7ad8-4a82-9195-c1c1a8745337"/>
    <ds:schemaRef ds:uri="8a808b56-9519-4f3c-a07e-328060d9d6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F2918D3-A825-4D28-8B00-5D0085677D3F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8a808b56-9519-4f3c-a07e-328060d9d6d3"/>
    <ds:schemaRef ds:uri="fdc812d0-7ad8-4a82-9195-c1c1a8745337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ED93C2BE-1329-4C25-BD8A-3B9DE7007D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2016-08-09T07:04:21Z</dcterms:created>
  <dcterms:modified xsi:type="dcterms:W3CDTF">2021-09-16T10:49:10Z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0x0101005B8A6FF07076DA458DD70211006EEBB4</vt:lpwstr>
  </property>
</Properties>
</file>