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AGO\INF_ELABORADA\"/>
    </mc:Choice>
  </mc:AlternateContent>
  <bookViews>
    <workbookView xWindow="0" yWindow="0" windowWidth="24000" windowHeight="8235" tabRatio="852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16" r:id="rId12"/>
    <sheet name="P11" sheetId="20" r:id="rId13"/>
    <sheet name="P12" sheetId="21" r:id="rId14"/>
    <sheet name="P13" sheetId="23" r:id="rId15"/>
    <sheet name="Dat_01" sheetId="44" r:id="rId16"/>
    <sheet name="Data 1" sheetId="48" state="hidden" r:id="rId17"/>
    <sheet name="Dat_02" sheetId="47" r:id="rId18"/>
    <sheet name="Data 2" sheetId="49" state="hidden" r:id="rId19"/>
    <sheet name="Data 3" sheetId="43" r:id="rId20"/>
  </sheets>
  <externalReferences>
    <externalReference r:id="rId21"/>
    <externalReference r:id="rId22"/>
  </externalReferences>
  <definedNames>
    <definedName name="_xlnm.Print_Area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>OFFSET(Dat_01!$W$180,0,0,COUNT(Dat_01!$W$180:$W$211),1)</definedName>
    <definedName name="Eol_Fechas">OFFSET(Dat_01!$A$180,0,0,COUNT(Dat_01!$A$180:$A$211),1)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>OFFSET(Dat_01!$I$220,0,0,COUNT(Dat_01!$I$220:$I$245),1)</definedName>
    <definedName name="H_Gen">OFFSET(Dat_01!$P$220,0,0,COUNT(Dat_01!$P$220:$P$245),1)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>OFFSET(Dat_02!$H$3,0,0,COUNT(Dat_02!$H$3:$H$500),1)</definedName>
    <definedName name="Prod_Dia">OFFSET(Dat_02!$F$3,0,0,COUNT(Dat_02!$F$3:$F$500),1)</definedName>
    <definedName name="Prod_Inter">OFFSET(Dat_02!$K$3,0,0,COUNT(Dat_02!$D$3:$D$500),1)</definedName>
    <definedName name="Prod_Med">OFFSET(Dat_02!$G$3,0,0,COUNT(Dat_02!$G$3:$G$500),1)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>[1]!XXXX</definedName>
    <definedName name="xxxxx">[1]!xxxxx</definedName>
    <definedName name="zzz">Dat_01!$A$4:$G$25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6" i="49"/>
  <c r="J47" i="49"/>
  <c r="J48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7" i="49"/>
  <c r="J78" i="49"/>
  <c r="J80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07" i="49"/>
  <c r="J108" i="49"/>
  <c r="J109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38" i="49"/>
  <c r="J139" i="49"/>
  <c r="J141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68" i="49"/>
  <c r="J169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199" i="49"/>
  <c r="J200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2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0" i="49"/>
  <c r="J262" i="49"/>
  <c r="J263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2" i="49"/>
  <c r="J293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1" i="49"/>
  <c r="J323" i="49"/>
  <c r="J324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3" i="49"/>
  <c r="J354" i="49"/>
  <c r="J355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48" i="49"/>
  <c r="I49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79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1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69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0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1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2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3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3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8" i="49"/>
  <c r="I4" i="49"/>
  <c r="E157" i="48" l="1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E156" i="48"/>
  <c r="D157" i="48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D156" i="48"/>
  <c r="C148" i="48"/>
  <c r="D148" i="48"/>
  <c r="E148" i="48"/>
  <c r="F148" i="48"/>
  <c r="G148" i="48"/>
  <c r="H148" i="48"/>
  <c r="I148" i="48"/>
  <c r="J148" i="48"/>
  <c r="K148" i="48"/>
  <c r="L148" i="48"/>
  <c r="M148" i="48"/>
  <c r="N148" i="48"/>
  <c r="N149" i="48" s="1"/>
  <c r="C149" i="48"/>
  <c r="D149" i="48"/>
  <c r="E149" i="48"/>
  <c r="F149" i="48"/>
  <c r="G149" i="48"/>
  <c r="H149" i="48"/>
  <c r="I149" i="48"/>
  <c r="J149" i="48"/>
  <c r="K149" i="48"/>
  <c r="L149" i="48"/>
  <c r="M149" i="48"/>
  <c r="O148" i="48"/>
  <c r="O149" i="48" s="1"/>
  <c r="O91" i="48"/>
  <c r="O145" i="48"/>
  <c r="C145" i="48"/>
  <c r="D126" i="48"/>
  <c r="E126" i="48"/>
  <c r="F126" i="48"/>
  <c r="G126" i="48"/>
  <c r="G145" i="48" s="1"/>
  <c r="H126" i="48"/>
  <c r="I126" i="48"/>
  <c r="J126" i="48"/>
  <c r="K126" i="48"/>
  <c r="K145" i="48" s="1"/>
  <c r="L126" i="48"/>
  <c r="M126" i="48"/>
  <c r="N126" i="48"/>
  <c r="O126" i="48"/>
  <c r="D127" i="48"/>
  <c r="E127" i="48"/>
  <c r="F127" i="48"/>
  <c r="G127" i="48"/>
  <c r="G146" i="48" s="1"/>
  <c r="H127" i="48"/>
  <c r="I127" i="48"/>
  <c r="J127" i="48"/>
  <c r="K127" i="48"/>
  <c r="K146" i="48" s="1"/>
  <c r="L127" i="48"/>
  <c r="M127" i="48"/>
  <c r="N127" i="48"/>
  <c r="O127" i="48"/>
  <c r="O146" i="48" s="1"/>
  <c r="D128" i="48"/>
  <c r="E128" i="48"/>
  <c r="F128" i="48"/>
  <c r="G128" i="48"/>
  <c r="H128" i="48"/>
  <c r="I128" i="48"/>
  <c r="J128" i="48"/>
  <c r="K128" i="48"/>
  <c r="L128" i="48"/>
  <c r="M128" i="48"/>
  <c r="N128" i="48"/>
  <c r="O128" i="48"/>
  <c r="D129" i="48"/>
  <c r="E129" i="48"/>
  <c r="F129" i="48"/>
  <c r="G129" i="48"/>
  <c r="H129" i="48"/>
  <c r="I129" i="48"/>
  <c r="J129" i="48"/>
  <c r="K129" i="48"/>
  <c r="L129" i="48"/>
  <c r="M129" i="48"/>
  <c r="N129" i="48"/>
  <c r="O129" i="48"/>
  <c r="D130" i="48"/>
  <c r="E130" i="48"/>
  <c r="F130" i="48"/>
  <c r="G130" i="48"/>
  <c r="H130" i="48"/>
  <c r="I130" i="48"/>
  <c r="J130" i="48"/>
  <c r="K130" i="48"/>
  <c r="L130" i="48"/>
  <c r="M130" i="48"/>
  <c r="N130" i="48"/>
  <c r="O130" i="48"/>
  <c r="D131" i="48"/>
  <c r="E131" i="48"/>
  <c r="F131" i="48"/>
  <c r="G131" i="48"/>
  <c r="H131" i="48"/>
  <c r="I131" i="48"/>
  <c r="J131" i="48"/>
  <c r="K131" i="48"/>
  <c r="L131" i="48"/>
  <c r="M131" i="48"/>
  <c r="N131" i="48"/>
  <c r="O131" i="48"/>
  <c r="D132" i="48"/>
  <c r="E132" i="48"/>
  <c r="F132" i="48"/>
  <c r="G132" i="48"/>
  <c r="H132" i="48"/>
  <c r="I132" i="48"/>
  <c r="J132" i="48"/>
  <c r="K132" i="48"/>
  <c r="L132" i="48"/>
  <c r="M132" i="48"/>
  <c r="N132" i="48"/>
  <c r="O132" i="48"/>
  <c r="D133" i="48"/>
  <c r="E133" i="48"/>
  <c r="F133" i="48"/>
  <c r="G133" i="48"/>
  <c r="H133" i="48"/>
  <c r="I133" i="48"/>
  <c r="J133" i="48"/>
  <c r="K133" i="48"/>
  <c r="L133" i="48"/>
  <c r="M133" i="48"/>
  <c r="N133" i="48"/>
  <c r="O133" i="48"/>
  <c r="D134" i="48"/>
  <c r="E134" i="48"/>
  <c r="F134" i="48"/>
  <c r="G134" i="48"/>
  <c r="H134" i="48"/>
  <c r="I134" i="48"/>
  <c r="J134" i="48"/>
  <c r="K134" i="48"/>
  <c r="L134" i="48"/>
  <c r="M134" i="48"/>
  <c r="N134" i="48"/>
  <c r="O134" i="48"/>
  <c r="D135" i="48"/>
  <c r="E135" i="48"/>
  <c r="F135" i="48"/>
  <c r="G135" i="48"/>
  <c r="H135" i="48"/>
  <c r="I135" i="48"/>
  <c r="J135" i="48"/>
  <c r="K135" i="48"/>
  <c r="L135" i="48"/>
  <c r="M135" i="48"/>
  <c r="N135" i="48"/>
  <c r="O135" i="48"/>
  <c r="D136" i="48"/>
  <c r="E136" i="48"/>
  <c r="F136" i="48"/>
  <c r="G136" i="48"/>
  <c r="H136" i="48"/>
  <c r="I136" i="48"/>
  <c r="J136" i="48"/>
  <c r="K136" i="48"/>
  <c r="L136" i="48"/>
  <c r="M136" i="48"/>
  <c r="N136" i="48"/>
  <c r="O136" i="48"/>
  <c r="D137" i="48"/>
  <c r="E137" i="48"/>
  <c r="F137" i="48"/>
  <c r="G137" i="48"/>
  <c r="H137" i="48"/>
  <c r="I137" i="48"/>
  <c r="J137" i="48"/>
  <c r="K137" i="48"/>
  <c r="L137" i="48"/>
  <c r="M137" i="48"/>
  <c r="N137" i="48"/>
  <c r="O137" i="48"/>
  <c r="D138" i="48"/>
  <c r="E138" i="48"/>
  <c r="F138" i="48"/>
  <c r="G138" i="48"/>
  <c r="H138" i="48"/>
  <c r="I138" i="48"/>
  <c r="J138" i="48"/>
  <c r="K138" i="48"/>
  <c r="L138" i="48"/>
  <c r="M138" i="48"/>
  <c r="N138" i="48"/>
  <c r="O138" i="48"/>
  <c r="D139" i="48"/>
  <c r="E139" i="48"/>
  <c r="F139" i="48"/>
  <c r="G139" i="48"/>
  <c r="H139" i="48"/>
  <c r="I139" i="48"/>
  <c r="J139" i="48"/>
  <c r="K139" i="48"/>
  <c r="L139" i="48"/>
  <c r="M139" i="48"/>
  <c r="N139" i="48"/>
  <c r="O139" i="48"/>
  <c r="C127" i="48"/>
  <c r="C128" i="48"/>
  <c r="C129" i="48"/>
  <c r="C146" i="48" s="1"/>
  <c r="C130" i="48"/>
  <c r="C131" i="48"/>
  <c r="C132" i="48"/>
  <c r="C133" i="48"/>
  <c r="C134" i="48"/>
  <c r="C135" i="48"/>
  <c r="C136" i="48"/>
  <c r="C137" i="48"/>
  <c r="C138" i="48"/>
  <c r="C139" i="48"/>
  <c r="C126" i="48"/>
  <c r="E119" i="48"/>
  <c r="F119" i="48"/>
  <c r="I119" i="48"/>
  <c r="J119" i="48"/>
  <c r="M119" i="48"/>
  <c r="N119" i="48"/>
  <c r="E118" i="48"/>
  <c r="I118" i="48"/>
  <c r="I121" i="48" s="1"/>
  <c r="I122" i="48" s="1"/>
  <c r="M118" i="48"/>
  <c r="M121" i="48" s="1"/>
  <c r="M122" i="48" s="1"/>
  <c r="D99" i="48"/>
  <c r="E99" i="48"/>
  <c r="F99" i="48"/>
  <c r="F118" i="48" s="1"/>
  <c r="F121" i="48" s="1"/>
  <c r="F122" i="48" s="1"/>
  <c r="G99" i="48"/>
  <c r="G118" i="48" s="1"/>
  <c r="H99" i="48"/>
  <c r="I99" i="48"/>
  <c r="J99" i="48"/>
  <c r="J118" i="48" s="1"/>
  <c r="J121" i="48" s="1"/>
  <c r="J122" i="48" s="1"/>
  <c r="K99" i="48"/>
  <c r="K118" i="48" s="1"/>
  <c r="L99" i="48"/>
  <c r="M99" i="48"/>
  <c r="N99" i="48"/>
  <c r="N118" i="48" s="1"/>
  <c r="N121" i="48" s="1"/>
  <c r="N122" i="48" s="1"/>
  <c r="O99" i="48"/>
  <c r="O118" i="48" s="1"/>
  <c r="D100" i="48"/>
  <c r="E100" i="48"/>
  <c r="F100" i="48"/>
  <c r="G100" i="48"/>
  <c r="H100" i="48"/>
  <c r="I100" i="48"/>
  <c r="J100" i="48"/>
  <c r="K100" i="48"/>
  <c r="L100" i="48"/>
  <c r="M100" i="48"/>
  <c r="N100" i="48"/>
  <c r="O100" i="48"/>
  <c r="D101" i="48"/>
  <c r="E101" i="48"/>
  <c r="F101" i="48"/>
  <c r="G101" i="48"/>
  <c r="H101" i="48"/>
  <c r="I101" i="48"/>
  <c r="J101" i="48"/>
  <c r="K101" i="48"/>
  <c r="L101" i="48"/>
  <c r="M101" i="48"/>
  <c r="N101" i="48"/>
  <c r="O101" i="48"/>
  <c r="D102" i="48"/>
  <c r="D119" i="48" s="1"/>
  <c r="E102" i="48"/>
  <c r="F102" i="48"/>
  <c r="G102" i="48"/>
  <c r="G119" i="48" s="1"/>
  <c r="H102" i="48"/>
  <c r="H119" i="48" s="1"/>
  <c r="I102" i="48"/>
  <c r="J102" i="48"/>
  <c r="K102" i="48"/>
  <c r="K119" i="48" s="1"/>
  <c r="L102" i="48"/>
  <c r="L119" i="48" s="1"/>
  <c r="M102" i="48"/>
  <c r="N102" i="48"/>
  <c r="O102" i="48"/>
  <c r="O119" i="48" s="1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D104" i="48"/>
  <c r="E104" i="48"/>
  <c r="F104" i="48"/>
  <c r="G104" i="48"/>
  <c r="H104" i="48"/>
  <c r="I104" i="48"/>
  <c r="J104" i="48"/>
  <c r="K104" i="48"/>
  <c r="L104" i="48"/>
  <c r="M104" i="48"/>
  <c r="N104" i="48"/>
  <c r="O104" i="48"/>
  <c r="D105" i="48"/>
  <c r="E105" i="48"/>
  <c r="F105" i="48"/>
  <c r="G105" i="48"/>
  <c r="H105" i="48"/>
  <c r="I105" i="48"/>
  <c r="J105" i="48"/>
  <c r="K105" i="48"/>
  <c r="L105" i="48"/>
  <c r="M105" i="48"/>
  <c r="N105" i="48"/>
  <c r="O105" i="48"/>
  <c r="D106" i="48"/>
  <c r="E106" i="48"/>
  <c r="F106" i="48"/>
  <c r="G106" i="48"/>
  <c r="H106" i="48"/>
  <c r="I106" i="48"/>
  <c r="J106" i="48"/>
  <c r="K106" i="48"/>
  <c r="L106" i="48"/>
  <c r="M106" i="48"/>
  <c r="N106" i="48"/>
  <c r="O106" i="48"/>
  <c r="D107" i="48"/>
  <c r="E107" i="48"/>
  <c r="F107" i="48"/>
  <c r="G107" i="48"/>
  <c r="H107" i="48"/>
  <c r="I107" i="48"/>
  <c r="J107" i="48"/>
  <c r="K107" i="48"/>
  <c r="L107" i="48"/>
  <c r="M107" i="48"/>
  <c r="N107" i="48"/>
  <c r="O107" i="48"/>
  <c r="D108" i="48"/>
  <c r="E108" i="48"/>
  <c r="F108" i="48"/>
  <c r="G108" i="48"/>
  <c r="H108" i="48"/>
  <c r="I108" i="48"/>
  <c r="J108" i="48"/>
  <c r="K108" i="48"/>
  <c r="L108" i="48"/>
  <c r="M108" i="48"/>
  <c r="N108" i="48"/>
  <c r="O108" i="48"/>
  <c r="D109" i="48"/>
  <c r="E109" i="48"/>
  <c r="F109" i="48"/>
  <c r="G109" i="48"/>
  <c r="H109" i="48"/>
  <c r="I109" i="48"/>
  <c r="J109" i="48"/>
  <c r="K109" i="48"/>
  <c r="L109" i="48"/>
  <c r="M109" i="48"/>
  <c r="N109" i="48"/>
  <c r="O109" i="48"/>
  <c r="D110" i="48"/>
  <c r="E110" i="48"/>
  <c r="F110" i="48"/>
  <c r="G110" i="48"/>
  <c r="H110" i="48"/>
  <c r="I110" i="48"/>
  <c r="J110" i="48"/>
  <c r="K110" i="48"/>
  <c r="L110" i="48"/>
  <c r="M110" i="48"/>
  <c r="N110" i="48"/>
  <c r="O110" i="48"/>
  <c r="D111" i="48"/>
  <c r="E111" i="48"/>
  <c r="F111" i="48"/>
  <c r="G111" i="48"/>
  <c r="H111" i="48"/>
  <c r="I111" i="48"/>
  <c r="J111" i="48"/>
  <c r="K111" i="48"/>
  <c r="L111" i="48"/>
  <c r="M111" i="48"/>
  <c r="N111" i="48"/>
  <c r="O111" i="48"/>
  <c r="D112" i="48"/>
  <c r="E112" i="48"/>
  <c r="F112" i="48"/>
  <c r="G112" i="48"/>
  <c r="H112" i="48"/>
  <c r="I112" i="48"/>
  <c r="J112" i="48"/>
  <c r="K112" i="48"/>
  <c r="L112" i="48"/>
  <c r="M112" i="48"/>
  <c r="N112" i="48"/>
  <c r="O112" i="48"/>
  <c r="C100" i="48"/>
  <c r="C118" i="48" s="1"/>
  <c r="C101" i="48"/>
  <c r="C102" i="48"/>
  <c r="C119" i="48" s="1"/>
  <c r="C103" i="48"/>
  <c r="C104" i="48"/>
  <c r="C105" i="48"/>
  <c r="C106" i="48"/>
  <c r="C107" i="48"/>
  <c r="C108" i="48"/>
  <c r="C109" i="48"/>
  <c r="C110" i="48"/>
  <c r="C111" i="48"/>
  <c r="C112" i="48"/>
  <c r="C99" i="48"/>
  <c r="D69" i="48"/>
  <c r="E69" i="48"/>
  <c r="E88" i="48" s="1"/>
  <c r="F69" i="48"/>
  <c r="G69" i="48"/>
  <c r="G88" i="48" s="1"/>
  <c r="H69" i="48"/>
  <c r="I69" i="48"/>
  <c r="I88" i="48" s="1"/>
  <c r="J69" i="48"/>
  <c r="K69" i="48"/>
  <c r="K88" i="48" s="1"/>
  <c r="L69" i="48"/>
  <c r="M69" i="48"/>
  <c r="M88" i="48" s="1"/>
  <c r="N69" i="48"/>
  <c r="O69" i="48"/>
  <c r="O88" i="48" s="1"/>
  <c r="D70" i="48"/>
  <c r="E70" i="48"/>
  <c r="E89" i="48" s="1"/>
  <c r="F70" i="48"/>
  <c r="G70" i="48"/>
  <c r="G89" i="48" s="1"/>
  <c r="G91" i="48" s="1"/>
  <c r="G92" i="48" s="1"/>
  <c r="H70" i="48"/>
  <c r="I70" i="48"/>
  <c r="I89" i="48" s="1"/>
  <c r="J70" i="48"/>
  <c r="K70" i="48"/>
  <c r="K89" i="48" s="1"/>
  <c r="K91" i="48" s="1"/>
  <c r="K92" i="48" s="1"/>
  <c r="L70" i="48"/>
  <c r="M70" i="48"/>
  <c r="M89" i="48" s="1"/>
  <c r="N70" i="48"/>
  <c r="O70" i="48"/>
  <c r="O89" i="48" s="1"/>
  <c r="O92" i="48" s="1"/>
  <c r="D71" i="48"/>
  <c r="E71" i="48"/>
  <c r="F71" i="48"/>
  <c r="G71" i="48"/>
  <c r="H71" i="48"/>
  <c r="I71" i="48"/>
  <c r="J71" i="48"/>
  <c r="K71" i="48"/>
  <c r="L71" i="48"/>
  <c r="M71" i="48"/>
  <c r="N71" i="48"/>
  <c r="O71" i="48"/>
  <c r="D72" i="48"/>
  <c r="E72" i="48"/>
  <c r="F72" i="48"/>
  <c r="G72" i="48"/>
  <c r="H72" i="48"/>
  <c r="I72" i="48"/>
  <c r="J72" i="48"/>
  <c r="K72" i="48"/>
  <c r="L72" i="48"/>
  <c r="M72" i="48"/>
  <c r="N72" i="48"/>
  <c r="O72" i="48"/>
  <c r="D74" i="48"/>
  <c r="E74" i="48"/>
  <c r="F74" i="48"/>
  <c r="G74" i="48"/>
  <c r="H74" i="48"/>
  <c r="I74" i="48"/>
  <c r="J74" i="48"/>
  <c r="K74" i="48"/>
  <c r="L74" i="48"/>
  <c r="M74" i="48"/>
  <c r="N74" i="48"/>
  <c r="O74" i="48"/>
  <c r="D75" i="48"/>
  <c r="E75" i="48"/>
  <c r="F75" i="48"/>
  <c r="G75" i="48"/>
  <c r="H75" i="48"/>
  <c r="I75" i="48"/>
  <c r="J75" i="48"/>
  <c r="K75" i="48"/>
  <c r="L75" i="48"/>
  <c r="M75" i="48"/>
  <c r="N75" i="48"/>
  <c r="O75" i="48"/>
  <c r="D76" i="48"/>
  <c r="E76" i="48"/>
  <c r="F76" i="48"/>
  <c r="G76" i="48"/>
  <c r="H76" i="48"/>
  <c r="I76" i="48"/>
  <c r="J76" i="48"/>
  <c r="K76" i="48"/>
  <c r="L76" i="48"/>
  <c r="M76" i="48"/>
  <c r="N76" i="48"/>
  <c r="O76" i="48"/>
  <c r="D77" i="48"/>
  <c r="E77" i="48"/>
  <c r="F77" i="48"/>
  <c r="G77" i="48"/>
  <c r="H77" i="48"/>
  <c r="I77" i="48"/>
  <c r="J77" i="48"/>
  <c r="K77" i="48"/>
  <c r="L77" i="48"/>
  <c r="M77" i="48"/>
  <c r="N77" i="48"/>
  <c r="O77" i="48"/>
  <c r="D78" i="48"/>
  <c r="E78" i="48"/>
  <c r="F78" i="48"/>
  <c r="G78" i="48"/>
  <c r="H78" i="48"/>
  <c r="I78" i="48"/>
  <c r="J78" i="48"/>
  <c r="K78" i="48"/>
  <c r="L78" i="48"/>
  <c r="M78" i="48"/>
  <c r="N78" i="48"/>
  <c r="O78" i="48"/>
  <c r="D79" i="48"/>
  <c r="E79" i="48"/>
  <c r="F79" i="48"/>
  <c r="G79" i="48"/>
  <c r="H79" i="48"/>
  <c r="I79" i="48"/>
  <c r="J79" i="48"/>
  <c r="K79" i="48"/>
  <c r="L79" i="48"/>
  <c r="M79" i="48"/>
  <c r="N79" i="48"/>
  <c r="O79" i="48"/>
  <c r="D80" i="48"/>
  <c r="E80" i="48"/>
  <c r="F80" i="48"/>
  <c r="G80" i="48"/>
  <c r="H80" i="48"/>
  <c r="I80" i="48"/>
  <c r="J80" i="48"/>
  <c r="K80" i="48"/>
  <c r="L80" i="48"/>
  <c r="M80" i="48"/>
  <c r="N80" i="48"/>
  <c r="O80" i="48"/>
  <c r="D81" i="48"/>
  <c r="E81" i="48"/>
  <c r="F81" i="48"/>
  <c r="G81" i="48"/>
  <c r="H81" i="48"/>
  <c r="I81" i="48"/>
  <c r="J81" i="48"/>
  <c r="K81" i="48"/>
  <c r="L81" i="48"/>
  <c r="M81" i="48"/>
  <c r="N81" i="48"/>
  <c r="O81" i="48"/>
  <c r="D82" i="48"/>
  <c r="E82" i="48"/>
  <c r="F82" i="48"/>
  <c r="G82" i="48"/>
  <c r="H82" i="48"/>
  <c r="I82" i="48"/>
  <c r="J82" i="48"/>
  <c r="K82" i="48"/>
  <c r="L82" i="48"/>
  <c r="M82" i="48"/>
  <c r="N82" i="48"/>
  <c r="O82" i="48"/>
  <c r="C82" i="48"/>
  <c r="C79" i="48"/>
  <c r="C80" i="48"/>
  <c r="C78" i="48"/>
  <c r="C81" i="48"/>
  <c r="C75" i="48"/>
  <c r="C76" i="48"/>
  <c r="C77" i="48"/>
  <c r="C74" i="48"/>
  <c r="C71" i="48"/>
  <c r="C72" i="48"/>
  <c r="C89" i="48"/>
  <c r="C70" i="48"/>
  <c r="C69" i="48"/>
  <c r="C54" i="48"/>
  <c r="F53" i="48" s="1"/>
  <c r="C55" i="48"/>
  <c r="C56" i="48"/>
  <c r="C57" i="48"/>
  <c r="C58" i="48"/>
  <c r="C59" i="48"/>
  <c r="C60" i="48"/>
  <c r="C61" i="48"/>
  <c r="C62" i="48"/>
  <c r="F54" i="48" s="1"/>
  <c r="C63" i="48"/>
  <c r="C64" i="48"/>
  <c r="C53" i="48"/>
  <c r="B100" i="44"/>
  <c r="C38" i="48"/>
  <c r="C39" i="48"/>
  <c r="F37" i="48" s="1"/>
  <c r="C40" i="48"/>
  <c r="C41" i="48"/>
  <c r="C42" i="48"/>
  <c r="C43" i="48"/>
  <c r="C44" i="48"/>
  <c r="F38" i="48" s="1"/>
  <c r="C45" i="48"/>
  <c r="C46" i="48"/>
  <c r="C47" i="48"/>
  <c r="C48" i="48"/>
  <c r="C37" i="48"/>
  <c r="C12" i="48"/>
  <c r="C13" i="48"/>
  <c r="C17" i="48" s="1"/>
  <c r="C14" i="48"/>
  <c r="C15" i="48"/>
  <c r="C16" i="48"/>
  <c r="C9" i="48"/>
  <c r="C10" i="48"/>
  <c r="C11" i="48"/>
  <c r="C8" i="48"/>
  <c r="C7" i="48"/>
  <c r="C6" i="48"/>
  <c r="C5" i="48"/>
  <c r="C24" i="48"/>
  <c r="C25" i="48"/>
  <c r="C33" i="48" s="1"/>
  <c r="C26" i="48"/>
  <c r="C27" i="48"/>
  <c r="C28" i="48"/>
  <c r="C29" i="48"/>
  <c r="C30" i="48"/>
  <c r="C31" i="48"/>
  <c r="C32" i="48"/>
  <c r="C23" i="48"/>
  <c r="C22" i="48"/>
  <c r="C21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AA197" i="48" s="1"/>
  <c r="N146" i="48"/>
  <c r="M146" i="48"/>
  <c r="L146" i="48"/>
  <c r="J146" i="48"/>
  <c r="I146" i="48"/>
  <c r="H146" i="48"/>
  <c r="F146" i="48"/>
  <c r="E146" i="48"/>
  <c r="D146" i="48"/>
  <c r="N145" i="48"/>
  <c r="M145" i="48"/>
  <c r="L145" i="48"/>
  <c r="J145" i="48"/>
  <c r="I145" i="48"/>
  <c r="H145" i="48"/>
  <c r="F145" i="48"/>
  <c r="E145" i="48"/>
  <c r="D145" i="48"/>
  <c r="N89" i="48"/>
  <c r="L89" i="48"/>
  <c r="J89" i="48"/>
  <c r="H89" i="48"/>
  <c r="F89" i="48"/>
  <c r="D89" i="48"/>
  <c r="N88" i="48"/>
  <c r="L88" i="48"/>
  <c r="L91" i="48" s="1"/>
  <c r="L92" i="48" s="1"/>
  <c r="J88" i="48"/>
  <c r="H88" i="48"/>
  <c r="F88" i="48"/>
  <c r="D88" i="48"/>
  <c r="D91" i="48" s="1"/>
  <c r="D92" i="48" s="1"/>
  <c r="C88" i="48"/>
  <c r="F51" i="48"/>
  <c r="F35" i="48"/>
  <c r="D189" i="48" l="1"/>
  <c r="E189" i="48" s="1"/>
  <c r="E121" i="48"/>
  <c r="E122" i="48" s="1"/>
  <c r="C121" i="48"/>
  <c r="C122" i="48" s="1"/>
  <c r="O121" i="48"/>
  <c r="O122" i="48" s="1"/>
  <c r="K121" i="48"/>
  <c r="K122" i="48" s="1"/>
  <c r="G121" i="48"/>
  <c r="G122" i="48" s="1"/>
  <c r="J91" i="48"/>
  <c r="J92" i="48" s="1"/>
  <c r="F91" i="48"/>
  <c r="F92" i="48" s="1"/>
  <c r="L118" i="48"/>
  <c r="L121" i="48" s="1"/>
  <c r="L122" i="48" s="1"/>
  <c r="H118" i="48"/>
  <c r="H121" i="48" s="1"/>
  <c r="H122" i="48" s="1"/>
  <c r="D118" i="48"/>
  <c r="D121" i="48" s="1"/>
  <c r="D122" i="48" s="1"/>
  <c r="N91" i="48"/>
  <c r="N92" i="48" s="1"/>
  <c r="H91" i="48"/>
  <c r="H92" i="48" s="1"/>
  <c r="M91" i="48"/>
  <c r="M92" i="48" s="1"/>
  <c r="I91" i="48"/>
  <c r="I92" i="48" s="1"/>
  <c r="E91" i="48"/>
  <c r="E92" i="48" s="1"/>
  <c r="C91" i="48"/>
  <c r="C92" i="48" s="1"/>
  <c r="D15" i="48"/>
  <c r="D31" i="48"/>
  <c r="D29" i="48"/>
  <c r="D27" i="48"/>
  <c r="D24" i="48"/>
  <c r="D28" i="48"/>
  <c r="D32" i="48"/>
  <c r="D22" i="48"/>
  <c r="D26" i="48"/>
  <c r="D30" i="48"/>
  <c r="D23" i="48"/>
  <c r="C49" i="48"/>
  <c r="D21" i="48"/>
  <c r="C65" i="48"/>
  <c r="G22" i="48" l="1"/>
  <c r="D6" i="48"/>
  <c r="D12" i="48"/>
  <c r="D10" i="48"/>
  <c r="D16" i="48"/>
  <c r="D11" i="48"/>
  <c r="D5" i="48"/>
  <c r="D8" i="48"/>
  <c r="D13" i="48"/>
  <c r="D14" i="48"/>
  <c r="D7" i="48"/>
  <c r="D25" i="48"/>
  <c r="G21" i="48" s="1"/>
  <c r="G6" i="48" l="1"/>
  <c r="D9" i="48"/>
  <c r="D17" i="48" s="1"/>
  <c r="D33" i="48"/>
  <c r="G5" i="48" l="1"/>
  <c r="B164" i="44"/>
  <c r="C164" i="44"/>
  <c r="D164" i="44"/>
  <c r="E164" i="44"/>
  <c r="F164" i="44"/>
  <c r="G164" i="44"/>
  <c r="H164" i="44"/>
  <c r="I164" i="44"/>
  <c r="J164" i="44"/>
  <c r="K164" i="44"/>
  <c r="L164" i="44"/>
  <c r="M164" i="44"/>
  <c r="B165" i="44"/>
  <c r="C165" i="44"/>
  <c r="D165" i="44"/>
  <c r="E165" i="44"/>
  <c r="F165" i="44"/>
  <c r="G165" i="44"/>
  <c r="H165" i="44"/>
  <c r="I165" i="44"/>
  <c r="J165" i="44"/>
  <c r="K165" i="44"/>
  <c r="L165" i="44"/>
  <c r="M165" i="44"/>
  <c r="B166" i="44"/>
  <c r="C166" i="44"/>
  <c r="D166" i="44"/>
  <c r="E166" i="44"/>
  <c r="F166" i="44"/>
  <c r="G166" i="44"/>
  <c r="H166" i="44"/>
  <c r="I166" i="44"/>
  <c r="J166" i="44"/>
  <c r="K166" i="44"/>
  <c r="L166" i="44"/>
  <c r="M166" i="44"/>
  <c r="M167" i="44" s="1"/>
  <c r="B167" i="44"/>
  <c r="C167" i="44"/>
  <c r="D167" i="44"/>
  <c r="E167" i="44"/>
  <c r="F167" i="44"/>
  <c r="G167" i="44"/>
  <c r="H167" i="44"/>
  <c r="I167" i="44"/>
  <c r="J167" i="44"/>
  <c r="K167" i="44"/>
  <c r="L167" i="44"/>
  <c r="N165" i="44"/>
  <c r="N164" i="44"/>
  <c r="N166" i="44"/>
  <c r="N158" i="44"/>
  <c r="N156" i="44"/>
  <c r="B158" i="44"/>
  <c r="C158" i="44"/>
  <c r="D158" i="44"/>
  <c r="E158" i="44"/>
  <c r="F158" i="44"/>
  <c r="G158" i="44"/>
  <c r="H158" i="44"/>
  <c r="I158" i="44"/>
  <c r="J158" i="44"/>
  <c r="K158" i="44"/>
  <c r="L158" i="44"/>
  <c r="M158" i="44"/>
  <c r="B159" i="44"/>
  <c r="C159" i="44"/>
  <c r="D159" i="44"/>
  <c r="E159" i="44"/>
  <c r="F159" i="44"/>
  <c r="G159" i="44"/>
  <c r="H159" i="44"/>
  <c r="I159" i="44"/>
  <c r="J159" i="44"/>
  <c r="K159" i="44"/>
  <c r="L159" i="44"/>
  <c r="M159" i="44"/>
  <c r="B142" i="44"/>
  <c r="C142" i="44"/>
  <c r="D142" i="44"/>
  <c r="E142" i="44"/>
  <c r="F142" i="44"/>
  <c r="G142" i="44"/>
  <c r="H142" i="44"/>
  <c r="I142" i="44"/>
  <c r="J142" i="44"/>
  <c r="K142" i="44"/>
  <c r="L142" i="44"/>
  <c r="M142" i="44"/>
  <c r="B143" i="44"/>
  <c r="C143" i="44"/>
  <c r="D143" i="44"/>
  <c r="E143" i="44"/>
  <c r="F143" i="44"/>
  <c r="G143" i="44"/>
  <c r="H143" i="44"/>
  <c r="I143" i="44"/>
  <c r="J143" i="44"/>
  <c r="K143" i="44"/>
  <c r="L143" i="44"/>
  <c r="M143" i="44"/>
  <c r="B144" i="44"/>
  <c r="C144" i="44"/>
  <c r="D144" i="44"/>
  <c r="E144" i="44"/>
  <c r="F144" i="44"/>
  <c r="G144" i="44"/>
  <c r="H144" i="44"/>
  <c r="I144" i="44"/>
  <c r="J144" i="44"/>
  <c r="K144" i="44"/>
  <c r="L144" i="44"/>
  <c r="M144" i="44"/>
  <c r="B145" i="44"/>
  <c r="C145" i="44"/>
  <c r="D145" i="44"/>
  <c r="E145" i="44"/>
  <c r="F145" i="44"/>
  <c r="G145" i="44"/>
  <c r="H145" i="44"/>
  <c r="I145" i="44"/>
  <c r="J145" i="44"/>
  <c r="K145" i="44"/>
  <c r="L145" i="44"/>
  <c r="M145" i="44"/>
  <c r="B146" i="44"/>
  <c r="C146" i="44"/>
  <c r="D146" i="44"/>
  <c r="E146" i="44"/>
  <c r="F146" i="44"/>
  <c r="G146" i="44"/>
  <c r="H146" i="44"/>
  <c r="I146" i="44"/>
  <c r="J146" i="44"/>
  <c r="K146" i="44"/>
  <c r="L146" i="44"/>
  <c r="M146" i="44"/>
  <c r="B147" i="44"/>
  <c r="C147" i="44"/>
  <c r="D147" i="44"/>
  <c r="E147" i="44"/>
  <c r="F147" i="44"/>
  <c r="G147" i="44"/>
  <c r="H147" i="44"/>
  <c r="I147" i="44"/>
  <c r="J147" i="44"/>
  <c r="K147" i="44"/>
  <c r="L147" i="44"/>
  <c r="M147" i="44"/>
  <c r="B148" i="44"/>
  <c r="C148" i="44"/>
  <c r="D148" i="44"/>
  <c r="E148" i="44"/>
  <c r="F148" i="44"/>
  <c r="G148" i="44"/>
  <c r="H148" i="44"/>
  <c r="I148" i="44"/>
  <c r="J148" i="44"/>
  <c r="K148" i="44"/>
  <c r="L148" i="44"/>
  <c r="M148" i="44"/>
  <c r="B149" i="44"/>
  <c r="C149" i="44"/>
  <c r="D149" i="44"/>
  <c r="E149" i="44"/>
  <c r="F149" i="44"/>
  <c r="G149" i="44"/>
  <c r="H149" i="44"/>
  <c r="I149" i="44"/>
  <c r="J149" i="44"/>
  <c r="K149" i="44"/>
  <c r="L149" i="44"/>
  <c r="M149" i="44"/>
  <c r="B150" i="44"/>
  <c r="C150" i="44"/>
  <c r="D150" i="44"/>
  <c r="E150" i="44"/>
  <c r="F150" i="44"/>
  <c r="G150" i="44"/>
  <c r="H150" i="44"/>
  <c r="I150" i="44"/>
  <c r="J150" i="44"/>
  <c r="K150" i="44"/>
  <c r="L150" i="44"/>
  <c r="M150" i="44"/>
  <c r="B151" i="44"/>
  <c r="C151" i="44"/>
  <c r="D151" i="44"/>
  <c r="E151" i="44"/>
  <c r="F151" i="44"/>
  <c r="G151" i="44"/>
  <c r="H151" i="44"/>
  <c r="I151" i="44"/>
  <c r="J151" i="44"/>
  <c r="K151" i="44"/>
  <c r="L151" i="44"/>
  <c r="M151" i="44"/>
  <c r="B152" i="44"/>
  <c r="C152" i="44"/>
  <c r="D152" i="44"/>
  <c r="E152" i="44"/>
  <c r="F152" i="44"/>
  <c r="G152" i="44"/>
  <c r="H152" i="44"/>
  <c r="I152" i="44"/>
  <c r="J152" i="44"/>
  <c r="K152" i="44"/>
  <c r="L152" i="44"/>
  <c r="M152" i="44"/>
  <c r="B153" i="44"/>
  <c r="C153" i="44"/>
  <c r="D153" i="44"/>
  <c r="E153" i="44"/>
  <c r="F153" i="44"/>
  <c r="G153" i="44"/>
  <c r="H153" i="44"/>
  <c r="I153" i="44"/>
  <c r="J153" i="44"/>
  <c r="K153" i="44"/>
  <c r="L153" i="44"/>
  <c r="M153" i="44"/>
  <c r="N152" i="44"/>
  <c r="N153" i="44"/>
  <c r="H98" i="44" l="1"/>
  <c r="H105" i="44"/>
  <c r="H104" i="44"/>
  <c r="H103" i="44"/>
  <c r="H102" i="44"/>
  <c r="H101" i="44"/>
  <c r="H100" i="44"/>
  <c r="H99" i="44"/>
  <c r="H97" i="44"/>
  <c r="H96" i="44"/>
  <c r="H95" i="44"/>
  <c r="H94" i="44"/>
  <c r="B98" i="44"/>
  <c r="B105" i="44"/>
  <c r="B104" i="44"/>
  <c r="B103" i="44"/>
  <c r="B102" i="44"/>
  <c r="B101" i="44"/>
  <c r="B99" i="44"/>
  <c r="B97" i="44"/>
  <c r="B96" i="44"/>
  <c r="B95" i="44"/>
  <c r="B94" i="44"/>
  <c r="C54" i="44"/>
  <c r="C51" i="44"/>
  <c r="C52" i="44"/>
  <c r="C53" i="44"/>
  <c r="C55" i="44"/>
  <c r="C56" i="44"/>
  <c r="C57" i="44"/>
  <c r="C58" i="44"/>
  <c r="C59" i="44"/>
  <c r="C60" i="44"/>
  <c r="C50" i="44"/>
  <c r="F51" i="44" l="1"/>
  <c r="J21" i="44"/>
  <c r="B33" i="44" l="1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F355" i="49"/>
  <c r="E355" i="49"/>
  <c r="F354" i="49"/>
  <c r="E354" i="49"/>
  <c r="F353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F324" i="49"/>
  <c r="E324" i="49"/>
  <c r="F323" i="49"/>
  <c r="E323" i="49"/>
  <c r="F322" i="49"/>
  <c r="E322" i="49"/>
  <c r="F321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F293" i="49"/>
  <c r="E293" i="49"/>
  <c r="F292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F263" i="49"/>
  <c r="E263" i="49"/>
  <c r="F262" i="49"/>
  <c r="E262" i="49"/>
  <c r="F261" i="49"/>
  <c r="E261" i="49"/>
  <c r="F260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F232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F200" i="49"/>
  <c r="E200" i="49"/>
  <c r="F199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F169" i="49"/>
  <c r="E169" i="49"/>
  <c r="F168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F141" i="49"/>
  <c r="E141" i="49"/>
  <c r="F140" i="49"/>
  <c r="E140" i="49"/>
  <c r="F139" i="49"/>
  <c r="E139" i="49"/>
  <c r="F138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F109" i="49"/>
  <c r="E109" i="49"/>
  <c r="F108" i="49"/>
  <c r="E108" i="49"/>
  <c r="F107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F80" i="49"/>
  <c r="E80" i="49"/>
  <c r="F79" i="49"/>
  <c r="E79" i="49"/>
  <c r="F78" i="49"/>
  <c r="E78" i="49"/>
  <c r="F77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F48" i="49"/>
  <c r="E48" i="49"/>
  <c r="F47" i="49"/>
  <c r="E47" i="49"/>
  <c r="F46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F18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K931" i="47" l="1"/>
  <c r="K930" i="47"/>
  <c r="K929" i="47"/>
  <c r="K928" i="47"/>
  <c r="K927" i="47"/>
  <c r="K926" i="47"/>
  <c r="K925" i="47"/>
  <c r="K924" i="47"/>
  <c r="K923" i="47"/>
  <c r="K922" i="47"/>
  <c r="K921" i="47"/>
  <c r="K920" i="47"/>
  <c r="K919" i="47"/>
  <c r="K918" i="47"/>
  <c r="K917" i="47"/>
  <c r="K916" i="47"/>
  <c r="K915" i="47"/>
  <c r="K914" i="47"/>
  <c r="K913" i="47"/>
  <c r="K912" i="47"/>
  <c r="K911" i="47"/>
  <c r="K910" i="47"/>
  <c r="K909" i="47"/>
  <c r="K908" i="47"/>
  <c r="K907" i="47"/>
  <c r="K906" i="47"/>
  <c r="K905" i="47"/>
  <c r="K904" i="47"/>
  <c r="K903" i="47"/>
  <c r="K902" i="47"/>
  <c r="K901" i="47"/>
  <c r="K900" i="47"/>
  <c r="K899" i="47"/>
  <c r="K898" i="47"/>
  <c r="K897" i="47"/>
  <c r="K896" i="47"/>
  <c r="K895" i="47"/>
  <c r="K894" i="47"/>
  <c r="K893" i="47"/>
  <c r="K892" i="47"/>
  <c r="K891" i="47"/>
  <c r="K890" i="47"/>
  <c r="K889" i="47"/>
  <c r="K888" i="47"/>
  <c r="K887" i="47"/>
  <c r="K886" i="47"/>
  <c r="K885" i="47"/>
  <c r="K884" i="47"/>
  <c r="K883" i="47"/>
  <c r="K882" i="47"/>
  <c r="K881" i="47"/>
  <c r="K880" i="47"/>
  <c r="K879" i="47"/>
  <c r="K878" i="47"/>
  <c r="K877" i="47"/>
  <c r="K876" i="47"/>
  <c r="K875" i="47"/>
  <c r="K874" i="47"/>
  <c r="K873" i="47"/>
  <c r="K872" i="47"/>
  <c r="K871" i="47"/>
  <c r="K870" i="47"/>
  <c r="K869" i="47"/>
  <c r="K868" i="47"/>
  <c r="K867" i="47"/>
  <c r="K866" i="47"/>
  <c r="K865" i="47"/>
  <c r="K864" i="47"/>
  <c r="K863" i="47"/>
  <c r="K862" i="47"/>
  <c r="K861" i="47"/>
  <c r="K860" i="47"/>
  <c r="K859" i="47"/>
  <c r="K858" i="47"/>
  <c r="K857" i="47"/>
  <c r="K856" i="47"/>
  <c r="K855" i="47"/>
  <c r="K854" i="47"/>
  <c r="K853" i="47"/>
  <c r="K852" i="47"/>
  <c r="K851" i="47"/>
  <c r="K850" i="47"/>
  <c r="K849" i="47"/>
  <c r="K848" i="47"/>
  <c r="K847" i="47"/>
  <c r="K846" i="47"/>
  <c r="K845" i="47"/>
  <c r="K844" i="47"/>
  <c r="K843" i="47"/>
  <c r="K842" i="47"/>
  <c r="K841" i="47"/>
  <c r="K840" i="47"/>
  <c r="K839" i="47"/>
  <c r="K838" i="47"/>
  <c r="K837" i="47"/>
  <c r="K836" i="47"/>
  <c r="K835" i="47"/>
  <c r="K834" i="47"/>
  <c r="K833" i="47"/>
  <c r="K832" i="47"/>
  <c r="K831" i="47"/>
  <c r="K830" i="47"/>
  <c r="K829" i="47"/>
  <c r="K828" i="47"/>
  <c r="K827" i="47"/>
  <c r="K826" i="47"/>
  <c r="K825" i="47"/>
  <c r="K824" i="47"/>
  <c r="K823" i="47"/>
  <c r="K822" i="47"/>
  <c r="K821" i="47"/>
  <c r="K820" i="47"/>
  <c r="K819" i="47"/>
  <c r="K818" i="47"/>
  <c r="K817" i="47"/>
  <c r="K816" i="47"/>
  <c r="K815" i="47"/>
  <c r="K814" i="47"/>
  <c r="K813" i="47"/>
  <c r="K812" i="47"/>
  <c r="K811" i="47"/>
  <c r="K810" i="47"/>
  <c r="K809" i="47"/>
  <c r="K808" i="47"/>
  <c r="K807" i="47"/>
  <c r="K806" i="47"/>
  <c r="K805" i="47"/>
  <c r="K804" i="47"/>
  <c r="K803" i="47"/>
  <c r="K802" i="47"/>
  <c r="K801" i="47"/>
  <c r="K800" i="47"/>
  <c r="K799" i="47"/>
  <c r="K798" i="47"/>
  <c r="K797" i="47"/>
  <c r="K796" i="47"/>
  <c r="K795" i="47"/>
  <c r="K794" i="47"/>
  <c r="K793" i="47"/>
  <c r="K792" i="47"/>
  <c r="K791" i="47"/>
  <c r="K790" i="47"/>
  <c r="K789" i="47"/>
  <c r="K788" i="47"/>
  <c r="K787" i="47"/>
  <c r="K786" i="47"/>
  <c r="K785" i="47"/>
  <c r="K784" i="47"/>
  <c r="K783" i="47"/>
  <c r="K782" i="47"/>
  <c r="K781" i="47"/>
  <c r="K780" i="47"/>
  <c r="K779" i="47"/>
  <c r="K778" i="47"/>
  <c r="K777" i="47"/>
  <c r="K776" i="47"/>
  <c r="K775" i="47"/>
  <c r="K774" i="47"/>
  <c r="K773" i="47"/>
  <c r="K772" i="47"/>
  <c r="K771" i="47"/>
  <c r="K770" i="47"/>
  <c r="K769" i="47"/>
  <c r="K768" i="47"/>
  <c r="K767" i="47"/>
  <c r="K766" i="47"/>
  <c r="K765" i="47"/>
  <c r="K764" i="47"/>
  <c r="K763" i="47"/>
  <c r="K762" i="47"/>
  <c r="K761" i="47"/>
  <c r="K760" i="47"/>
  <c r="K759" i="47"/>
  <c r="K758" i="47"/>
  <c r="K757" i="47"/>
  <c r="K756" i="47"/>
  <c r="K755" i="47"/>
  <c r="K754" i="47"/>
  <c r="K753" i="47"/>
  <c r="K752" i="47"/>
  <c r="K751" i="47"/>
  <c r="K750" i="47"/>
  <c r="K749" i="47"/>
  <c r="K748" i="47"/>
  <c r="K747" i="47"/>
  <c r="K746" i="47"/>
  <c r="K745" i="47"/>
  <c r="K744" i="47"/>
  <c r="K743" i="47"/>
  <c r="K742" i="47"/>
  <c r="K741" i="47"/>
  <c r="K740" i="47"/>
  <c r="K739" i="47"/>
  <c r="K738" i="47"/>
  <c r="K737" i="47"/>
  <c r="K736" i="47"/>
  <c r="K735" i="47"/>
  <c r="K734" i="47"/>
  <c r="K733" i="47"/>
  <c r="K732" i="47"/>
  <c r="K731" i="47"/>
  <c r="K730" i="47"/>
  <c r="K729" i="47"/>
  <c r="K728" i="47"/>
  <c r="K727" i="47"/>
  <c r="K726" i="47"/>
  <c r="K725" i="47"/>
  <c r="K724" i="47"/>
  <c r="K723" i="47"/>
  <c r="K722" i="47"/>
  <c r="K721" i="47"/>
  <c r="K720" i="47"/>
  <c r="K719" i="47"/>
  <c r="K718" i="47"/>
  <c r="K717" i="47"/>
  <c r="K716" i="47"/>
  <c r="K715" i="47"/>
  <c r="K714" i="47"/>
  <c r="K713" i="47"/>
  <c r="K712" i="47"/>
  <c r="K711" i="47"/>
  <c r="K710" i="47"/>
  <c r="K709" i="47"/>
  <c r="K708" i="47"/>
  <c r="K707" i="47"/>
  <c r="K706" i="47"/>
  <c r="K705" i="47"/>
  <c r="K704" i="47"/>
  <c r="K703" i="47"/>
  <c r="K702" i="47"/>
  <c r="K701" i="47"/>
  <c r="K700" i="47"/>
  <c r="K699" i="47"/>
  <c r="K698" i="47"/>
  <c r="K697" i="47"/>
  <c r="K696" i="47"/>
  <c r="K695" i="47"/>
  <c r="K694" i="47"/>
  <c r="K693" i="47"/>
  <c r="K692" i="47"/>
  <c r="K691" i="47"/>
  <c r="K690" i="47"/>
  <c r="K689" i="47"/>
  <c r="K688" i="47"/>
  <c r="K687" i="47"/>
  <c r="K686" i="47"/>
  <c r="K685" i="47"/>
  <c r="K684" i="47"/>
  <c r="K683" i="47"/>
  <c r="K682" i="47"/>
  <c r="K681" i="47"/>
  <c r="K680" i="47"/>
  <c r="K679" i="47"/>
  <c r="K678" i="47"/>
  <c r="K677" i="47"/>
  <c r="K676" i="47"/>
  <c r="K675" i="47"/>
  <c r="K674" i="47"/>
  <c r="K673" i="47"/>
  <c r="K672" i="47"/>
  <c r="K671" i="47"/>
  <c r="K670" i="47"/>
  <c r="K669" i="47"/>
  <c r="K668" i="47"/>
  <c r="K667" i="47"/>
  <c r="K666" i="47"/>
  <c r="K665" i="47"/>
  <c r="K664" i="47"/>
  <c r="K663" i="47"/>
  <c r="K662" i="47"/>
  <c r="K661" i="47"/>
  <c r="K660" i="47"/>
  <c r="K659" i="47"/>
  <c r="K658" i="47"/>
  <c r="K657" i="47"/>
  <c r="K656" i="47"/>
  <c r="K655" i="47"/>
  <c r="K654" i="47"/>
  <c r="K653" i="47"/>
  <c r="K652" i="47"/>
  <c r="K651" i="47"/>
  <c r="K650" i="47"/>
  <c r="K649" i="47"/>
  <c r="K648" i="47"/>
  <c r="K647" i="47"/>
  <c r="K646" i="47"/>
  <c r="K645" i="47"/>
  <c r="K644" i="47"/>
  <c r="K643" i="47"/>
  <c r="K642" i="47"/>
  <c r="K641" i="47"/>
  <c r="K640" i="47"/>
  <c r="K639" i="47"/>
  <c r="K638" i="47"/>
  <c r="K637" i="47"/>
  <c r="K636" i="47"/>
  <c r="K635" i="47"/>
  <c r="K634" i="47"/>
  <c r="K633" i="47"/>
  <c r="K632" i="47"/>
  <c r="K631" i="47"/>
  <c r="K630" i="47"/>
  <c r="K629" i="47"/>
  <c r="K628" i="47"/>
  <c r="K627" i="47"/>
  <c r="K626" i="47"/>
  <c r="K625" i="47"/>
  <c r="K624" i="47"/>
  <c r="K623" i="47"/>
  <c r="K622" i="47"/>
  <c r="K621" i="47"/>
  <c r="K620" i="47"/>
  <c r="K619" i="47"/>
  <c r="K618" i="47"/>
  <c r="K617" i="47"/>
  <c r="K616" i="47"/>
  <c r="K615" i="47"/>
  <c r="K614" i="47"/>
  <c r="K613" i="47"/>
  <c r="K612" i="47"/>
  <c r="K611" i="47"/>
  <c r="K610" i="47"/>
  <c r="K609" i="47"/>
  <c r="K608" i="47"/>
  <c r="K607" i="47"/>
  <c r="K606" i="47"/>
  <c r="K605" i="47"/>
  <c r="K604" i="47"/>
  <c r="K603" i="47"/>
  <c r="K602" i="47"/>
  <c r="K601" i="47"/>
  <c r="K600" i="47"/>
  <c r="K599" i="47"/>
  <c r="K598" i="47"/>
  <c r="K597" i="47"/>
  <c r="K596" i="47"/>
  <c r="K595" i="47"/>
  <c r="K594" i="47"/>
  <c r="K593" i="47"/>
  <c r="K592" i="47"/>
  <c r="K591" i="47"/>
  <c r="K590" i="47"/>
  <c r="K589" i="47"/>
  <c r="K588" i="47"/>
  <c r="K587" i="47"/>
  <c r="K586" i="47"/>
  <c r="K585" i="47"/>
  <c r="K584" i="47"/>
  <c r="K583" i="47"/>
  <c r="K582" i="47"/>
  <c r="K581" i="47"/>
  <c r="K580" i="47"/>
  <c r="K579" i="47"/>
  <c r="K578" i="47"/>
  <c r="K577" i="47"/>
  <c r="K576" i="47"/>
  <c r="K575" i="47"/>
  <c r="K574" i="47"/>
  <c r="K573" i="47"/>
  <c r="K572" i="47"/>
  <c r="K571" i="47"/>
  <c r="K570" i="47"/>
  <c r="K569" i="47"/>
  <c r="K568" i="47"/>
  <c r="K567" i="47"/>
  <c r="K566" i="47"/>
  <c r="K565" i="47"/>
  <c r="K564" i="47"/>
  <c r="K563" i="47"/>
  <c r="K562" i="47"/>
  <c r="K561" i="47"/>
  <c r="K560" i="47"/>
  <c r="K559" i="47"/>
  <c r="K558" i="47"/>
  <c r="K557" i="47"/>
  <c r="K556" i="47"/>
  <c r="K555" i="47"/>
  <c r="K554" i="47"/>
  <c r="K553" i="47"/>
  <c r="K552" i="47"/>
  <c r="K551" i="47"/>
  <c r="K550" i="47"/>
  <c r="K549" i="47"/>
  <c r="K548" i="47"/>
  <c r="K547" i="47"/>
  <c r="K546" i="47"/>
  <c r="K545" i="47"/>
  <c r="K544" i="47"/>
  <c r="K543" i="47"/>
  <c r="K542" i="47"/>
  <c r="K541" i="47"/>
  <c r="K540" i="47"/>
  <c r="K539" i="47"/>
  <c r="K538" i="47"/>
  <c r="K537" i="47"/>
  <c r="K536" i="47"/>
  <c r="K535" i="47"/>
  <c r="K534" i="47"/>
  <c r="K533" i="47"/>
  <c r="K532" i="47"/>
  <c r="K531" i="47"/>
  <c r="K530" i="47"/>
  <c r="K529" i="47"/>
  <c r="K528" i="47"/>
  <c r="K527" i="47"/>
  <c r="K526" i="47"/>
  <c r="K525" i="47"/>
  <c r="K524" i="47"/>
  <c r="K523" i="47"/>
  <c r="K522" i="47"/>
  <c r="K521" i="47"/>
  <c r="K520" i="47"/>
  <c r="K519" i="47"/>
  <c r="K518" i="47"/>
  <c r="K517" i="47"/>
  <c r="K516" i="47"/>
  <c r="K515" i="47"/>
  <c r="K514" i="47"/>
  <c r="K513" i="47"/>
  <c r="K512" i="47"/>
  <c r="K511" i="47"/>
  <c r="K510" i="47"/>
  <c r="K509" i="47"/>
  <c r="K508" i="47"/>
  <c r="K507" i="47"/>
  <c r="K506" i="47"/>
  <c r="K505" i="47"/>
  <c r="K504" i="47"/>
  <c r="K503" i="47"/>
  <c r="K502" i="47"/>
  <c r="K501" i="47"/>
  <c r="K500" i="47"/>
  <c r="K499" i="47"/>
  <c r="K498" i="47"/>
  <c r="K497" i="47"/>
  <c r="K496" i="47"/>
  <c r="K495" i="47"/>
  <c r="K494" i="47"/>
  <c r="K493" i="47"/>
  <c r="K492" i="47"/>
  <c r="K491" i="47"/>
  <c r="K490" i="47"/>
  <c r="K489" i="47"/>
  <c r="K488" i="47"/>
  <c r="K487" i="47"/>
  <c r="K486" i="47"/>
  <c r="K485" i="47"/>
  <c r="K484" i="47"/>
  <c r="K483" i="47"/>
  <c r="K482" i="47"/>
  <c r="K481" i="47"/>
  <c r="K480" i="47"/>
  <c r="K479" i="47"/>
  <c r="K478" i="47"/>
  <c r="K477" i="47"/>
  <c r="K476" i="47"/>
  <c r="K475" i="47"/>
  <c r="K474" i="47"/>
  <c r="K473" i="47"/>
  <c r="K472" i="47"/>
  <c r="K471" i="47"/>
  <c r="K470" i="47"/>
  <c r="K469" i="47"/>
  <c r="K468" i="47"/>
  <c r="K467" i="47"/>
  <c r="K466" i="47"/>
  <c r="K465" i="47"/>
  <c r="K464" i="47"/>
  <c r="K463" i="47"/>
  <c r="K462" i="47"/>
  <c r="K461" i="47"/>
  <c r="K460" i="47"/>
  <c r="K459" i="47"/>
  <c r="K458" i="47"/>
  <c r="K457" i="47"/>
  <c r="K456" i="47"/>
  <c r="K455" i="47"/>
  <c r="K454" i="47"/>
  <c r="K453" i="47"/>
  <c r="K452" i="47"/>
  <c r="K451" i="47"/>
  <c r="K450" i="47"/>
  <c r="K449" i="47"/>
  <c r="K448" i="47"/>
  <c r="K447" i="47"/>
  <c r="K446" i="47"/>
  <c r="K445" i="47"/>
  <c r="K444" i="47"/>
  <c r="K443" i="47"/>
  <c r="K442" i="47"/>
  <c r="K441" i="47"/>
  <c r="K440" i="47"/>
  <c r="K439" i="47"/>
  <c r="K438" i="47"/>
  <c r="K437" i="47"/>
  <c r="K436" i="47"/>
  <c r="K435" i="47"/>
  <c r="K434" i="47"/>
  <c r="K433" i="47"/>
  <c r="K432" i="47"/>
  <c r="K431" i="47"/>
  <c r="K430" i="47"/>
  <c r="K429" i="47"/>
  <c r="K428" i="47"/>
  <c r="K427" i="47"/>
  <c r="K426" i="47"/>
  <c r="K425" i="47"/>
  <c r="K424" i="47"/>
  <c r="K423" i="47"/>
  <c r="K422" i="47"/>
  <c r="K421" i="47"/>
  <c r="K420" i="47"/>
  <c r="K419" i="47"/>
  <c r="K418" i="47"/>
  <c r="K417" i="47"/>
  <c r="K416" i="47"/>
  <c r="K415" i="47"/>
  <c r="K414" i="47"/>
  <c r="K413" i="47"/>
  <c r="K412" i="47"/>
  <c r="K411" i="47"/>
  <c r="K410" i="47"/>
  <c r="K409" i="47"/>
  <c r="K408" i="47"/>
  <c r="K407" i="47"/>
  <c r="K406" i="47"/>
  <c r="K405" i="47"/>
  <c r="K404" i="47"/>
  <c r="K382" i="47"/>
  <c r="J383" i="49" s="1"/>
  <c r="K351" i="47"/>
  <c r="J352" i="49" s="1"/>
  <c r="K321" i="47"/>
  <c r="J322" i="49" s="1"/>
  <c r="K290" i="47"/>
  <c r="J291" i="49" s="1"/>
  <c r="K260" i="47"/>
  <c r="J261" i="49" s="1"/>
  <c r="K229" i="47"/>
  <c r="J230" i="49" s="1"/>
  <c r="K201" i="47"/>
  <c r="J202" i="49" s="1"/>
  <c r="K170" i="47"/>
  <c r="J171" i="49" s="1"/>
  <c r="K139" i="47"/>
  <c r="J140" i="49" s="1"/>
  <c r="K109" i="47"/>
  <c r="J110" i="49" s="1"/>
  <c r="K78" i="47"/>
  <c r="J79" i="49" s="1"/>
  <c r="K48" i="47"/>
  <c r="J49" i="49" s="1"/>
  <c r="K17" i="47"/>
  <c r="J18" i="49" s="1"/>
  <c r="H4" i="47"/>
  <c r="G5" i="49" s="1"/>
  <c r="H5" i="47"/>
  <c r="G6" i="49" s="1"/>
  <c r="H6" i="47"/>
  <c r="G7" i="49" s="1"/>
  <c r="H7" i="47"/>
  <c r="G8" i="49" s="1"/>
  <c r="H8" i="47"/>
  <c r="G9" i="49" s="1"/>
  <c r="H9" i="47"/>
  <c r="G10" i="49" s="1"/>
  <c r="H10" i="47"/>
  <c r="G11" i="49" s="1"/>
  <c r="H11" i="47"/>
  <c r="G12" i="49" s="1"/>
  <c r="H12" i="47"/>
  <c r="G13" i="49" s="1"/>
  <c r="H13" i="47"/>
  <c r="G14" i="49" s="1"/>
  <c r="H14" i="47"/>
  <c r="G15" i="49" s="1"/>
  <c r="H15" i="47"/>
  <c r="G16" i="49" s="1"/>
  <c r="H16" i="47"/>
  <c r="G17" i="49" s="1"/>
  <c r="H17" i="47"/>
  <c r="G18" i="49" s="1"/>
  <c r="H18" i="47"/>
  <c r="G19" i="49" s="1"/>
  <c r="H19" i="47"/>
  <c r="G20" i="49" s="1"/>
  <c r="H20" i="47"/>
  <c r="G21" i="49" s="1"/>
  <c r="H21" i="47"/>
  <c r="G22" i="49" s="1"/>
  <c r="H22" i="47"/>
  <c r="G23" i="49" s="1"/>
  <c r="H23" i="47"/>
  <c r="G24" i="49" s="1"/>
  <c r="H24" i="47"/>
  <c r="G25" i="49" s="1"/>
  <c r="H25" i="47"/>
  <c r="G26" i="49" s="1"/>
  <c r="H26" i="47"/>
  <c r="G27" i="49" s="1"/>
  <c r="H27" i="47"/>
  <c r="G28" i="49" s="1"/>
  <c r="H28" i="47"/>
  <c r="G29" i="49" s="1"/>
  <c r="H29" i="47"/>
  <c r="G30" i="49" s="1"/>
  <c r="H30" i="47"/>
  <c r="G31" i="49" s="1"/>
  <c r="H31" i="47"/>
  <c r="G32" i="49" s="1"/>
  <c r="H32" i="47"/>
  <c r="G33" i="49" s="1"/>
  <c r="H33" i="47"/>
  <c r="G34" i="49" s="1"/>
  <c r="H34" i="47"/>
  <c r="G35" i="49" s="1"/>
  <c r="H35" i="47"/>
  <c r="G36" i="49" s="1"/>
  <c r="H36" i="47"/>
  <c r="G37" i="49" s="1"/>
  <c r="H37" i="47"/>
  <c r="G38" i="49" s="1"/>
  <c r="H38" i="47"/>
  <c r="G39" i="49" s="1"/>
  <c r="H39" i="47"/>
  <c r="G40" i="49" s="1"/>
  <c r="H40" i="47"/>
  <c r="G41" i="49" s="1"/>
  <c r="H41" i="47"/>
  <c r="G42" i="49" s="1"/>
  <c r="H42" i="47"/>
  <c r="G43" i="49" s="1"/>
  <c r="H43" i="47"/>
  <c r="G44" i="49" s="1"/>
  <c r="H44" i="47"/>
  <c r="G45" i="49" s="1"/>
  <c r="H45" i="47"/>
  <c r="G46" i="49" s="1"/>
  <c r="H46" i="47"/>
  <c r="G47" i="49" s="1"/>
  <c r="H47" i="47"/>
  <c r="G48" i="49" s="1"/>
  <c r="H48" i="47"/>
  <c r="G49" i="49" s="1"/>
  <c r="H49" i="47"/>
  <c r="G50" i="49" s="1"/>
  <c r="H50" i="47"/>
  <c r="G51" i="49" s="1"/>
  <c r="H51" i="47"/>
  <c r="G52" i="49" s="1"/>
  <c r="H52" i="47"/>
  <c r="G53" i="49" s="1"/>
  <c r="H53" i="47"/>
  <c r="G54" i="49" s="1"/>
  <c r="H54" i="47"/>
  <c r="G55" i="49" s="1"/>
  <c r="H55" i="47"/>
  <c r="G56" i="49" s="1"/>
  <c r="H56" i="47"/>
  <c r="G57" i="49" s="1"/>
  <c r="H57" i="47"/>
  <c r="G58" i="49" s="1"/>
  <c r="H58" i="47"/>
  <c r="G59" i="49" s="1"/>
  <c r="H59" i="47"/>
  <c r="G60" i="49" s="1"/>
  <c r="H60" i="47"/>
  <c r="G61" i="49" s="1"/>
  <c r="H61" i="47"/>
  <c r="G62" i="49" s="1"/>
  <c r="H62" i="47"/>
  <c r="G63" i="49" s="1"/>
  <c r="H63" i="47"/>
  <c r="G64" i="49" s="1"/>
  <c r="H64" i="47"/>
  <c r="G65" i="49" s="1"/>
  <c r="H65" i="47"/>
  <c r="G66" i="49" s="1"/>
  <c r="H66" i="47"/>
  <c r="G67" i="49" s="1"/>
  <c r="H67" i="47"/>
  <c r="G68" i="49" s="1"/>
  <c r="H68" i="47"/>
  <c r="G69" i="49" s="1"/>
  <c r="H69" i="47"/>
  <c r="G70" i="49" s="1"/>
  <c r="H70" i="47"/>
  <c r="G71" i="49" s="1"/>
  <c r="H71" i="47"/>
  <c r="G72" i="49" s="1"/>
  <c r="H72" i="47"/>
  <c r="G73" i="49" s="1"/>
  <c r="H73" i="47"/>
  <c r="G74" i="49" s="1"/>
  <c r="H74" i="47"/>
  <c r="G75" i="49" s="1"/>
  <c r="H75" i="47"/>
  <c r="G76" i="49" s="1"/>
  <c r="H76" i="47"/>
  <c r="G77" i="49" s="1"/>
  <c r="H77" i="47"/>
  <c r="G78" i="49" s="1"/>
  <c r="H78" i="47"/>
  <c r="G79" i="49" s="1"/>
  <c r="H79" i="47"/>
  <c r="G80" i="49" s="1"/>
  <c r="H80" i="47"/>
  <c r="G81" i="49" s="1"/>
  <c r="H81" i="47"/>
  <c r="G82" i="49" s="1"/>
  <c r="H82" i="47"/>
  <c r="G83" i="49" s="1"/>
  <c r="H83" i="47"/>
  <c r="G84" i="49" s="1"/>
  <c r="H84" i="47"/>
  <c r="G85" i="49" s="1"/>
  <c r="H85" i="47"/>
  <c r="G86" i="49" s="1"/>
  <c r="H86" i="47"/>
  <c r="G87" i="49" s="1"/>
  <c r="H87" i="47"/>
  <c r="G88" i="49" s="1"/>
  <c r="H88" i="47"/>
  <c r="G89" i="49" s="1"/>
  <c r="H89" i="47"/>
  <c r="G90" i="49" s="1"/>
  <c r="H90" i="47"/>
  <c r="G91" i="49" s="1"/>
  <c r="H91" i="47"/>
  <c r="G92" i="49" s="1"/>
  <c r="H92" i="47"/>
  <c r="G93" i="49" s="1"/>
  <c r="H93" i="47"/>
  <c r="G94" i="49" s="1"/>
  <c r="H94" i="47"/>
  <c r="G95" i="49" s="1"/>
  <c r="H95" i="47"/>
  <c r="G96" i="49" s="1"/>
  <c r="H96" i="47"/>
  <c r="G97" i="49" s="1"/>
  <c r="H97" i="47"/>
  <c r="G98" i="49" s="1"/>
  <c r="H98" i="47"/>
  <c r="G99" i="49" s="1"/>
  <c r="H99" i="47"/>
  <c r="G100" i="49" s="1"/>
  <c r="H100" i="47"/>
  <c r="G101" i="49" s="1"/>
  <c r="H101" i="47"/>
  <c r="G102" i="49" s="1"/>
  <c r="H102" i="47"/>
  <c r="G103" i="49" s="1"/>
  <c r="H103" i="47"/>
  <c r="G104" i="49" s="1"/>
  <c r="H104" i="47"/>
  <c r="G105" i="49" s="1"/>
  <c r="H105" i="47"/>
  <c r="G106" i="49" s="1"/>
  <c r="H106" i="47"/>
  <c r="G107" i="49" s="1"/>
  <c r="H107" i="47"/>
  <c r="G108" i="49" s="1"/>
  <c r="H108" i="47"/>
  <c r="G109" i="49" s="1"/>
  <c r="H109" i="47"/>
  <c r="G110" i="49" s="1"/>
  <c r="H110" i="47"/>
  <c r="G111" i="49" s="1"/>
  <c r="H111" i="47"/>
  <c r="G112" i="49" s="1"/>
  <c r="H112" i="47"/>
  <c r="G113" i="49" s="1"/>
  <c r="H113" i="47"/>
  <c r="G114" i="49" s="1"/>
  <c r="H114" i="47"/>
  <c r="G115" i="49" s="1"/>
  <c r="H115" i="47"/>
  <c r="G116" i="49" s="1"/>
  <c r="H116" i="47"/>
  <c r="G117" i="49" s="1"/>
  <c r="H117" i="47"/>
  <c r="G118" i="49" s="1"/>
  <c r="H118" i="47"/>
  <c r="G119" i="49" s="1"/>
  <c r="H119" i="47"/>
  <c r="G120" i="49" s="1"/>
  <c r="H120" i="47"/>
  <c r="G121" i="49" s="1"/>
  <c r="H121" i="47"/>
  <c r="G122" i="49" s="1"/>
  <c r="H122" i="47"/>
  <c r="G123" i="49" s="1"/>
  <c r="H123" i="47"/>
  <c r="G124" i="49" s="1"/>
  <c r="H124" i="47"/>
  <c r="G125" i="49" s="1"/>
  <c r="H125" i="47"/>
  <c r="G126" i="49" s="1"/>
  <c r="H126" i="47"/>
  <c r="G127" i="49" s="1"/>
  <c r="H127" i="47"/>
  <c r="G128" i="49" s="1"/>
  <c r="H128" i="47"/>
  <c r="G129" i="49" s="1"/>
  <c r="H129" i="47"/>
  <c r="G130" i="49" s="1"/>
  <c r="H130" i="47"/>
  <c r="G131" i="49" s="1"/>
  <c r="H131" i="47"/>
  <c r="G132" i="49" s="1"/>
  <c r="H132" i="47"/>
  <c r="G133" i="49" s="1"/>
  <c r="H133" i="47"/>
  <c r="G134" i="49" s="1"/>
  <c r="H134" i="47"/>
  <c r="G135" i="49" s="1"/>
  <c r="H135" i="47"/>
  <c r="G136" i="49" s="1"/>
  <c r="H136" i="47"/>
  <c r="G137" i="49" s="1"/>
  <c r="H137" i="47"/>
  <c r="G138" i="49" s="1"/>
  <c r="H138" i="47"/>
  <c r="G139" i="49" s="1"/>
  <c r="H139" i="47"/>
  <c r="G140" i="49" s="1"/>
  <c r="H140" i="47"/>
  <c r="G141" i="49" s="1"/>
  <c r="H141" i="47"/>
  <c r="G142" i="49" s="1"/>
  <c r="H142" i="47"/>
  <c r="G143" i="49" s="1"/>
  <c r="H143" i="47"/>
  <c r="G144" i="49" s="1"/>
  <c r="H144" i="47"/>
  <c r="G145" i="49" s="1"/>
  <c r="H145" i="47"/>
  <c r="G146" i="49" s="1"/>
  <c r="H146" i="47"/>
  <c r="G147" i="49" s="1"/>
  <c r="H147" i="47"/>
  <c r="G148" i="49" s="1"/>
  <c r="H148" i="47"/>
  <c r="G149" i="49" s="1"/>
  <c r="H149" i="47"/>
  <c r="G150" i="49" s="1"/>
  <c r="H150" i="47"/>
  <c r="G151" i="49" s="1"/>
  <c r="H151" i="47"/>
  <c r="G152" i="49" s="1"/>
  <c r="H152" i="47"/>
  <c r="G153" i="49" s="1"/>
  <c r="H153" i="47"/>
  <c r="G154" i="49" s="1"/>
  <c r="H154" i="47"/>
  <c r="G155" i="49" s="1"/>
  <c r="H155" i="47"/>
  <c r="G156" i="49" s="1"/>
  <c r="H156" i="47"/>
  <c r="G157" i="49" s="1"/>
  <c r="H157" i="47"/>
  <c r="G158" i="49" s="1"/>
  <c r="H158" i="47"/>
  <c r="G159" i="49" s="1"/>
  <c r="H159" i="47"/>
  <c r="G160" i="49" s="1"/>
  <c r="H160" i="47"/>
  <c r="G161" i="49" s="1"/>
  <c r="H161" i="47"/>
  <c r="G162" i="49" s="1"/>
  <c r="H162" i="47"/>
  <c r="G163" i="49" s="1"/>
  <c r="H163" i="47"/>
  <c r="G164" i="49" s="1"/>
  <c r="H164" i="47"/>
  <c r="G165" i="49" s="1"/>
  <c r="H165" i="47"/>
  <c r="G166" i="49" s="1"/>
  <c r="H166" i="47"/>
  <c r="G167" i="49" s="1"/>
  <c r="H167" i="47"/>
  <c r="G168" i="49" s="1"/>
  <c r="H168" i="47"/>
  <c r="G169" i="49" s="1"/>
  <c r="H169" i="47"/>
  <c r="G170" i="49" s="1"/>
  <c r="H170" i="47"/>
  <c r="G171" i="49" s="1"/>
  <c r="H171" i="47"/>
  <c r="G172" i="49" s="1"/>
  <c r="H172" i="47"/>
  <c r="G173" i="49" s="1"/>
  <c r="H173" i="47"/>
  <c r="G174" i="49" s="1"/>
  <c r="H174" i="47"/>
  <c r="G175" i="49" s="1"/>
  <c r="H175" i="47"/>
  <c r="G176" i="49" s="1"/>
  <c r="H176" i="47"/>
  <c r="G177" i="49" s="1"/>
  <c r="H177" i="47"/>
  <c r="G178" i="49" s="1"/>
  <c r="H178" i="47"/>
  <c r="G179" i="49" s="1"/>
  <c r="H179" i="47"/>
  <c r="G180" i="49" s="1"/>
  <c r="H180" i="47"/>
  <c r="G181" i="49" s="1"/>
  <c r="H181" i="47"/>
  <c r="G182" i="49" s="1"/>
  <c r="H182" i="47"/>
  <c r="G183" i="49" s="1"/>
  <c r="H183" i="47"/>
  <c r="G184" i="49" s="1"/>
  <c r="H184" i="47"/>
  <c r="G185" i="49" s="1"/>
  <c r="H185" i="47"/>
  <c r="G186" i="49" s="1"/>
  <c r="H186" i="47"/>
  <c r="G187" i="49" s="1"/>
  <c r="H187" i="47"/>
  <c r="G188" i="49" s="1"/>
  <c r="H188" i="47"/>
  <c r="G189" i="49" s="1"/>
  <c r="H189" i="47"/>
  <c r="G190" i="49" s="1"/>
  <c r="H190" i="47"/>
  <c r="G191" i="49" s="1"/>
  <c r="H191" i="47"/>
  <c r="G192" i="49" s="1"/>
  <c r="H192" i="47"/>
  <c r="G193" i="49" s="1"/>
  <c r="H193" i="47"/>
  <c r="G194" i="49" s="1"/>
  <c r="H194" i="47"/>
  <c r="G195" i="49" s="1"/>
  <c r="H195" i="47"/>
  <c r="G196" i="49" s="1"/>
  <c r="H196" i="47"/>
  <c r="G197" i="49" s="1"/>
  <c r="H197" i="47"/>
  <c r="G198" i="49" s="1"/>
  <c r="H198" i="47"/>
  <c r="G199" i="49" s="1"/>
  <c r="H199" i="47"/>
  <c r="G200" i="49" s="1"/>
  <c r="H200" i="47"/>
  <c r="G201" i="49" s="1"/>
  <c r="H201" i="47"/>
  <c r="G202" i="49" s="1"/>
  <c r="H202" i="47"/>
  <c r="G203" i="49" s="1"/>
  <c r="H203" i="47"/>
  <c r="G204" i="49" s="1"/>
  <c r="H204" i="47"/>
  <c r="G205" i="49" s="1"/>
  <c r="H205" i="47"/>
  <c r="G206" i="49" s="1"/>
  <c r="H206" i="47"/>
  <c r="G207" i="49" s="1"/>
  <c r="H207" i="47"/>
  <c r="G208" i="49" s="1"/>
  <c r="H208" i="47"/>
  <c r="G209" i="49" s="1"/>
  <c r="H209" i="47"/>
  <c r="G210" i="49" s="1"/>
  <c r="H210" i="47"/>
  <c r="G211" i="49" s="1"/>
  <c r="H211" i="47"/>
  <c r="G212" i="49" s="1"/>
  <c r="H212" i="47"/>
  <c r="G213" i="49" s="1"/>
  <c r="H213" i="47"/>
  <c r="G214" i="49" s="1"/>
  <c r="H214" i="47"/>
  <c r="G215" i="49" s="1"/>
  <c r="H215" i="47"/>
  <c r="G216" i="49" s="1"/>
  <c r="H216" i="47"/>
  <c r="G217" i="49" s="1"/>
  <c r="H217" i="47"/>
  <c r="G218" i="49" s="1"/>
  <c r="H218" i="47"/>
  <c r="G219" i="49" s="1"/>
  <c r="H219" i="47"/>
  <c r="G220" i="49" s="1"/>
  <c r="H220" i="47"/>
  <c r="G221" i="49" s="1"/>
  <c r="H221" i="47"/>
  <c r="G222" i="49" s="1"/>
  <c r="H222" i="47"/>
  <c r="G223" i="49" s="1"/>
  <c r="H223" i="47"/>
  <c r="G224" i="49" s="1"/>
  <c r="H224" i="47"/>
  <c r="G225" i="49" s="1"/>
  <c r="H225" i="47"/>
  <c r="G226" i="49" s="1"/>
  <c r="H226" i="47"/>
  <c r="G227" i="49" s="1"/>
  <c r="H227" i="47"/>
  <c r="G228" i="49" s="1"/>
  <c r="H228" i="47"/>
  <c r="G229" i="49" s="1"/>
  <c r="H229" i="47"/>
  <c r="G230" i="49" s="1"/>
  <c r="H230" i="47"/>
  <c r="G231" i="49" s="1"/>
  <c r="H231" i="47"/>
  <c r="G232" i="49" s="1"/>
  <c r="H232" i="47"/>
  <c r="G233" i="49" s="1"/>
  <c r="H233" i="47"/>
  <c r="G234" i="49" s="1"/>
  <c r="H234" i="47"/>
  <c r="G235" i="49" s="1"/>
  <c r="H235" i="47"/>
  <c r="G236" i="49" s="1"/>
  <c r="H236" i="47"/>
  <c r="G237" i="49" s="1"/>
  <c r="H237" i="47"/>
  <c r="G238" i="49" s="1"/>
  <c r="H238" i="47"/>
  <c r="G239" i="49" s="1"/>
  <c r="H239" i="47"/>
  <c r="G240" i="49" s="1"/>
  <c r="H240" i="47"/>
  <c r="G241" i="49" s="1"/>
  <c r="H241" i="47"/>
  <c r="G242" i="49" s="1"/>
  <c r="H242" i="47"/>
  <c r="G243" i="49" s="1"/>
  <c r="H243" i="47"/>
  <c r="G244" i="49" s="1"/>
  <c r="H244" i="47"/>
  <c r="G245" i="49" s="1"/>
  <c r="H245" i="47"/>
  <c r="G246" i="49" s="1"/>
  <c r="H246" i="47"/>
  <c r="G247" i="49" s="1"/>
  <c r="H247" i="47"/>
  <c r="G248" i="49" s="1"/>
  <c r="H248" i="47"/>
  <c r="G249" i="49" s="1"/>
  <c r="H249" i="47"/>
  <c r="G250" i="49" s="1"/>
  <c r="H250" i="47"/>
  <c r="G251" i="49" s="1"/>
  <c r="H251" i="47"/>
  <c r="G252" i="49" s="1"/>
  <c r="H252" i="47"/>
  <c r="G253" i="49" s="1"/>
  <c r="H253" i="47"/>
  <c r="G254" i="49" s="1"/>
  <c r="H254" i="47"/>
  <c r="G255" i="49" s="1"/>
  <c r="H255" i="47"/>
  <c r="G256" i="49" s="1"/>
  <c r="H256" i="47"/>
  <c r="G257" i="49" s="1"/>
  <c r="H257" i="47"/>
  <c r="G258" i="49" s="1"/>
  <c r="H258" i="47"/>
  <c r="G259" i="49" s="1"/>
  <c r="H259" i="47"/>
  <c r="G260" i="49" s="1"/>
  <c r="H260" i="47"/>
  <c r="G261" i="49" s="1"/>
  <c r="H261" i="47"/>
  <c r="G262" i="49" s="1"/>
  <c r="H262" i="47"/>
  <c r="G263" i="49" s="1"/>
  <c r="H263" i="47"/>
  <c r="G264" i="49" s="1"/>
  <c r="H264" i="47"/>
  <c r="G265" i="49" s="1"/>
  <c r="H265" i="47"/>
  <c r="G266" i="49" s="1"/>
  <c r="H266" i="47"/>
  <c r="G267" i="49" s="1"/>
  <c r="H267" i="47"/>
  <c r="G268" i="49" s="1"/>
  <c r="H268" i="47"/>
  <c r="G269" i="49" s="1"/>
  <c r="H269" i="47"/>
  <c r="G270" i="49" s="1"/>
  <c r="H270" i="47"/>
  <c r="G271" i="49" s="1"/>
  <c r="H271" i="47"/>
  <c r="G272" i="49" s="1"/>
  <c r="H272" i="47"/>
  <c r="G273" i="49" s="1"/>
  <c r="H273" i="47"/>
  <c r="G274" i="49" s="1"/>
  <c r="H274" i="47"/>
  <c r="G275" i="49" s="1"/>
  <c r="H275" i="47"/>
  <c r="G276" i="49" s="1"/>
  <c r="H276" i="47"/>
  <c r="G277" i="49" s="1"/>
  <c r="H277" i="47"/>
  <c r="G278" i="49" s="1"/>
  <c r="H278" i="47"/>
  <c r="G279" i="49" s="1"/>
  <c r="H279" i="47"/>
  <c r="G280" i="49" s="1"/>
  <c r="H280" i="47"/>
  <c r="G281" i="49" s="1"/>
  <c r="H281" i="47"/>
  <c r="G282" i="49" s="1"/>
  <c r="H282" i="47"/>
  <c r="G283" i="49" s="1"/>
  <c r="H283" i="47"/>
  <c r="G284" i="49" s="1"/>
  <c r="H284" i="47"/>
  <c r="G285" i="49" s="1"/>
  <c r="H285" i="47"/>
  <c r="G286" i="49" s="1"/>
  <c r="H286" i="47"/>
  <c r="G287" i="49" s="1"/>
  <c r="H287" i="47"/>
  <c r="G288" i="49" s="1"/>
  <c r="H288" i="47"/>
  <c r="G289" i="49" s="1"/>
  <c r="H289" i="47"/>
  <c r="G290" i="49" s="1"/>
  <c r="H290" i="47"/>
  <c r="G291" i="49" s="1"/>
  <c r="H291" i="47"/>
  <c r="G292" i="49" s="1"/>
  <c r="H292" i="47"/>
  <c r="G293" i="49" s="1"/>
  <c r="H293" i="47"/>
  <c r="G294" i="49" s="1"/>
  <c r="H294" i="47"/>
  <c r="G295" i="49" s="1"/>
  <c r="H295" i="47"/>
  <c r="G296" i="49" s="1"/>
  <c r="H296" i="47"/>
  <c r="G297" i="49" s="1"/>
  <c r="H297" i="47"/>
  <c r="G298" i="49" s="1"/>
  <c r="H298" i="47"/>
  <c r="G299" i="49" s="1"/>
  <c r="H299" i="47"/>
  <c r="G300" i="49" s="1"/>
  <c r="H300" i="47"/>
  <c r="G301" i="49" s="1"/>
  <c r="H301" i="47"/>
  <c r="G302" i="49" s="1"/>
  <c r="H302" i="47"/>
  <c r="G303" i="49" s="1"/>
  <c r="H303" i="47"/>
  <c r="G304" i="49" s="1"/>
  <c r="H304" i="47"/>
  <c r="G305" i="49" s="1"/>
  <c r="H305" i="47"/>
  <c r="G306" i="49" s="1"/>
  <c r="H306" i="47"/>
  <c r="G307" i="49" s="1"/>
  <c r="H307" i="47"/>
  <c r="G308" i="49" s="1"/>
  <c r="H308" i="47"/>
  <c r="G309" i="49" s="1"/>
  <c r="H309" i="47"/>
  <c r="G310" i="49" s="1"/>
  <c r="H310" i="47"/>
  <c r="G311" i="49" s="1"/>
  <c r="H311" i="47"/>
  <c r="G312" i="49" s="1"/>
  <c r="H312" i="47"/>
  <c r="G313" i="49" s="1"/>
  <c r="H313" i="47"/>
  <c r="G314" i="49" s="1"/>
  <c r="H314" i="47"/>
  <c r="G315" i="49" s="1"/>
  <c r="H315" i="47"/>
  <c r="G316" i="49" s="1"/>
  <c r="H316" i="47"/>
  <c r="G317" i="49" s="1"/>
  <c r="H317" i="47"/>
  <c r="G318" i="49" s="1"/>
  <c r="H318" i="47"/>
  <c r="G319" i="49" s="1"/>
  <c r="H319" i="47"/>
  <c r="G320" i="49" s="1"/>
  <c r="H320" i="47"/>
  <c r="G321" i="49" s="1"/>
  <c r="H321" i="47"/>
  <c r="G322" i="49" s="1"/>
  <c r="H322" i="47"/>
  <c r="G323" i="49" s="1"/>
  <c r="H323" i="47"/>
  <c r="G324" i="49" s="1"/>
  <c r="H324" i="47"/>
  <c r="G325" i="49" s="1"/>
  <c r="H325" i="47"/>
  <c r="G326" i="49" s="1"/>
  <c r="H326" i="47"/>
  <c r="G327" i="49" s="1"/>
  <c r="H327" i="47"/>
  <c r="G328" i="49" s="1"/>
  <c r="H328" i="47"/>
  <c r="G329" i="49" s="1"/>
  <c r="H329" i="47"/>
  <c r="G330" i="49" s="1"/>
  <c r="H330" i="47"/>
  <c r="G331" i="49" s="1"/>
  <c r="H331" i="47"/>
  <c r="G332" i="49" s="1"/>
  <c r="H332" i="47"/>
  <c r="G333" i="49" s="1"/>
  <c r="H333" i="47"/>
  <c r="G334" i="49" s="1"/>
  <c r="H334" i="47"/>
  <c r="G335" i="49" s="1"/>
  <c r="H335" i="47"/>
  <c r="G336" i="49" s="1"/>
  <c r="H336" i="47"/>
  <c r="G337" i="49" s="1"/>
  <c r="H337" i="47"/>
  <c r="G338" i="49" s="1"/>
  <c r="H338" i="47"/>
  <c r="G339" i="49" s="1"/>
  <c r="H339" i="47"/>
  <c r="G340" i="49" s="1"/>
  <c r="H340" i="47"/>
  <c r="G341" i="49" s="1"/>
  <c r="H341" i="47"/>
  <c r="G342" i="49" s="1"/>
  <c r="H342" i="47"/>
  <c r="G343" i="49" s="1"/>
  <c r="H343" i="47"/>
  <c r="G344" i="49" s="1"/>
  <c r="H344" i="47"/>
  <c r="G345" i="49" s="1"/>
  <c r="H345" i="47"/>
  <c r="G346" i="49" s="1"/>
  <c r="H346" i="47"/>
  <c r="G347" i="49" s="1"/>
  <c r="H347" i="47"/>
  <c r="G348" i="49" s="1"/>
  <c r="H348" i="47"/>
  <c r="G349" i="49" s="1"/>
  <c r="H349" i="47"/>
  <c r="G350" i="49" s="1"/>
  <c r="H350" i="47"/>
  <c r="G351" i="49" s="1"/>
  <c r="H351" i="47"/>
  <c r="G352" i="49" s="1"/>
  <c r="H352" i="47"/>
  <c r="G353" i="49" s="1"/>
  <c r="H353" i="47"/>
  <c r="G354" i="49" s="1"/>
  <c r="H354" i="47"/>
  <c r="G355" i="49" s="1"/>
  <c r="H355" i="47"/>
  <c r="G356" i="49" s="1"/>
  <c r="H356" i="47"/>
  <c r="G357" i="49" s="1"/>
  <c r="H357" i="47"/>
  <c r="G358" i="49" s="1"/>
  <c r="H358" i="47"/>
  <c r="G359" i="49" s="1"/>
  <c r="H359" i="47"/>
  <c r="G360" i="49" s="1"/>
  <c r="H360" i="47"/>
  <c r="G361" i="49" s="1"/>
  <c r="H361" i="47"/>
  <c r="G362" i="49" s="1"/>
  <c r="H362" i="47"/>
  <c r="G363" i="49" s="1"/>
  <c r="H363" i="47"/>
  <c r="G364" i="49" s="1"/>
  <c r="H364" i="47"/>
  <c r="G365" i="49" s="1"/>
  <c r="H365" i="47"/>
  <c r="G366" i="49" s="1"/>
  <c r="H366" i="47"/>
  <c r="G367" i="49" s="1"/>
  <c r="H367" i="47"/>
  <c r="G368" i="49" s="1"/>
  <c r="H368" i="47"/>
  <c r="G369" i="49" s="1"/>
  <c r="H369" i="47"/>
  <c r="G370" i="49" s="1"/>
  <c r="H370" i="47"/>
  <c r="G371" i="49" s="1"/>
  <c r="H371" i="47"/>
  <c r="G372" i="49" s="1"/>
  <c r="H372" i="47"/>
  <c r="G373" i="49" s="1"/>
  <c r="H373" i="47"/>
  <c r="G374" i="49" s="1"/>
  <c r="H374" i="47"/>
  <c r="G375" i="49" s="1"/>
  <c r="H375" i="47"/>
  <c r="G376" i="49" s="1"/>
  <c r="H376" i="47"/>
  <c r="G377" i="49" s="1"/>
  <c r="H377" i="47"/>
  <c r="G378" i="49" s="1"/>
  <c r="H378" i="47"/>
  <c r="G379" i="49" s="1"/>
  <c r="H379" i="47"/>
  <c r="G380" i="49" s="1"/>
  <c r="H380" i="47"/>
  <c r="G381" i="49" s="1"/>
  <c r="H381" i="47"/>
  <c r="G382" i="49" s="1"/>
  <c r="H382" i="47"/>
  <c r="G383" i="49" s="1"/>
  <c r="H383" i="47"/>
  <c r="G384" i="49" s="1"/>
  <c r="H384" i="47"/>
  <c r="G385" i="49" s="1"/>
  <c r="H385" i="47"/>
  <c r="G386" i="49" s="1"/>
  <c r="H386" i="47"/>
  <c r="G387" i="49" s="1"/>
  <c r="H387" i="47"/>
  <c r="G388" i="49" s="1"/>
  <c r="H388" i="47"/>
  <c r="G389" i="49" s="1"/>
  <c r="H389" i="47"/>
  <c r="G390" i="49" s="1"/>
  <c r="H390" i="47"/>
  <c r="G391" i="49" s="1"/>
  <c r="H391" i="47"/>
  <c r="G392" i="49" s="1"/>
  <c r="H392" i="47"/>
  <c r="G393" i="49" s="1"/>
  <c r="H393" i="47"/>
  <c r="G394" i="49" s="1"/>
  <c r="H394" i="47"/>
  <c r="G395" i="49" s="1"/>
  <c r="H395" i="47"/>
  <c r="G396" i="49" s="1"/>
  <c r="H396" i="47"/>
  <c r="G397" i="49" s="1"/>
  <c r="H397" i="47"/>
  <c r="G398" i="49" s="1"/>
  <c r="H398" i="47"/>
  <c r="G399" i="49" s="1"/>
  <c r="H399" i="47"/>
  <c r="H400" i="47"/>
  <c r="H401" i="47"/>
  <c r="H402" i="47"/>
  <c r="H403" i="47"/>
  <c r="H404" i="47"/>
  <c r="H405" i="47"/>
  <c r="H406" i="47"/>
  <c r="H407" i="47"/>
  <c r="H408" i="47"/>
  <c r="H409" i="47"/>
  <c r="H410" i="47"/>
  <c r="H411" i="47"/>
  <c r="H412" i="47"/>
  <c r="H413" i="47"/>
  <c r="H414" i="47"/>
  <c r="H415" i="47"/>
  <c r="H416" i="47"/>
  <c r="H417" i="47"/>
  <c r="H418" i="47"/>
  <c r="H419" i="47"/>
  <c r="H420" i="47"/>
  <c r="H421" i="47"/>
  <c r="H422" i="47"/>
  <c r="H423" i="47"/>
  <c r="H424" i="47"/>
  <c r="H425" i="47"/>
  <c r="H426" i="47"/>
  <c r="H427" i="47"/>
  <c r="H428" i="47"/>
  <c r="H429" i="47"/>
  <c r="H430" i="47"/>
  <c r="H431" i="47"/>
  <c r="H432" i="47"/>
  <c r="H433" i="47"/>
  <c r="H434" i="47"/>
  <c r="H435" i="47"/>
  <c r="H436" i="47"/>
  <c r="H437" i="47"/>
  <c r="H438" i="47"/>
  <c r="H439" i="47"/>
  <c r="H440" i="47"/>
  <c r="H441" i="47"/>
  <c r="H442" i="47"/>
  <c r="H443" i="47"/>
  <c r="H444" i="47"/>
  <c r="H445" i="47"/>
  <c r="H446" i="47"/>
  <c r="H447" i="47"/>
  <c r="H448" i="47"/>
  <c r="H449" i="47"/>
  <c r="H450" i="47"/>
  <c r="H451" i="47"/>
  <c r="H452" i="47"/>
  <c r="H453" i="47"/>
  <c r="H454" i="47"/>
  <c r="H455" i="47"/>
  <c r="H456" i="47"/>
  <c r="H457" i="47"/>
  <c r="H458" i="47"/>
  <c r="H459" i="47"/>
  <c r="H460" i="47"/>
  <c r="H461" i="47"/>
  <c r="H462" i="47"/>
  <c r="H463" i="47"/>
  <c r="H464" i="47"/>
  <c r="H465" i="47"/>
  <c r="H466" i="47"/>
  <c r="H467" i="47"/>
  <c r="H468" i="47"/>
  <c r="H469" i="47"/>
  <c r="H470" i="47"/>
  <c r="H471" i="47"/>
  <c r="H472" i="47"/>
  <c r="H473" i="47"/>
  <c r="H474" i="47"/>
  <c r="H475" i="47"/>
  <c r="H476" i="47"/>
  <c r="H477" i="47"/>
  <c r="H478" i="47"/>
  <c r="H479" i="47"/>
  <c r="H480" i="47"/>
  <c r="H481" i="47"/>
  <c r="H482" i="47"/>
  <c r="H483" i="47"/>
  <c r="H484" i="47"/>
  <c r="H485" i="47"/>
  <c r="H486" i="47"/>
  <c r="H487" i="47"/>
  <c r="H488" i="47"/>
  <c r="H489" i="47"/>
  <c r="H490" i="47"/>
  <c r="H491" i="47"/>
  <c r="H492" i="47"/>
  <c r="H493" i="47"/>
  <c r="H494" i="47"/>
  <c r="H495" i="47"/>
  <c r="H496" i="47"/>
  <c r="H497" i="47"/>
  <c r="H498" i="47"/>
  <c r="H499" i="47"/>
  <c r="H500" i="47"/>
  <c r="H501" i="47"/>
  <c r="H502" i="47"/>
  <c r="H503" i="47"/>
  <c r="H504" i="47"/>
  <c r="H505" i="47"/>
  <c r="H506" i="47"/>
  <c r="H507" i="47"/>
  <c r="H508" i="47"/>
  <c r="H509" i="47"/>
  <c r="H510" i="47"/>
  <c r="H511" i="47"/>
  <c r="H512" i="47"/>
  <c r="H513" i="47"/>
  <c r="H514" i="47"/>
  <c r="H515" i="47"/>
  <c r="H516" i="47"/>
  <c r="H517" i="47"/>
  <c r="H518" i="47"/>
  <c r="H519" i="47"/>
  <c r="H520" i="47"/>
  <c r="H521" i="47"/>
  <c r="H522" i="47"/>
  <c r="H523" i="47"/>
  <c r="H524" i="47"/>
  <c r="H525" i="47"/>
  <c r="H526" i="47"/>
  <c r="H527" i="47"/>
  <c r="H528" i="47"/>
  <c r="H529" i="47"/>
  <c r="H530" i="47"/>
  <c r="H531" i="47"/>
  <c r="H532" i="47"/>
  <c r="H533" i="47"/>
  <c r="H534" i="47"/>
  <c r="H535" i="47"/>
  <c r="H536" i="47"/>
  <c r="H537" i="47"/>
  <c r="H538" i="47"/>
  <c r="H539" i="47"/>
  <c r="H540" i="47"/>
  <c r="H541" i="47"/>
  <c r="H542" i="47"/>
  <c r="H543" i="47"/>
  <c r="H544" i="47"/>
  <c r="H545" i="47"/>
  <c r="H546" i="47"/>
  <c r="H547" i="47"/>
  <c r="H548" i="47"/>
  <c r="H549" i="47"/>
  <c r="H550" i="47"/>
  <c r="H551" i="47"/>
  <c r="H552" i="47"/>
  <c r="H553" i="47"/>
  <c r="H554" i="47"/>
  <c r="H555" i="47"/>
  <c r="H556" i="47"/>
  <c r="H557" i="47"/>
  <c r="H558" i="47"/>
  <c r="H559" i="47"/>
  <c r="H560" i="47"/>
  <c r="H561" i="47"/>
  <c r="H562" i="47"/>
  <c r="H563" i="47"/>
  <c r="H564" i="47"/>
  <c r="H565" i="47"/>
  <c r="H566" i="47"/>
  <c r="H567" i="47"/>
  <c r="H568" i="47"/>
  <c r="H569" i="47"/>
  <c r="H570" i="47"/>
  <c r="H571" i="47"/>
  <c r="H572" i="47"/>
  <c r="H573" i="47"/>
  <c r="H574" i="47"/>
  <c r="H575" i="47"/>
  <c r="H576" i="47"/>
  <c r="H577" i="47"/>
  <c r="H578" i="47"/>
  <c r="H579" i="47"/>
  <c r="H580" i="47"/>
  <c r="H581" i="47"/>
  <c r="H582" i="47"/>
  <c r="H583" i="47"/>
  <c r="H584" i="47"/>
  <c r="H585" i="47"/>
  <c r="H586" i="47"/>
  <c r="H587" i="47"/>
  <c r="H588" i="47"/>
  <c r="H589" i="47"/>
  <c r="H590" i="47"/>
  <c r="H591" i="47"/>
  <c r="H592" i="47"/>
  <c r="H593" i="47"/>
  <c r="H594" i="47"/>
  <c r="H595" i="47"/>
  <c r="H596" i="47"/>
  <c r="H597" i="47"/>
  <c r="H598" i="47"/>
  <c r="H599" i="47"/>
  <c r="H600" i="47"/>
  <c r="H601" i="47"/>
  <c r="H602" i="47"/>
  <c r="H603" i="47"/>
  <c r="H604" i="47"/>
  <c r="H605" i="47"/>
  <c r="H606" i="47"/>
  <c r="H607" i="47"/>
  <c r="H608" i="47"/>
  <c r="H609" i="47"/>
  <c r="H610" i="47"/>
  <c r="H611" i="47"/>
  <c r="H612" i="47"/>
  <c r="H613" i="47"/>
  <c r="H614" i="47"/>
  <c r="H615" i="47"/>
  <c r="H616" i="47"/>
  <c r="H617" i="47"/>
  <c r="H618" i="47"/>
  <c r="H619" i="47"/>
  <c r="H620" i="47"/>
  <c r="H621" i="47"/>
  <c r="H622" i="47"/>
  <c r="H623" i="47"/>
  <c r="H624" i="47"/>
  <c r="H625" i="47"/>
  <c r="H626" i="47"/>
  <c r="H627" i="47"/>
  <c r="H628" i="47"/>
  <c r="H629" i="47"/>
  <c r="H630" i="47"/>
  <c r="H631" i="47"/>
  <c r="H632" i="47"/>
  <c r="H633" i="47"/>
  <c r="H634" i="47"/>
  <c r="H635" i="47"/>
  <c r="H636" i="47"/>
  <c r="H637" i="47"/>
  <c r="H638" i="47"/>
  <c r="H639" i="47"/>
  <c r="H640" i="47"/>
  <c r="H641" i="47"/>
  <c r="H642" i="47"/>
  <c r="H643" i="47"/>
  <c r="H644" i="47"/>
  <c r="H645" i="47"/>
  <c r="H646" i="47"/>
  <c r="H647" i="47"/>
  <c r="H648" i="47"/>
  <c r="H649" i="47"/>
  <c r="H650" i="47"/>
  <c r="H651" i="47"/>
  <c r="H652" i="47"/>
  <c r="H653" i="47"/>
  <c r="H654" i="47"/>
  <c r="H655" i="47"/>
  <c r="H656" i="47"/>
  <c r="H657" i="47"/>
  <c r="H658" i="47"/>
  <c r="H659" i="47"/>
  <c r="H660" i="47"/>
  <c r="H661" i="47"/>
  <c r="H662" i="47"/>
  <c r="H663" i="47"/>
  <c r="H664" i="47"/>
  <c r="H665" i="47"/>
  <c r="H666" i="47"/>
  <c r="H667" i="47"/>
  <c r="H668" i="47"/>
  <c r="H669" i="47"/>
  <c r="H670" i="47"/>
  <c r="H671" i="47"/>
  <c r="H672" i="47"/>
  <c r="H673" i="47"/>
  <c r="H674" i="47"/>
  <c r="H675" i="47"/>
  <c r="H676" i="47"/>
  <c r="H677" i="47"/>
  <c r="H678" i="47"/>
  <c r="H679" i="47"/>
  <c r="H680" i="47"/>
  <c r="H681" i="47"/>
  <c r="H682" i="47"/>
  <c r="H683" i="47"/>
  <c r="H684" i="47"/>
  <c r="H685" i="47"/>
  <c r="H686" i="47"/>
  <c r="H687" i="47"/>
  <c r="H688" i="47"/>
  <c r="H689" i="47"/>
  <c r="H690" i="47"/>
  <c r="H691" i="47"/>
  <c r="H692" i="47"/>
  <c r="H693" i="47"/>
  <c r="H694" i="47"/>
  <c r="H695" i="47"/>
  <c r="H696" i="47"/>
  <c r="H697" i="47"/>
  <c r="H698" i="47"/>
  <c r="H699" i="47"/>
  <c r="H700" i="47"/>
  <c r="H701" i="47"/>
  <c r="H702" i="47"/>
  <c r="H703" i="47"/>
  <c r="H704" i="47"/>
  <c r="H705" i="47"/>
  <c r="H706" i="47"/>
  <c r="H707" i="47"/>
  <c r="H708" i="47"/>
  <c r="H709" i="47"/>
  <c r="H710" i="47"/>
  <c r="H711" i="47"/>
  <c r="H712" i="47"/>
  <c r="H713" i="47"/>
  <c r="H714" i="47"/>
  <c r="H715" i="47"/>
  <c r="H716" i="47"/>
  <c r="H717" i="47"/>
  <c r="H718" i="47"/>
  <c r="H719" i="47"/>
  <c r="H720" i="47"/>
  <c r="H721" i="47"/>
  <c r="H722" i="47"/>
  <c r="H723" i="47"/>
  <c r="H724" i="47"/>
  <c r="H725" i="47"/>
  <c r="H726" i="47"/>
  <c r="H727" i="47"/>
  <c r="H728" i="47"/>
  <c r="H729" i="47"/>
  <c r="H730" i="47"/>
  <c r="H731" i="47"/>
  <c r="H732" i="47"/>
  <c r="H733" i="47"/>
  <c r="H734" i="47"/>
  <c r="H735" i="47"/>
  <c r="H736" i="47"/>
  <c r="H737" i="47"/>
  <c r="H738" i="47"/>
  <c r="H739" i="47"/>
  <c r="H740" i="47"/>
  <c r="H741" i="47"/>
  <c r="H742" i="47"/>
  <c r="H743" i="47"/>
  <c r="H744" i="47"/>
  <c r="H745" i="47"/>
  <c r="H746" i="47"/>
  <c r="H747" i="47"/>
  <c r="H748" i="47"/>
  <c r="H749" i="47"/>
  <c r="H750" i="47"/>
  <c r="H751" i="47"/>
  <c r="H752" i="47"/>
  <c r="H753" i="47"/>
  <c r="H754" i="47"/>
  <c r="H755" i="47"/>
  <c r="H756" i="47"/>
  <c r="H757" i="47"/>
  <c r="H758" i="47"/>
  <c r="H759" i="47"/>
  <c r="H760" i="47"/>
  <c r="H761" i="47"/>
  <c r="H762" i="47"/>
  <c r="H763" i="47"/>
  <c r="H764" i="47"/>
  <c r="H765" i="47"/>
  <c r="H766" i="47"/>
  <c r="H767" i="47"/>
  <c r="H768" i="47"/>
  <c r="H769" i="47"/>
  <c r="H770" i="47"/>
  <c r="H771" i="47"/>
  <c r="H772" i="47"/>
  <c r="H773" i="47"/>
  <c r="H774" i="47"/>
  <c r="H775" i="47"/>
  <c r="H776" i="47"/>
  <c r="H777" i="47"/>
  <c r="H778" i="47"/>
  <c r="H779" i="47"/>
  <c r="H780" i="47"/>
  <c r="H781" i="47"/>
  <c r="H782" i="47"/>
  <c r="H783" i="47"/>
  <c r="H784" i="47"/>
  <c r="H785" i="47"/>
  <c r="H786" i="47"/>
  <c r="H787" i="47"/>
  <c r="H788" i="47"/>
  <c r="H789" i="47"/>
  <c r="H790" i="47"/>
  <c r="H791" i="47"/>
  <c r="H792" i="47"/>
  <c r="H793" i="47"/>
  <c r="H794" i="47"/>
  <c r="H795" i="47"/>
  <c r="H796" i="47"/>
  <c r="H797" i="47"/>
  <c r="H798" i="47"/>
  <c r="H799" i="47"/>
  <c r="H800" i="47"/>
  <c r="H801" i="47"/>
  <c r="H802" i="47"/>
  <c r="H803" i="47"/>
  <c r="H804" i="47"/>
  <c r="H805" i="47"/>
  <c r="H806" i="47"/>
  <c r="H807" i="47"/>
  <c r="H808" i="47"/>
  <c r="H809" i="47"/>
  <c r="H810" i="47"/>
  <c r="H811" i="47"/>
  <c r="H812" i="47"/>
  <c r="H813" i="47"/>
  <c r="H814" i="47"/>
  <c r="H815" i="47"/>
  <c r="H816" i="47"/>
  <c r="H817" i="47"/>
  <c r="H818" i="47"/>
  <c r="H819" i="47"/>
  <c r="H820" i="47"/>
  <c r="H821" i="47"/>
  <c r="H822" i="47"/>
  <c r="H823" i="47"/>
  <c r="H824" i="47"/>
  <c r="H825" i="47"/>
  <c r="H826" i="47"/>
  <c r="H827" i="47"/>
  <c r="H828" i="47"/>
  <c r="H829" i="47"/>
  <c r="H830" i="47"/>
  <c r="H831" i="47"/>
  <c r="H832" i="47"/>
  <c r="H833" i="47"/>
  <c r="H834" i="47"/>
  <c r="H835" i="47"/>
  <c r="H836" i="47"/>
  <c r="H837" i="47"/>
  <c r="H838" i="47"/>
  <c r="H839" i="47"/>
  <c r="H840" i="47"/>
  <c r="H841" i="47"/>
  <c r="H842" i="47"/>
  <c r="H843" i="47"/>
  <c r="H844" i="47"/>
  <c r="H845" i="47"/>
  <c r="H846" i="47"/>
  <c r="H847" i="47"/>
  <c r="H848" i="47"/>
  <c r="H849" i="47"/>
  <c r="H850" i="47"/>
  <c r="H851" i="47"/>
  <c r="H852" i="47"/>
  <c r="H853" i="47"/>
  <c r="H854" i="47"/>
  <c r="H855" i="47"/>
  <c r="H856" i="47"/>
  <c r="H857" i="47"/>
  <c r="H858" i="47"/>
  <c r="H859" i="47"/>
  <c r="H860" i="47"/>
  <c r="H861" i="47"/>
  <c r="H862" i="47"/>
  <c r="H863" i="47"/>
  <c r="H864" i="47"/>
  <c r="H865" i="47"/>
  <c r="H866" i="47"/>
  <c r="H867" i="47"/>
  <c r="H868" i="47"/>
  <c r="H869" i="47"/>
  <c r="H870" i="47"/>
  <c r="H871" i="47"/>
  <c r="H872" i="47"/>
  <c r="H873" i="47"/>
  <c r="H874" i="47"/>
  <c r="H875" i="47"/>
  <c r="H876" i="47"/>
  <c r="H877" i="47"/>
  <c r="H878" i="47"/>
  <c r="H879" i="47"/>
  <c r="H880" i="47"/>
  <c r="H881" i="47"/>
  <c r="H882" i="47"/>
  <c r="H883" i="47"/>
  <c r="H884" i="47"/>
  <c r="H885" i="47"/>
  <c r="H886" i="47"/>
  <c r="H887" i="47"/>
  <c r="H888" i="47"/>
  <c r="H889" i="47"/>
  <c r="H890" i="47"/>
  <c r="H891" i="47"/>
  <c r="H892" i="47"/>
  <c r="H893" i="47"/>
  <c r="H894" i="47"/>
  <c r="H895" i="47"/>
  <c r="H896" i="47"/>
  <c r="H897" i="47"/>
  <c r="H898" i="47"/>
  <c r="H899" i="47"/>
  <c r="H900" i="47"/>
  <c r="H901" i="47"/>
  <c r="H902" i="47"/>
  <c r="H903" i="47"/>
  <c r="H904" i="47"/>
  <c r="H905" i="47"/>
  <c r="H906" i="47"/>
  <c r="H907" i="47"/>
  <c r="H908" i="47"/>
  <c r="H909" i="47"/>
  <c r="H910" i="47"/>
  <c r="H911" i="47"/>
  <c r="H912" i="47"/>
  <c r="H913" i="47"/>
  <c r="H914" i="47"/>
  <c r="H915" i="47"/>
  <c r="H916" i="47"/>
  <c r="H917" i="47"/>
  <c r="H918" i="47"/>
  <c r="H919" i="47"/>
  <c r="H920" i="47"/>
  <c r="H921" i="47"/>
  <c r="H922" i="47"/>
  <c r="H923" i="47"/>
  <c r="H924" i="47"/>
  <c r="H925" i="47"/>
  <c r="H926" i="47"/>
  <c r="H927" i="47"/>
  <c r="H928" i="47"/>
  <c r="H929" i="47"/>
  <c r="H930" i="47"/>
  <c r="H931" i="47"/>
  <c r="H932" i="47"/>
  <c r="H933" i="47"/>
  <c r="H934" i="47"/>
  <c r="H935" i="47"/>
  <c r="H936" i="47"/>
  <c r="H937" i="47"/>
  <c r="H938" i="47"/>
  <c r="H939" i="47"/>
  <c r="H940" i="47"/>
  <c r="H941" i="47"/>
  <c r="H942" i="47"/>
  <c r="H943" i="47"/>
  <c r="H944" i="47"/>
  <c r="H945" i="47"/>
  <c r="H946" i="47"/>
  <c r="H947" i="47"/>
  <c r="H948" i="47"/>
  <c r="H949" i="47"/>
  <c r="H950" i="47"/>
  <c r="H951" i="47"/>
  <c r="H952" i="47"/>
  <c r="H953" i="47"/>
  <c r="H954" i="47"/>
  <c r="H955" i="47"/>
  <c r="H956" i="47"/>
  <c r="H957" i="47"/>
  <c r="H958" i="47"/>
  <c r="H959" i="47"/>
  <c r="H960" i="47"/>
  <c r="H961" i="47"/>
  <c r="H962" i="47"/>
  <c r="H963" i="47"/>
  <c r="H964" i="47"/>
  <c r="H965" i="47"/>
  <c r="H966" i="47"/>
  <c r="H967" i="47"/>
  <c r="H968" i="47"/>
  <c r="H969" i="47"/>
  <c r="H970" i="47"/>
  <c r="H971" i="47"/>
  <c r="H972" i="47"/>
  <c r="H973" i="47"/>
  <c r="H974" i="47"/>
  <c r="H975" i="47"/>
  <c r="H976" i="47"/>
  <c r="H977" i="47"/>
  <c r="H978" i="47"/>
  <c r="H979" i="47"/>
  <c r="H980" i="47"/>
  <c r="H981" i="47"/>
  <c r="H982" i="47"/>
  <c r="H983" i="47"/>
  <c r="H984" i="47"/>
  <c r="H985" i="47"/>
  <c r="H986" i="47"/>
  <c r="H987" i="47"/>
  <c r="H988" i="47"/>
  <c r="H989" i="47"/>
  <c r="H990" i="47"/>
  <c r="H991" i="47"/>
  <c r="H992" i="47"/>
  <c r="H993" i="47"/>
  <c r="H994" i="47"/>
  <c r="H995" i="47"/>
  <c r="H996" i="47"/>
  <c r="H997" i="47"/>
  <c r="H998" i="47"/>
  <c r="H999" i="47"/>
  <c r="H1000" i="47"/>
  <c r="H1001" i="47"/>
  <c r="H1002" i="47"/>
  <c r="H1003" i="47"/>
  <c r="H1004" i="47"/>
  <c r="H1005" i="47"/>
  <c r="H1006" i="47"/>
  <c r="H1007" i="47"/>
  <c r="H1008" i="47"/>
  <c r="H1009" i="47"/>
  <c r="H1010" i="47"/>
  <c r="H1011" i="47"/>
  <c r="H1012" i="47"/>
  <c r="H1013" i="47"/>
  <c r="H1014" i="47"/>
  <c r="H1015" i="47"/>
  <c r="H1016" i="47"/>
  <c r="H1017" i="47"/>
  <c r="H1018" i="47"/>
  <c r="H1019" i="47"/>
  <c r="H1020" i="47"/>
  <c r="H1021" i="47"/>
  <c r="H1022" i="47"/>
  <c r="H1023" i="47"/>
  <c r="H1024" i="47"/>
  <c r="H1025" i="47"/>
  <c r="H1026" i="47"/>
  <c r="H1027" i="47"/>
  <c r="H1028" i="47"/>
  <c r="H1029" i="47"/>
  <c r="H1030" i="47"/>
  <c r="H1031" i="47"/>
  <c r="H1032" i="47"/>
  <c r="H1033" i="47"/>
  <c r="H1034" i="47"/>
  <c r="H1035" i="47"/>
  <c r="H1036" i="47"/>
  <c r="H1037" i="47"/>
  <c r="H1038" i="47"/>
  <c r="H1039" i="47"/>
  <c r="H1040" i="47"/>
  <c r="H1041" i="47"/>
  <c r="H1042" i="47"/>
  <c r="H1043" i="47"/>
  <c r="H1044" i="47"/>
  <c r="H1045" i="47"/>
  <c r="H1046" i="47"/>
  <c r="H1047" i="47"/>
  <c r="H1048" i="47"/>
  <c r="H1049" i="47"/>
  <c r="H1050" i="47"/>
  <c r="H1051" i="47"/>
  <c r="H1052" i="47"/>
  <c r="H1053" i="47"/>
  <c r="H1054" i="47"/>
  <c r="H1055" i="47"/>
  <c r="H1056" i="47"/>
  <c r="H1057" i="47"/>
  <c r="H1058" i="47"/>
  <c r="H1059" i="47"/>
  <c r="H1060" i="47"/>
  <c r="H1061" i="47"/>
  <c r="H1062" i="47"/>
  <c r="H1063" i="47"/>
  <c r="H1064" i="47"/>
  <c r="H1065" i="47"/>
  <c r="H1066" i="47"/>
  <c r="H1067" i="47"/>
  <c r="H1068" i="47"/>
  <c r="H1069" i="47"/>
  <c r="H1070" i="47"/>
  <c r="H1071" i="47"/>
  <c r="H1072" i="47"/>
  <c r="H1073" i="47"/>
  <c r="H1074" i="47"/>
  <c r="H1075" i="47"/>
  <c r="H1076" i="47"/>
  <c r="H1077" i="47"/>
  <c r="H1078" i="47"/>
  <c r="H1079" i="47"/>
  <c r="H1080" i="47"/>
  <c r="H1081" i="47"/>
  <c r="H1082" i="47"/>
  <c r="H1083" i="47"/>
  <c r="H1084" i="47"/>
  <c r="H1085" i="47"/>
  <c r="H1086" i="47"/>
  <c r="H1087" i="47"/>
  <c r="H1088" i="47"/>
  <c r="H1089" i="47"/>
  <c r="H1090" i="47"/>
  <c r="H1091" i="47"/>
  <c r="H1092" i="47"/>
  <c r="H1093" i="47"/>
  <c r="H1094" i="47"/>
  <c r="H1095" i="47"/>
  <c r="H1096" i="47"/>
  <c r="H1097" i="47"/>
  <c r="H1098" i="47"/>
  <c r="H1099" i="47"/>
  <c r="H1100" i="47"/>
  <c r="H1101" i="47"/>
  <c r="H1102" i="47"/>
  <c r="H1103" i="47"/>
  <c r="H1104" i="47"/>
  <c r="H1105" i="47"/>
  <c r="H1106" i="47"/>
  <c r="H1107" i="47"/>
  <c r="H1108" i="47"/>
  <c r="H1109" i="47"/>
  <c r="H1110" i="47"/>
  <c r="H1111" i="47"/>
  <c r="H1112" i="47"/>
  <c r="H1113" i="47"/>
  <c r="H1114" i="47"/>
  <c r="H1115" i="47"/>
  <c r="H1116" i="47"/>
  <c r="H1117" i="47"/>
  <c r="H1118" i="47"/>
  <c r="H1119" i="47"/>
  <c r="H1120" i="47"/>
  <c r="H1121" i="47"/>
  <c r="H1122" i="47"/>
  <c r="H1123" i="47"/>
  <c r="H1124" i="47"/>
  <c r="H1125" i="47"/>
  <c r="H1126" i="47"/>
  <c r="H1127" i="47"/>
  <c r="H1128" i="47"/>
  <c r="H1129" i="47"/>
  <c r="H1130" i="47"/>
  <c r="H1131" i="47"/>
  <c r="H1132" i="47"/>
  <c r="H1133" i="47"/>
  <c r="H1134" i="47"/>
  <c r="H1135" i="47"/>
  <c r="H1136" i="47"/>
  <c r="H1137" i="47"/>
  <c r="H1138" i="47"/>
  <c r="H1139" i="47"/>
  <c r="H1140" i="47"/>
  <c r="H1141" i="47"/>
  <c r="H1142" i="47"/>
  <c r="H1143" i="47"/>
  <c r="H1144" i="47"/>
  <c r="H1145" i="47"/>
  <c r="H1146" i="47"/>
  <c r="H1147" i="47"/>
  <c r="H1148" i="47"/>
  <c r="H1149" i="47"/>
  <c r="H1150" i="47"/>
  <c r="H1151" i="47"/>
  <c r="H1152" i="47"/>
  <c r="H1153" i="47"/>
  <c r="H1154" i="47"/>
  <c r="H1155" i="47"/>
  <c r="H1156" i="47"/>
  <c r="H1157" i="47"/>
  <c r="H1158" i="47"/>
  <c r="H1159" i="47"/>
  <c r="H1160" i="47"/>
  <c r="H1161" i="47"/>
  <c r="H1162" i="47"/>
  <c r="H1163" i="47"/>
  <c r="H1164" i="47"/>
  <c r="H1165" i="47"/>
  <c r="H1166" i="47"/>
  <c r="H1167" i="47"/>
  <c r="H1168" i="47"/>
  <c r="H1169" i="47"/>
  <c r="H1170" i="47"/>
  <c r="H1171" i="47"/>
  <c r="H1172" i="47"/>
  <c r="H1173" i="47"/>
  <c r="H1174" i="47"/>
  <c r="H1175" i="47"/>
  <c r="H1176" i="47"/>
  <c r="H1177" i="47"/>
  <c r="H1178" i="47"/>
  <c r="H1179" i="47"/>
  <c r="H1180" i="47"/>
  <c r="H1181" i="47"/>
  <c r="H1182" i="47"/>
  <c r="H1183" i="47"/>
  <c r="H1184" i="47"/>
  <c r="H1185" i="47"/>
  <c r="H1186" i="47"/>
  <c r="H1187" i="47"/>
  <c r="H1188" i="47"/>
  <c r="H1189" i="47"/>
  <c r="H1190" i="47"/>
  <c r="H1191" i="47"/>
  <c r="H1192" i="47"/>
  <c r="H1193" i="47"/>
  <c r="H1194" i="47"/>
  <c r="H1195" i="47"/>
  <c r="H1196" i="47"/>
  <c r="H1197" i="47"/>
  <c r="H1198" i="47"/>
  <c r="H1199" i="47"/>
  <c r="H1200" i="47"/>
  <c r="H1201" i="47"/>
  <c r="H1202" i="47"/>
  <c r="H1203" i="47"/>
  <c r="H1204" i="47"/>
  <c r="H1205" i="47"/>
  <c r="H1206" i="47"/>
  <c r="H1207" i="47"/>
  <c r="H1208" i="47"/>
  <c r="H1209" i="47"/>
  <c r="H3" i="47"/>
  <c r="G4" i="49" s="1"/>
  <c r="V245" i="44" l="1"/>
  <c r="V221" i="44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20" i="44"/>
  <c r="W180" i="44"/>
  <c r="V180" i="44"/>
  <c r="W181" i="44" l="1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207" i="44"/>
  <c r="W208" i="44"/>
  <c r="W209" i="44"/>
  <c r="W210" i="44"/>
  <c r="V181" i="44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207" i="44"/>
  <c r="V208" i="44"/>
  <c r="V209" i="44"/>
  <c r="V210" i="44"/>
  <c r="I53" i="43" l="1"/>
  <c r="I52" i="43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I76" i="43" l="1"/>
  <c r="G76" i="43"/>
  <c r="F76" i="43"/>
  <c r="D76" i="43"/>
  <c r="H76" i="43" s="1"/>
  <c r="C76" i="43"/>
  <c r="K75" i="43"/>
  <c r="J75" i="43"/>
  <c r="H75" i="43"/>
  <c r="F75" i="43"/>
  <c r="K74" i="43"/>
  <c r="J74" i="43"/>
  <c r="H74" i="43"/>
  <c r="F74" i="43"/>
  <c r="K73" i="43"/>
  <c r="J73" i="43"/>
  <c r="H73" i="43"/>
  <c r="K72" i="43"/>
  <c r="J72" i="43"/>
  <c r="H72" i="43"/>
  <c r="F72" i="43"/>
  <c r="K71" i="43"/>
  <c r="J71" i="43"/>
  <c r="H71" i="43"/>
  <c r="F71" i="43"/>
  <c r="K70" i="43"/>
  <c r="K76" i="43" s="1"/>
  <c r="J76" i="43" s="1"/>
  <c r="J70" i="43"/>
  <c r="H70" i="43"/>
  <c r="F70" i="43"/>
  <c r="V244" i="44" l="1"/>
  <c r="V246" i="44"/>
  <c r="V247" i="44"/>
  <c r="V248" i="44"/>
  <c r="V249" i="44"/>
  <c r="V250" i="44"/>
  <c r="V251" i="44"/>
  <c r="K25" i="6" l="1"/>
  <c r="J25" i="6"/>
  <c r="I25" i="6"/>
  <c r="H25" i="6"/>
  <c r="G25" i="6"/>
  <c r="F25" i="6"/>
  <c r="K24" i="6"/>
  <c r="J24" i="6"/>
  <c r="I24" i="6"/>
  <c r="H24" i="6"/>
  <c r="G24" i="6"/>
  <c r="F24" i="6"/>
  <c r="K21" i="6"/>
  <c r="I21" i="6"/>
  <c r="G21" i="6"/>
  <c r="K22" i="6"/>
  <c r="J22" i="6"/>
  <c r="I22" i="6"/>
  <c r="H22" i="6"/>
  <c r="G22" i="6"/>
  <c r="F22" i="6"/>
  <c r="J4" i="47" l="1"/>
  <c r="J5" i="47"/>
  <c r="J6" i="47"/>
  <c r="J7" i="47"/>
  <c r="J8" i="47"/>
  <c r="J9" i="47"/>
  <c r="J10" i="47"/>
  <c r="J11" i="47"/>
  <c r="J12" i="47"/>
  <c r="J13" i="47"/>
  <c r="J14" i="47"/>
  <c r="J15" i="47"/>
  <c r="J16" i="47"/>
  <c r="J17" i="47"/>
  <c r="J18" i="47"/>
  <c r="J19" i="47"/>
  <c r="J20" i="47"/>
  <c r="J21" i="47"/>
  <c r="J22" i="47"/>
  <c r="J23" i="47"/>
  <c r="J24" i="47"/>
  <c r="J25" i="47"/>
  <c r="J26" i="47"/>
  <c r="J27" i="47"/>
  <c r="J28" i="47"/>
  <c r="J29" i="47"/>
  <c r="J30" i="47"/>
  <c r="J31" i="47"/>
  <c r="J32" i="47"/>
  <c r="J33" i="47"/>
  <c r="J34" i="47"/>
  <c r="J35" i="47"/>
  <c r="J36" i="47"/>
  <c r="J37" i="47"/>
  <c r="J38" i="47"/>
  <c r="J39" i="47"/>
  <c r="J40" i="47"/>
  <c r="J41" i="47"/>
  <c r="J42" i="47"/>
  <c r="J43" i="47"/>
  <c r="J44" i="47"/>
  <c r="J45" i="47"/>
  <c r="J46" i="47"/>
  <c r="J47" i="47"/>
  <c r="J48" i="47"/>
  <c r="J49" i="47"/>
  <c r="J50" i="47"/>
  <c r="J51" i="47"/>
  <c r="J52" i="47"/>
  <c r="J53" i="47"/>
  <c r="J54" i="47"/>
  <c r="J55" i="47"/>
  <c r="J56" i="47"/>
  <c r="J57" i="47"/>
  <c r="J58" i="47"/>
  <c r="J59" i="47"/>
  <c r="J60" i="47"/>
  <c r="J61" i="47"/>
  <c r="J62" i="47"/>
  <c r="J63" i="47"/>
  <c r="J64" i="47"/>
  <c r="J65" i="47"/>
  <c r="J66" i="47"/>
  <c r="J67" i="47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J95" i="47"/>
  <c r="J96" i="47"/>
  <c r="J97" i="47"/>
  <c r="J98" i="47"/>
  <c r="J99" i="47"/>
  <c r="J100" i="47"/>
  <c r="J101" i="47"/>
  <c r="J102" i="47"/>
  <c r="J103" i="47"/>
  <c r="J104" i="47"/>
  <c r="J105" i="47"/>
  <c r="J106" i="47"/>
  <c r="J107" i="47"/>
  <c r="J108" i="47"/>
  <c r="J109" i="47"/>
  <c r="J110" i="47"/>
  <c r="J111" i="47"/>
  <c r="J112" i="47"/>
  <c r="J113" i="47"/>
  <c r="J114" i="47"/>
  <c r="J115" i="47"/>
  <c r="J116" i="47"/>
  <c r="J117" i="47"/>
  <c r="J118" i="47"/>
  <c r="J119" i="47"/>
  <c r="J120" i="47"/>
  <c r="J121" i="47"/>
  <c r="J122" i="47"/>
  <c r="J123" i="47"/>
  <c r="J124" i="47"/>
  <c r="J125" i="47"/>
  <c r="J126" i="47"/>
  <c r="J127" i="47"/>
  <c r="J128" i="47"/>
  <c r="J129" i="47"/>
  <c r="J130" i="47"/>
  <c r="J131" i="47"/>
  <c r="J132" i="47"/>
  <c r="J133" i="47"/>
  <c r="J134" i="47"/>
  <c r="J135" i="47"/>
  <c r="J136" i="47"/>
  <c r="J137" i="47"/>
  <c r="J138" i="47"/>
  <c r="J139" i="47"/>
  <c r="J140" i="47"/>
  <c r="J141" i="47"/>
  <c r="J142" i="47"/>
  <c r="J143" i="47"/>
  <c r="J144" i="47"/>
  <c r="J145" i="47"/>
  <c r="J146" i="47"/>
  <c r="J147" i="47"/>
  <c r="J148" i="47"/>
  <c r="J149" i="47"/>
  <c r="J150" i="47"/>
  <c r="J151" i="47"/>
  <c r="J152" i="47"/>
  <c r="J153" i="47"/>
  <c r="J154" i="47"/>
  <c r="J155" i="47"/>
  <c r="J156" i="47"/>
  <c r="J157" i="47"/>
  <c r="J158" i="47"/>
  <c r="J159" i="47"/>
  <c r="J160" i="47"/>
  <c r="J161" i="47"/>
  <c r="J162" i="47"/>
  <c r="J163" i="47"/>
  <c r="J164" i="47"/>
  <c r="J165" i="47"/>
  <c r="J166" i="47"/>
  <c r="J167" i="47"/>
  <c r="J168" i="47"/>
  <c r="J169" i="47"/>
  <c r="J170" i="47"/>
  <c r="J171" i="47"/>
  <c r="J172" i="47"/>
  <c r="J173" i="47"/>
  <c r="J174" i="47"/>
  <c r="J175" i="47"/>
  <c r="J176" i="47"/>
  <c r="J177" i="47"/>
  <c r="J178" i="47"/>
  <c r="J179" i="47"/>
  <c r="J180" i="47"/>
  <c r="J181" i="47"/>
  <c r="J182" i="47"/>
  <c r="J183" i="47"/>
  <c r="J184" i="47"/>
  <c r="J185" i="47"/>
  <c r="J186" i="47"/>
  <c r="J187" i="47"/>
  <c r="J188" i="47"/>
  <c r="J189" i="47"/>
  <c r="J190" i="47"/>
  <c r="J191" i="47"/>
  <c r="J192" i="47"/>
  <c r="J193" i="47"/>
  <c r="J194" i="47"/>
  <c r="J195" i="47"/>
  <c r="J196" i="47"/>
  <c r="J197" i="47"/>
  <c r="J198" i="47"/>
  <c r="J199" i="47"/>
  <c r="J200" i="47"/>
  <c r="J201" i="47"/>
  <c r="J202" i="47"/>
  <c r="J203" i="47"/>
  <c r="J204" i="47"/>
  <c r="J205" i="47"/>
  <c r="J206" i="47"/>
  <c r="J207" i="47"/>
  <c r="J208" i="47"/>
  <c r="J209" i="47"/>
  <c r="J210" i="47"/>
  <c r="J211" i="47"/>
  <c r="J212" i="47"/>
  <c r="J213" i="47"/>
  <c r="J214" i="47"/>
  <c r="J215" i="47"/>
  <c r="J216" i="47"/>
  <c r="J217" i="47"/>
  <c r="J218" i="47"/>
  <c r="J219" i="47"/>
  <c r="J220" i="47"/>
  <c r="J221" i="47"/>
  <c r="J222" i="47"/>
  <c r="J223" i="47"/>
  <c r="J224" i="47"/>
  <c r="J225" i="47"/>
  <c r="J226" i="47"/>
  <c r="J227" i="47"/>
  <c r="J228" i="47"/>
  <c r="J229" i="47"/>
  <c r="J230" i="47"/>
  <c r="J231" i="47"/>
  <c r="J232" i="47"/>
  <c r="J233" i="47"/>
  <c r="J234" i="47"/>
  <c r="J235" i="47"/>
  <c r="J236" i="47"/>
  <c r="J237" i="47"/>
  <c r="J238" i="47"/>
  <c r="J239" i="47"/>
  <c r="J240" i="47"/>
  <c r="J241" i="47"/>
  <c r="J242" i="47"/>
  <c r="J243" i="47"/>
  <c r="J244" i="47"/>
  <c r="J245" i="47"/>
  <c r="J246" i="47"/>
  <c r="J247" i="47"/>
  <c r="J248" i="47"/>
  <c r="J249" i="47"/>
  <c r="J250" i="47"/>
  <c r="J251" i="47"/>
  <c r="J252" i="47"/>
  <c r="J253" i="47"/>
  <c r="J254" i="47"/>
  <c r="J255" i="47"/>
  <c r="J256" i="47"/>
  <c r="J257" i="47"/>
  <c r="J258" i="47"/>
  <c r="J259" i="47"/>
  <c r="J260" i="47"/>
  <c r="J261" i="47"/>
  <c r="J262" i="47"/>
  <c r="J263" i="47"/>
  <c r="J264" i="47"/>
  <c r="J265" i="47"/>
  <c r="J266" i="47"/>
  <c r="J267" i="47"/>
  <c r="J268" i="47"/>
  <c r="J269" i="47"/>
  <c r="J270" i="47"/>
  <c r="J271" i="47"/>
  <c r="J272" i="47"/>
  <c r="J273" i="47"/>
  <c r="J274" i="47"/>
  <c r="J275" i="47"/>
  <c r="J276" i="47"/>
  <c r="J277" i="47"/>
  <c r="J278" i="47"/>
  <c r="J279" i="47"/>
  <c r="J280" i="47"/>
  <c r="J281" i="47"/>
  <c r="J282" i="47"/>
  <c r="J283" i="47"/>
  <c r="J284" i="47"/>
  <c r="J285" i="47"/>
  <c r="J286" i="47"/>
  <c r="J287" i="47"/>
  <c r="J288" i="47"/>
  <c r="J289" i="47"/>
  <c r="J290" i="47"/>
  <c r="J291" i="47"/>
  <c r="J292" i="47"/>
  <c r="J293" i="47"/>
  <c r="J294" i="47"/>
  <c r="J295" i="47"/>
  <c r="J296" i="47"/>
  <c r="J297" i="47"/>
  <c r="J298" i="47"/>
  <c r="J299" i="47"/>
  <c r="J300" i="47"/>
  <c r="J301" i="47"/>
  <c r="J302" i="47"/>
  <c r="J303" i="47"/>
  <c r="J304" i="47"/>
  <c r="J305" i="47"/>
  <c r="J306" i="47"/>
  <c r="J307" i="47"/>
  <c r="J308" i="47"/>
  <c r="J309" i="47"/>
  <c r="J310" i="47"/>
  <c r="J311" i="47"/>
  <c r="J312" i="47"/>
  <c r="J313" i="47"/>
  <c r="J314" i="47"/>
  <c r="J315" i="47"/>
  <c r="J316" i="47"/>
  <c r="J317" i="47"/>
  <c r="J318" i="47"/>
  <c r="J319" i="47"/>
  <c r="J320" i="47"/>
  <c r="J321" i="47"/>
  <c r="J322" i="47"/>
  <c r="J323" i="47"/>
  <c r="J324" i="47"/>
  <c r="J325" i="47"/>
  <c r="J326" i="47"/>
  <c r="J327" i="47"/>
  <c r="J328" i="47"/>
  <c r="J329" i="47"/>
  <c r="J330" i="47"/>
  <c r="J331" i="47"/>
  <c r="J332" i="47"/>
  <c r="J333" i="47"/>
  <c r="J334" i="47"/>
  <c r="J335" i="47"/>
  <c r="J336" i="47"/>
  <c r="J337" i="47"/>
  <c r="J338" i="47"/>
  <c r="J339" i="47"/>
  <c r="J340" i="47"/>
  <c r="J341" i="47"/>
  <c r="J342" i="47"/>
  <c r="J343" i="47"/>
  <c r="J344" i="47"/>
  <c r="J345" i="47"/>
  <c r="J346" i="47"/>
  <c r="J347" i="47"/>
  <c r="J348" i="47"/>
  <c r="J349" i="47"/>
  <c r="J350" i="47"/>
  <c r="J351" i="47"/>
  <c r="J352" i="47"/>
  <c r="J353" i="47"/>
  <c r="J354" i="47"/>
  <c r="J355" i="47"/>
  <c r="J356" i="47"/>
  <c r="J357" i="47"/>
  <c r="J358" i="47"/>
  <c r="J359" i="47"/>
  <c r="J360" i="47"/>
  <c r="J361" i="47"/>
  <c r="J362" i="47"/>
  <c r="J363" i="47"/>
  <c r="J364" i="47"/>
  <c r="J365" i="47"/>
  <c r="J366" i="47"/>
  <c r="J367" i="47"/>
  <c r="J368" i="47"/>
  <c r="J369" i="47"/>
  <c r="J370" i="47"/>
  <c r="J371" i="47"/>
  <c r="J372" i="47"/>
  <c r="J373" i="47"/>
  <c r="J374" i="47"/>
  <c r="J375" i="47"/>
  <c r="J376" i="47"/>
  <c r="J377" i="47"/>
  <c r="J378" i="47"/>
  <c r="J379" i="47"/>
  <c r="J380" i="47"/>
  <c r="J381" i="47"/>
  <c r="J382" i="47"/>
  <c r="J383" i="47"/>
  <c r="J384" i="47"/>
  <c r="J385" i="47"/>
  <c r="J386" i="47"/>
  <c r="J387" i="47"/>
  <c r="J388" i="47"/>
  <c r="J389" i="47"/>
  <c r="J390" i="47"/>
  <c r="J391" i="47"/>
  <c r="J392" i="47"/>
  <c r="J393" i="47"/>
  <c r="J394" i="47"/>
  <c r="J395" i="47"/>
  <c r="J396" i="47"/>
  <c r="J397" i="47"/>
  <c r="J398" i="47"/>
  <c r="J399" i="47"/>
  <c r="J400" i="47"/>
  <c r="J401" i="47"/>
  <c r="J402" i="47"/>
  <c r="J403" i="47"/>
  <c r="J404" i="47"/>
  <c r="J405" i="47"/>
  <c r="J406" i="47"/>
  <c r="J407" i="47"/>
  <c r="J408" i="47"/>
  <c r="J409" i="47"/>
  <c r="J410" i="47"/>
  <c r="J411" i="47"/>
  <c r="J412" i="47"/>
  <c r="J413" i="47"/>
  <c r="J414" i="47"/>
  <c r="J415" i="47"/>
  <c r="J416" i="47"/>
  <c r="J417" i="47"/>
  <c r="J418" i="47"/>
  <c r="J419" i="47"/>
  <c r="J420" i="47"/>
  <c r="J421" i="47"/>
  <c r="J422" i="47"/>
  <c r="J423" i="47"/>
  <c r="J424" i="47"/>
  <c r="J425" i="47"/>
  <c r="J426" i="47"/>
  <c r="J427" i="47"/>
  <c r="J428" i="47"/>
  <c r="J429" i="47"/>
  <c r="J430" i="47"/>
  <c r="J431" i="47"/>
  <c r="J432" i="47"/>
  <c r="J433" i="47"/>
  <c r="J434" i="47"/>
  <c r="J435" i="47"/>
  <c r="J436" i="47"/>
  <c r="J437" i="47"/>
  <c r="J438" i="47"/>
  <c r="J439" i="47"/>
  <c r="J440" i="47"/>
  <c r="J441" i="47"/>
  <c r="J442" i="47"/>
  <c r="J443" i="47"/>
  <c r="J444" i="47"/>
  <c r="J445" i="47"/>
  <c r="J446" i="47"/>
  <c r="J447" i="47"/>
  <c r="J448" i="47"/>
  <c r="J449" i="47"/>
  <c r="J450" i="47"/>
  <c r="J451" i="47"/>
  <c r="J452" i="47"/>
  <c r="J453" i="47"/>
  <c r="J454" i="47"/>
  <c r="J455" i="47"/>
  <c r="J456" i="47"/>
  <c r="J457" i="47"/>
  <c r="J458" i="47"/>
  <c r="J459" i="47"/>
  <c r="J460" i="47"/>
  <c r="J461" i="47"/>
  <c r="J462" i="47"/>
  <c r="J463" i="47"/>
  <c r="J464" i="47"/>
  <c r="J465" i="47"/>
  <c r="J466" i="47"/>
  <c r="J467" i="47"/>
  <c r="J468" i="47"/>
  <c r="J469" i="47"/>
  <c r="J470" i="47"/>
  <c r="J471" i="47"/>
  <c r="J472" i="47"/>
  <c r="J473" i="47"/>
  <c r="J474" i="47"/>
  <c r="J475" i="47"/>
  <c r="J476" i="47"/>
  <c r="J477" i="47"/>
  <c r="J478" i="47"/>
  <c r="J479" i="47"/>
  <c r="J480" i="47"/>
  <c r="J481" i="47"/>
  <c r="J482" i="47"/>
  <c r="J483" i="47"/>
  <c r="J484" i="47"/>
  <c r="J485" i="47"/>
  <c r="J486" i="47"/>
  <c r="J487" i="47"/>
  <c r="J488" i="47"/>
  <c r="J489" i="47"/>
  <c r="J490" i="47"/>
  <c r="J491" i="47"/>
  <c r="J492" i="47"/>
  <c r="J493" i="47"/>
  <c r="J494" i="47"/>
  <c r="J495" i="47"/>
  <c r="J496" i="47"/>
  <c r="J497" i="47"/>
  <c r="J498" i="47"/>
  <c r="J499" i="47"/>
  <c r="J500" i="47"/>
  <c r="J501" i="47"/>
  <c r="J502" i="47"/>
  <c r="J503" i="47"/>
  <c r="J504" i="47"/>
  <c r="J505" i="47"/>
  <c r="J506" i="47"/>
  <c r="J507" i="47"/>
  <c r="J508" i="47"/>
  <c r="J509" i="47"/>
  <c r="J510" i="47"/>
  <c r="J511" i="47"/>
  <c r="J512" i="47"/>
  <c r="J513" i="47"/>
  <c r="J514" i="47"/>
  <c r="J515" i="47"/>
  <c r="J516" i="47"/>
  <c r="J517" i="47"/>
  <c r="J518" i="47"/>
  <c r="J519" i="47"/>
  <c r="J520" i="47"/>
  <c r="J521" i="47"/>
  <c r="J522" i="47"/>
  <c r="J523" i="47"/>
  <c r="J524" i="47"/>
  <c r="J525" i="47"/>
  <c r="J526" i="47"/>
  <c r="J527" i="47"/>
  <c r="J528" i="47"/>
  <c r="J529" i="47"/>
  <c r="J530" i="47"/>
  <c r="J531" i="47"/>
  <c r="J532" i="47"/>
  <c r="J533" i="47"/>
  <c r="J534" i="47"/>
  <c r="J535" i="47"/>
  <c r="J536" i="47"/>
  <c r="J537" i="47"/>
  <c r="J538" i="47"/>
  <c r="J539" i="47"/>
  <c r="J540" i="47"/>
  <c r="J541" i="47"/>
  <c r="J542" i="47"/>
  <c r="J543" i="47"/>
  <c r="J544" i="47"/>
  <c r="J545" i="47"/>
  <c r="J546" i="47"/>
  <c r="J547" i="47"/>
  <c r="J548" i="47"/>
  <c r="J549" i="47"/>
  <c r="J550" i="47"/>
  <c r="J551" i="47"/>
  <c r="J552" i="47"/>
  <c r="J553" i="47"/>
  <c r="J554" i="47"/>
  <c r="J555" i="47"/>
  <c r="J556" i="47"/>
  <c r="J557" i="47"/>
  <c r="J558" i="47"/>
  <c r="J559" i="47"/>
  <c r="J560" i="47"/>
  <c r="J561" i="47"/>
  <c r="J562" i="47"/>
  <c r="J563" i="47"/>
  <c r="J564" i="47"/>
  <c r="J565" i="47"/>
  <c r="J566" i="47"/>
  <c r="J567" i="47"/>
  <c r="J568" i="47"/>
  <c r="J569" i="47"/>
  <c r="J570" i="47"/>
  <c r="J571" i="47"/>
  <c r="J572" i="47"/>
  <c r="J573" i="47"/>
  <c r="J574" i="47"/>
  <c r="J575" i="47"/>
  <c r="J576" i="47"/>
  <c r="J577" i="47"/>
  <c r="J578" i="47"/>
  <c r="J579" i="47"/>
  <c r="J580" i="47"/>
  <c r="J581" i="47"/>
  <c r="J582" i="47"/>
  <c r="J583" i="47"/>
  <c r="J584" i="47"/>
  <c r="J585" i="47"/>
  <c r="J586" i="47"/>
  <c r="J587" i="47"/>
  <c r="J588" i="47"/>
  <c r="J589" i="47"/>
  <c r="J590" i="47"/>
  <c r="J591" i="47"/>
  <c r="J592" i="47"/>
  <c r="J593" i="47"/>
  <c r="J594" i="47"/>
  <c r="J595" i="47"/>
  <c r="J596" i="47"/>
  <c r="J597" i="47"/>
  <c r="J598" i="47"/>
  <c r="J599" i="47"/>
  <c r="J600" i="47"/>
  <c r="J601" i="47"/>
  <c r="J602" i="47"/>
  <c r="J603" i="47"/>
  <c r="J604" i="47"/>
  <c r="J605" i="47"/>
  <c r="J606" i="47"/>
  <c r="J607" i="47"/>
  <c r="J608" i="47"/>
  <c r="J609" i="47"/>
  <c r="J610" i="47"/>
  <c r="J611" i="47"/>
  <c r="J612" i="47"/>
  <c r="J613" i="47"/>
  <c r="J614" i="47"/>
  <c r="J615" i="47"/>
  <c r="J616" i="47"/>
  <c r="J617" i="47"/>
  <c r="J618" i="47"/>
  <c r="J619" i="47"/>
  <c r="J620" i="47"/>
  <c r="J621" i="47"/>
  <c r="J622" i="47"/>
  <c r="J623" i="47"/>
  <c r="J624" i="47"/>
  <c r="J625" i="47"/>
  <c r="J626" i="47"/>
  <c r="J627" i="47"/>
  <c r="J628" i="47"/>
  <c r="J629" i="47"/>
  <c r="J630" i="47"/>
  <c r="J631" i="47"/>
  <c r="J632" i="47"/>
  <c r="J633" i="47"/>
  <c r="J634" i="47"/>
  <c r="J635" i="47"/>
  <c r="J636" i="47"/>
  <c r="J637" i="47"/>
  <c r="J638" i="47"/>
  <c r="J639" i="47"/>
  <c r="J640" i="47"/>
  <c r="J641" i="47"/>
  <c r="J642" i="47"/>
  <c r="J643" i="47"/>
  <c r="J644" i="47"/>
  <c r="J645" i="47"/>
  <c r="J646" i="47"/>
  <c r="J647" i="47"/>
  <c r="J648" i="47"/>
  <c r="J649" i="47"/>
  <c r="J650" i="47"/>
  <c r="J651" i="47"/>
  <c r="J652" i="47"/>
  <c r="J653" i="47"/>
  <c r="J654" i="47"/>
  <c r="J655" i="47"/>
  <c r="J656" i="47"/>
  <c r="J657" i="47"/>
  <c r="J658" i="47"/>
  <c r="J659" i="47"/>
  <c r="J660" i="47"/>
  <c r="J661" i="47"/>
  <c r="J662" i="47"/>
  <c r="J663" i="47"/>
  <c r="J664" i="47"/>
  <c r="J665" i="47"/>
  <c r="J666" i="47"/>
  <c r="J667" i="47"/>
  <c r="J668" i="47"/>
  <c r="J669" i="47"/>
  <c r="J670" i="47"/>
  <c r="J671" i="47"/>
  <c r="J672" i="47"/>
  <c r="J673" i="47"/>
  <c r="J674" i="47"/>
  <c r="J675" i="47"/>
  <c r="J676" i="47"/>
  <c r="J677" i="47"/>
  <c r="J678" i="47"/>
  <c r="J679" i="47"/>
  <c r="J680" i="47"/>
  <c r="J681" i="47"/>
  <c r="J682" i="47"/>
  <c r="J683" i="47"/>
  <c r="J684" i="47"/>
  <c r="J685" i="47"/>
  <c r="J686" i="47"/>
  <c r="J687" i="47"/>
  <c r="J688" i="47"/>
  <c r="J689" i="47"/>
  <c r="J690" i="47"/>
  <c r="J691" i="47"/>
  <c r="J692" i="47"/>
  <c r="J693" i="47"/>
  <c r="J694" i="47"/>
  <c r="J695" i="47"/>
  <c r="J696" i="47"/>
  <c r="J697" i="47"/>
  <c r="J698" i="47"/>
  <c r="J699" i="47"/>
  <c r="J700" i="47"/>
  <c r="J701" i="47"/>
  <c r="J702" i="47"/>
  <c r="J703" i="47"/>
  <c r="J704" i="47"/>
  <c r="J705" i="47"/>
  <c r="J706" i="47"/>
  <c r="J707" i="47"/>
  <c r="J708" i="47"/>
  <c r="J709" i="47"/>
  <c r="J710" i="47"/>
  <c r="J711" i="47"/>
  <c r="J712" i="47"/>
  <c r="J713" i="47"/>
  <c r="J714" i="47"/>
  <c r="J715" i="47"/>
  <c r="J716" i="47"/>
  <c r="J717" i="47"/>
  <c r="J718" i="47"/>
  <c r="J719" i="47"/>
  <c r="J720" i="47"/>
  <c r="J721" i="47"/>
  <c r="J722" i="47"/>
  <c r="J723" i="47"/>
  <c r="J724" i="47"/>
  <c r="J725" i="47"/>
  <c r="J726" i="47"/>
  <c r="J727" i="47"/>
  <c r="J728" i="47"/>
  <c r="J729" i="47"/>
  <c r="J730" i="47"/>
  <c r="J731" i="47"/>
  <c r="J732" i="47"/>
  <c r="J733" i="47"/>
  <c r="J734" i="47"/>
  <c r="J735" i="47"/>
  <c r="J736" i="47"/>
  <c r="J737" i="47"/>
  <c r="J738" i="47"/>
  <c r="J739" i="47"/>
  <c r="J740" i="47"/>
  <c r="J741" i="47"/>
  <c r="J742" i="47"/>
  <c r="J743" i="47"/>
  <c r="J744" i="47"/>
  <c r="J745" i="47"/>
  <c r="J746" i="47"/>
  <c r="J747" i="47"/>
  <c r="J748" i="47"/>
  <c r="J749" i="47"/>
  <c r="J750" i="47"/>
  <c r="J751" i="47"/>
  <c r="J752" i="47"/>
  <c r="J753" i="47"/>
  <c r="J754" i="47"/>
  <c r="J755" i="47"/>
  <c r="J756" i="47"/>
  <c r="J757" i="47"/>
  <c r="J758" i="47"/>
  <c r="J759" i="47"/>
  <c r="J760" i="47"/>
  <c r="J761" i="47"/>
  <c r="J762" i="47"/>
  <c r="J763" i="47"/>
  <c r="J764" i="47"/>
  <c r="J765" i="47"/>
  <c r="J766" i="47"/>
  <c r="J767" i="47"/>
  <c r="J768" i="47"/>
  <c r="J769" i="47"/>
  <c r="J770" i="47"/>
  <c r="J771" i="47"/>
  <c r="J772" i="47"/>
  <c r="J773" i="47"/>
  <c r="J774" i="47"/>
  <c r="J775" i="47"/>
  <c r="J776" i="47"/>
  <c r="J777" i="47"/>
  <c r="J778" i="47"/>
  <c r="J779" i="47"/>
  <c r="J780" i="47"/>
  <c r="J781" i="47"/>
  <c r="J782" i="47"/>
  <c r="J783" i="47"/>
  <c r="J784" i="47"/>
  <c r="J785" i="47"/>
  <c r="J786" i="47"/>
  <c r="J787" i="47"/>
  <c r="J788" i="47"/>
  <c r="J789" i="47"/>
  <c r="J790" i="47"/>
  <c r="J791" i="47"/>
  <c r="J792" i="47"/>
  <c r="J793" i="47"/>
  <c r="J794" i="47"/>
  <c r="J795" i="47"/>
  <c r="J796" i="47"/>
  <c r="J797" i="47"/>
  <c r="J798" i="47"/>
  <c r="J799" i="47"/>
  <c r="J800" i="47"/>
  <c r="J801" i="47"/>
  <c r="J802" i="47"/>
  <c r="J803" i="47"/>
  <c r="J804" i="47"/>
  <c r="J805" i="47"/>
  <c r="J806" i="47"/>
  <c r="J807" i="47"/>
  <c r="J808" i="47"/>
  <c r="J809" i="47"/>
  <c r="J810" i="47"/>
  <c r="J811" i="47"/>
  <c r="J812" i="47"/>
  <c r="J813" i="47"/>
  <c r="J814" i="47"/>
  <c r="J815" i="47"/>
  <c r="J816" i="47"/>
  <c r="J817" i="47"/>
  <c r="J818" i="47"/>
  <c r="J819" i="47"/>
  <c r="J820" i="47"/>
  <c r="J821" i="47"/>
  <c r="J822" i="47"/>
  <c r="J823" i="47"/>
  <c r="J824" i="47"/>
  <c r="J825" i="47"/>
  <c r="J826" i="47"/>
  <c r="J827" i="47"/>
  <c r="J828" i="47"/>
  <c r="J829" i="47"/>
  <c r="J830" i="47"/>
  <c r="J831" i="47"/>
  <c r="J832" i="47"/>
  <c r="J833" i="47"/>
  <c r="J834" i="47"/>
  <c r="J835" i="47"/>
  <c r="J836" i="47"/>
  <c r="J837" i="47"/>
  <c r="J838" i="47"/>
  <c r="J839" i="47"/>
  <c r="J840" i="47"/>
  <c r="J841" i="47"/>
  <c r="J842" i="47"/>
  <c r="J843" i="47"/>
  <c r="J844" i="47"/>
  <c r="J845" i="47"/>
  <c r="J846" i="47"/>
  <c r="J847" i="47"/>
  <c r="J848" i="47"/>
  <c r="J849" i="47"/>
  <c r="J850" i="47"/>
  <c r="J851" i="47"/>
  <c r="J852" i="47"/>
  <c r="J853" i="47"/>
  <c r="J854" i="47"/>
  <c r="J855" i="47"/>
  <c r="J856" i="47"/>
  <c r="J857" i="47"/>
  <c r="J858" i="47"/>
  <c r="J859" i="47"/>
  <c r="J860" i="47"/>
  <c r="J861" i="47"/>
  <c r="J862" i="47"/>
  <c r="J863" i="47"/>
  <c r="J864" i="47"/>
  <c r="J865" i="47"/>
  <c r="J866" i="47"/>
  <c r="J867" i="47"/>
  <c r="J868" i="47"/>
  <c r="J869" i="47"/>
  <c r="J870" i="47"/>
  <c r="J871" i="47"/>
  <c r="J872" i="47"/>
  <c r="J873" i="47"/>
  <c r="J874" i="47"/>
  <c r="J875" i="47"/>
  <c r="J876" i="47"/>
  <c r="J877" i="47"/>
  <c r="J878" i="47"/>
  <c r="J879" i="47"/>
  <c r="J880" i="47"/>
  <c r="J881" i="47"/>
  <c r="J882" i="47"/>
  <c r="J883" i="47"/>
  <c r="J884" i="47"/>
  <c r="J885" i="47"/>
  <c r="J886" i="47"/>
  <c r="J887" i="47"/>
  <c r="J888" i="47"/>
  <c r="J889" i="47"/>
  <c r="J890" i="47"/>
  <c r="J891" i="47"/>
  <c r="J892" i="47"/>
  <c r="J893" i="47"/>
  <c r="J894" i="47"/>
  <c r="J895" i="47"/>
  <c r="J896" i="47"/>
  <c r="J897" i="47"/>
  <c r="J898" i="47"/>
  <c r="J899" i="47"/>
  <c r="J900" i="47"/>
  <c r="J901" i="47"/>
  <c r="J902" i="47"/>
  <c r="J903" i="47"/>
  <c r="J904" i="47"/>
  <c r="J905" i="47"/>
  <c r="J906" i="47"/>
  <c r="J907" i="47"/>
  <c r="J908" i="47"/>
  <c r="J909" i="47"/>
  <c r="J910" i="47"/>
  <c r="J911" i="47"/>
  <c r="J912" i="47"/>
  <c r="J913" i="47"/>
  <c r="J914" i="47"/>
  <c r="J915" i="47"/>
  <c r="J916" i="47"/>
  <c r="J917" i="47"/>
  <c r="J918" i="47"/>
  <c r="J919" i="47"/>
  <c r="J920" i="47"/>
  <c r="J921" i="47"/>
  <c r="J922" i="47"/>
  <c r="J923" i="47"/>
  <c r="J924" i="47"/>
  <c r="J925" i="47"/>
  <c r="J926" i="47"/>
  <c r="J927" i="47"/>
  <c r="J928" i="47"/>
  <c r="J929" i="47"/>
  <c r="J930" i="47"/>
  <c r="J931" i="47"/>
  <c r="J932" i="47"/>
  <c r="J933" i="47"/>
  <c r="J934" i="47"/>
  <c r="J935" i="47"/>
  <c r="J936" i="47"/>
  <c r="J937" i="47"/>
  <c r="J938" i="47"/>
  <c r="J939" i="47"/>
  <c r="J940" i="47"/>
  <c r="J941" i="47"/>
  <c r="J942" i="47"/>
  <c r="J943" i="47"/>
  <c r="J944" i="47"/>
  <c r="J945" i="47"/>
  <c r="J946" i="47"/>
  <c r="J947" i="47"/>
  <c r="J948" i="47"/>
  <c r="J949" i="47"/>
  <c r="J950" i="47"/>
  <c r="J951" i="47"/>
  <c r="J952" i="47"/>
  <c r="J953" i="47"/>
  <c r="J954" i="47"/>
  <c r="J955" i="47"/>
  <c r="J956" i="47"/>
  <c r="J957" i="47"/>
  <c r="J958" i="47"/>
  <c r="J959" i="47"/>
  <c r="J960" i="47"/>
  <c r="J961" i="47"/>
  <c r="J962" i="47"/>
  <c r="J963" i="47"/>
  <c r="J964" i="47"/>
  <c r="J965" i="47"/>
  <c r="J966" i="47"/>
  <c r="J967" i="47"/>
  <c r="J968" i="47"/>
  <c r="J969" i="47"/>
  <c r="J970" i="47"/>
  <c r="J971" i="47"/>
  <c r="J972" i="47"/>
  <c r="J973" i="47"/>
  <c r="J974" i="47"/>
  <c r="J975" i="47"/>
  <c r="J976" i="47"/>
  <c r="J977" i="47"/>
  <c r="J978" i="47"/>
  <c r="J979" i="47"/>
  <c r="J980" i="47"/>
  <c r="J981" i="47"/>
  <c r="J982" i="47"/>
  <c r="J983" i="47"/>
  <c r="J984" i="47"/>
  <c r="J985" i="47"/>
  <c r="J986" i="47"/>
  <c r="J987" i="47"/>
  <c r="J988" i="47"/>
  <c r="J989" i="47"/>
  <c r="J990" i="47"/>
  <c r="J991" i="47"/>
  <c r="J992" i="47"/>
  <c r="J993" i="47"/>
  <c r="J994" i="47"/>
  <c r="J995" i="47"/>
  <c r="J996" i="47"/>
  <c r="J997" i="47"/>
  <c r="J998" i="47"/>
  <c r="J999" i="47"/>
  <c r="J1000" i="47"/>
  <c r="J1001" i="47"/>
  <c r="J1002" i="47"/>
  <c r="J1003" i="47"/>
  <c r="J1004" i="47"/>
  <c r="J1005" i="47"/>
  <c r="J1006" i="47"/>
  <c r="J1007" i="47"/>
  <c r="J1008" i="47"/>
  <c r="J1009" i="47"/>
  <c r="J1010" i="47"/>
  <c r="J1011" i="47"/>
  <c r="J1012" i="47"/>
  <c r="J1013" i="47"/>
  <c r="J1014" i="47"/>
  <c r="J1015" i="47"/>
  <c r="J1016" i="47"/>
  <c r="J1017" i="47"/>
  <c r="J1018" i="47"/>
  <c r="J1019" i="47"/>
  <c r="J1020" i="47"/>
  <c r="J1021" i="47"/>
  <c r="J1022" i="47"/>
  <c r="J1023" i="47"/>
  <c r="J1024" i="47"/>
  <c r="J1025" i="47"/>
  <c r="J1026" i="47"/>
  <c r="J1027" i="47"/>
  <c r="J1028" i="47"/>
  <c r="J1029" i="47"/>
  <c r="J1030" i="47"/>
  <c r="J1031" i="47"/>
  <c r="J1032" i="47"/>
  <c r="J1033" i="47"/>
  <c r="J1034" i="47"/>
  <c r="J1035" i="47"/>
  <c r="J1036" i="47"/>
  <c r="J1037" i="47"/>
  <c r="J1038" i="47"/>
  <c r="J1039" i="47"/>
  <c r="J1040" i="47"/>
  <c r="J1041" i="47"/>
  <c r="J1042" i="47"/>
  <c r="J1043" i="47"/>
  <c r="J1044" i="47"/>
  <c r="J1045" i="47"/>
  <c r="J1046" i="47"/>
  <c r="J1047" i="47"/>
  <c r="J1048" i="47"/>
  <c r="J1049" i="47"/>
  <c r="J1050" i="47"/>
  <c r="J1051" i="47"/>
  <c r="J1052" i="47"/>
  <c r="J1053" i="47"/>
  <c r="J1054" i="47"/>
  <c r="J1055" i="47"/>
  <c r="J1056" i="47"/>
  <c r="J1057" i="47"/>
  <c r="J1058" i="47"/>
  <c r="J1059" i="47"/>
  <c r="J1060" i="47"/>
  <c r="J1061" i="47"/>
  <c r="J1062" i="47"/>
  <c r="J1063" i="47"/>
  <c r="J1064" i="47"/>
  <c r="J1065" i="47"/>
  <c r="J1066" i="47"/>
  <c r="J1067" i="47"/>
  <c r="J1068" i="47"/>
  <c r="J1069" i="47"/>
  <c r="J1070" i="47"/>
  <c r="J1071" i="47"/>
  <c r="J1072" i="47"/>
  <c r="J1073" i="47"/>
  <c r="J1074" i="47"/>
  <c r="J1075" i="47"/>
  <c r="J1076" i="47"/>
  <c r="J1077" i="47"/>
  <c r="J1078" i="47"/>
  <c r="J1079" i="47"/>
  <c r="J1080" i="47"/>
  <c r="J1081" i="47"/>
  <c r="J1082" i="47"/>
  <c r="J1083" i="47"/>
  <c r="J1084" i="47"/>
  <c r="J1085" i="47"/>
  <c r="J1086" i="47"/>
  <c r="J1087" i="47"/>
  <c r="J1088" i="47"/>
  <c r="J1089" i="47"/>
  <c r="J1090" i="47"/>
  <c r="J1091" i="47"/>
  <c r="J1092" i="47"/>
  <c r="J1093" i="47"/>
  <c r="J1094" i="47"/>
  <c r="J1095" i="47"/>
  <c r="J1096" i="47"/>
  <c r="J1097" i="47"/>
  <c r="J1098" i="47"/>
  <c r="J1099" i="47"/>
  <c r="J1100" i="47"/>
  <c r="J1101" i="47"/>
  <c r="J1102" i="47"/>
  <c r="J1103" i="47"/>
  <c r="J1104" i="47"/>
  <c r="J1105" i="47"/>
  <c r="J1106" i="47"/>
  <c r="J1107" i="47"/>
  <c r="J1108" i="47"/>
  <c r="J1109" i="47"/>
  <c r="J1110" i="47"/>
  <c r="J1111" i="47"/>
  <c r="J1112" i="47"/>
  <c r="J1113" i="47"/>
  <c r="J1114" i="47"/>
  <c r="J1115" i="47"/>
  <c r="J1116" i="47"/>
  <c r="J1117" i="47"/>
  <c r="J1118" i="47"/>
  <c r="J1119" i="47"/>
  <c r="J1120" i="47"/>
  <c r="J1121" i="47"/>
  <c r="J1122" i="47"/>
  <c r="J1123" i="47"/>
  <c r="J1124" i="47"/>
  <c r="J1125" i="47"/>
  <c r="J1126" i="47"/>
  <c r="J1127" i="47"/>
  <c r="J1128" i="47"/>
  <c r="J1129" i="47"/>
  <c r="J1130" i="47"/>
  <c r="J1131" i="47"/>
  <c r="J1132" i="47"/>
  <c r="J1133" i="47"/>
  <c r="J1134" i="47"/>
  <c r="J1135" i="47"/>
  <c r="J1136" i="47"/>
  <c r="J1137" i="47"/>
  <c r="J1138" i="47"/>
  <c r="J1139" i="47"/>
  <c r="J1140" i="47"/>
  <c r="J1141" i="47"/>
  <c r="J1142" i="47"/>
  <c r="J1143" i="47"/>
  <c r="J1144" i="47"/>
  <c r="J1145" i="47"/>
  <c r="J1146" i="47"/>
  <c r="J1147" i="47"/>
  <c r="J1148" i="47"/>
  <c r="J1149" i="47"/>
  <c r="J1150" i="47"/>
  <c r="J1151" i="47"/>
  <c r="J1152" i="47"/>
  <c r="J1153" i="47"/>
  <c r="J1154" i="47"/>
  <c r="J1155" i="47"/>
  <c r="J1156" i="47"/>
  <c r="J1157" i="47"/>
  <c r="J1158" i="47"/>
  <c r="J1159" i="47"/>
  <c r="J1160" i="47"/>
  <c r="J1161" i="47"/>
  <c r="J1162" i="47"/>
  <c r="J1163" i="47"/>
  <c r="J1164" i="47"/>
  <c r="J1165" i="47"/>
  <c r="J1166" i="47"/>
  <c r="J1167" i="47"/>
  <c r="J1168" i="47"/>
  <c r="J1169" i="47"/>
  <c r="J1170" i="47"/>
  <c r="J1171" i="47"/>
  <c r="J1172" i="47"/>
  <c r="J1173" i="47"/>
  <c r="J1174" i="47"/>
  <c r="J1175" i="47"/>
  <c r="J1176" i="47"/>
  <c r="J1177" i="47"/>
  <c r="J1178" i="47"/>
  <c r="J1179" i="47"/>
  <c r="J1180" i="47"/>
  <c r="J1181" i="47"/>
  <c r="J1182" i="47"/>
  <c r="J1183" i="47"/>
  <c r="J1184" i="47"/>
  <c r="J1185" i="47"/>
  <c r="J1186" i="47"/>
  <c r="J1187" i="47"/>
  <c r="J1188" i="47"/>
  <c r="J1189" i="47"/>
  <c r="J1190" i="47"/>
  <c r="J1191" i="47"/>
  <c r="J1192" i="47"/>
  <c r="J1193" i="47"/>
  <c r="J1194" i="47"/>
  <c r="J1195" i="47"/>
  <c r="J1196" i="47"/>
  <c r="J1197" i="47"/>
  <c r="J1198" i="47"/>
  <c r="J1199" i="47"/>
  <c r="J1200" i="47"/>
  <c r="J1201" i="47"/>
  <c r="J1202" i="47"/>
  <c r="J1203" i="47"/>
  <c r="J1204" i="47"/>
  <c r="J1205" i="47"/>
  <c r="J1206" i="47"/>
  <c r="J1207" i="47"/>
  <c r="J1208" i="47"/>
  <c r="J1209" i="47"/>
  <c r="J3" i="47"/>
  <c r="I944" i="47"/>
  <c r="I943" i="47"/>
  <c r="I942" i="47"/>
  <c r="I941" i="47"/>
  <c r="I940" i="47"/>
  <c r="I939" i="47"/>
  <c r="I938" i="47"/>
  <c r="I937" i="47"/>
  <c r="I936" i="47"/>
  <c r="I935" i="47"/>
  <c r="I934" i="47"/>
  <c r="I933" i="47"/>
  <c r="I932" i="47"/>
  <c r="I931" i="47"/>
  <c r="I930" i="47"/>
  <c r="I929" i="47"/>
  <c r="I928" i="47"/>
  <c r="I927" i="47"/>
  <c r="I926" i="47"/>
  <c r="I925" i="47"/>
  <c r="I924" i="47"/>
  <c r="I923" i="47"/>
  <c r="I922" i="47"/>
  <c r="I921" i="47"/>
  <c r="I920" i="47"/>
  <c r="I919" i="47"/>
  <c r="I918" i="47"/>
  <c r="I917" i="47"/>
  <c r="I916" i="47"/>
  <c r="I915" i="47"/>
  <c r="I914" i="47"/>
  <c r="I913" i="47"/>
  <c r="I912" i="47"/>
  <c r="I911" i="47"/>
  <c r="I910" i="47"/>
  <c r="I909" i="47"/>
  <c r="I908" i="47"/>
  <c r="I907" i="47"/>
  <c r="I906" i="47"/>
  <c r="I905" i="47"/>
  <c r="I904" i="47"/>
  <c r="I903" i="47"/>
  <c r="I902" i="47"/>
  <c r="I901" i="47"/>
  <c r="I900" i="47"/>
  <c r="I899" i="47"/>
  <c r="I898" i="47"/>
  <c r="I897" i="47"/>
  <c r="I896" i="47"/>
  <c r="I895" i="47"/>
  <c r="I894" i="47"/>
  <c r="I893" i="47"/>
  <c r="I892" i="47"/>
  <c r="I891" i="47"/>
  <c r="I890" i="47"/>
  <c r="I889" i="47"/>
  <c r="I888" i="47"/>
  <c r="I887" i="47"/>
  <c r="I886" i="47"/>
  <c r="I885" i="47"/>
  <c r="I884" i="47"/>
  <c r="I883" i="47"/>
  <c r="I882" i="47"/>
  <c r="I881" i="47"/>
  <c r="I880" i="47"/>
  <c r="I879" i="47"/>
  <c r="I878" i="47"/>
  <c r="I877" i="47"/>
  <c r="I876" i="47"/>
  <c r="I875" i="47"/>
  <c r="I874" i="47"/>
  <c r="I873" i="47"/>
  <c r="I872" i="47"/>
  <c r="I871" i="47"/>
  <c r="I870" i="47"/>
  <c r="I869" i="47"/>
  <c r="I868" i="47"/>
  <c r="I867" i="47"/>
  <c r="I866" i="47"/>
  <c r="I865" i="47"/>
  <c r="I864" i="47"/>
  <c r="I863" i="47"/>
  <c r="I862" i="47"/>
  <c r="I861" i="47"/>
  <c r="I860" i="47"/>
  <c r="I859" i="47"/>
  <c r="I858" i="47"/>
  <c r="I857" i="47"/>
  <c r="I856" i="47"/>
  <c r="I855" i="47"/>
  <c r="I854" i="47"/>
  <c r="I853" i="47"/>
  <c r="I852" i="47"/>
  <c r="I851" i="47"/>
  <c r="I850" i="47"/>
  <c r="I849" i="47"/>
  <c r="I848" i="47"/>
  <c r="I847" i="47"/>
  <c r="I846" i="47"/>
  <c r="I845" i="47"/>
  <c r="I844" i="47"/>
  <c r="I843" i="47"/>
  <c r="I842" i="47"/>
  <c r="I841" i="47"/>
  <c r="I840" i="47"/>
  <c r="I839" i="47"/>
  <c r="I838" i="47"/>
  <c r="I837" i="47"/>
  <c r="I836" i="47"/>
  <c r="I835" i="47"/>
  <c r="I834" i="47"/>
  <c r="I833" i="47"/>
  <c r="I832" i="47"/>
  <c r="I831" i="47"/>
  <c r="I830" i="47"/>
  <c r="I829" i="47"/>
  <c r="I828" i="47"/>
  <c r="I827" i="47"/>
  <c r="I826" i="47"/>
  <c r="I825" i="47"/>
  <c r="I824" i="47"/>
  <c r="I823" i="47"/>
  <c r="I822" i="47"/>
  <c r="I821" i="47"/>
  <c r="I820" i="47"/>
  <c r="I819" i="47"/>
  <c r="I818" i="47"/>
  <c r="I817" i="47"/>
  <c r="I816" i="47"/>
  <c r="I815" i="47"/>
  <c r="I814" i="47"/>
  <c r="I813" i="47"/>
  <c r="I812" i="47"/>
  <c r="I811" i="47"/>
  <c r="I810" i="47"/>
  <c r="I809" i="47"/>
  <c r="I808" i="47"/>
  <c r="I807" i="47"/>
  <c r="I806" i="47"/>
  <c r="I805" i="47"/>
  <c r="I804" i="47"/>
  <c r="I803" i="47"/>
  <c r="I802" i="47"/>
  <c r="I801" i="47"/>
  <c r="I800" i="47"/>
  <c r="I799" i="47"/>
  <c r="I798" i="47"/>
  <c r="I797" i="47"/>
  <c r="I796" i="47"/>
  <c r="I795" i="47"/>
  <c r="I794" i="47"/>
  <c r="I793" i="47"/>
  <c r="I792" i="47"/>
  <c r="I791" i="47"/>
  <c r="I790" i="47"/>
  <c r="I789" i="47"/>
  <c r="I788" i="47"/>
  <c r="I787" i="47"/>
  <c r="I786" i="47"/>
  <c r="I785" i="47"/>
  <c r="I784" i="47"/>
  <c r="I783" i="47"/>
  <c r="I782" i="47"/>
  <c r="I781" i="47"/>
  <c r="I780" i="47"/>
  <c r="I779" i="47"/>
  <c r="I778" i="47"/>
  <c r="I777" i="47"/>
  <c r="I776" i="47"/>
  <c r="I775" i="47"/>
  <c r="I774" i="47"/>
  <c r="I773" i="47"/>
  <c r="I772" i="47"/>
  <c r="I771" i="47"/>
  <c r="I770" i="47"/>
  <c r="I769" i="47"/>
  <c r="I768" i="47"/>
  <c r="I767" i="47"/>
  <c r="I766" i="47"/>
  <c r="I765" i="47"/>
  <c r="I764" i="47"/>
  <c r="I763" i="47"/>
  <c r="I762" i="47"/>
  <c r="I761" i="47"/>
  <c r="I760" i="47"/>
  <c r="I759" i="47"/>
  <c r="I758" i="47"/>
  <c r="I757" i="47"/>
  <c r="I756" i="47"/>
  <c r="I755" i="47"/>
  <c r="I754" i="47"/>
  <c r="I753" i="47"/>
  <c r="I752" i="47"/>
  <c r="I751" i="47"/>
  <c r="I750" i="47"/>
  <c r="I749" i="47"/>
  <c r="I748" i="47"/>
  <c r="I747" i="47"/>
  <c r="I746" i="47"/>
  <c r="I745" i="47"/>
  <c r="I744" i="47"/>
  <c r="I743" i="47"/>
  <c r="I742" i="47"/>
  <c r="I741" i="47"/>
  <c r="I740" i="47"/>
  <c r="I739" i="47"/>
  <c r="I738" i="47"/>
  <c r="I737" i="47"/>
  <c r="I736" i="47"/>
  <c r="I735" i="47"/>
  <c r="I734" i="47"/>
  <c r="I733" i="47"/>
  <c r="I732" i="47"/>
  <c r="I731" i="47"/>
  <c r="I730" i="47"/>
  <c r="I729" i="47"/>
  <c r="I728" i="47"/>
  <c r="I727" i="47"/>
  <c r="I726" i="47"/>
  <c r="I725" i="47"/>
  <c r="I724" i="47"/>
  <c r="I723" i="47"/>
  <c r="I722" i="47"/>
  <c r="I721" i="47"/>
  <c r="I720" i="47"/>
  <c r="I719" i="47"/>
  <c r="I718" i="47"/>
  <c r="I717" i="47"/>
  <c r="I716" i="47"/>
  <c r="I715" i="47"/>
  <c r="I714" i="47"/>
  <c r="I713" i="47"/>
  <c r="I712" i="47"/>
  <c r="I711" i="47"/>
  <c r="I710" i="47"/>
  <c r="I709" i="47"/>
  <c r="I708" i="47"/>
  <c r="I707" i="47"/>
  <c r="I706" i="47"/>
  <c r="I705" i="47"/>
  <c r="I704" i="47"/>
  <c r="I703" i="47"/>
  <c r="I702" i="47"/>
  <c r="I701" i="47"/>
  <c r="I700" i="47"/>
  <c r="I699" i="47"/>
  <c r="I698" i="47"/>
  <c r="I697" i="47"/>
  <c r="I696" i="47"/>
  <c r="I695" i="47"/>
  <c r="I694" i="47"/>
  <c r="I693" i="47"/>
  <c r="I692" i="47"/>
  <c r="I691" i="47"/>
  <c r="I690" i="47"/>
  <c r="I689" i="47"/>
  <c r="I688" i="47"/>
  <c r="I687" i="47"/>
  <c r="I686" i="47"/>
  <c r="I685" i="47"/>
  <c r="I684" i="47"/>
  <c r="I683" i="47"/>
  <c r="I682" i="47"/>
  <c r="I681" i="47"/>
  <c r="I680" i="47"/>
  <c r="I679" i="47"/>
  <c r="I678" i="47"/>
  <c r="I677" i="47"/>
  <c r="I676" i="47"/>
  <c r="I675" i="47"/>
  <c r="I674" i="47"/>
  <c r="I673" i="47"/>
  <c r="I672" i="47"/>
  <c r="I671" i="47"/>
  <c r="I670" i="47"/>
  <c r="I669" i="47"/>
  <c r="I668" i="47"/>
  <c r="I667" i="47"/>
  <c r="I666" i="47"/>
  <c r="I665" i="47"/>
  <c r="I664" i="47"/>
  <c r="I663" i="47"/>
  <c r="I662" i="47"/>
  <c r="I661" i="47"/>
  <c r="I660" i="47"/>
  <c r="I659" i="47"/>
  <c r="I658" i="47"/>
  <c r="I657" i="47"/>
  <c r="I656" i="47"/>
  <c r="I655" i="47"/>
  <c r="I654" i="47"/>
  <c r="I653" i="47"/>
  <c r="I652" i="47"/>
  <c r="I651" i="47"/>
  <c r="I650" i="47"/>
  <c r="I649" i="47"/>
  <c r="I648" i="47"/>
  <c r="I647" i="47"/>
  <c r="I646" i="47"/>
  <c r="I645" i="47"/>
  <c r="I644" i="47"/>
  <c r="I643" i="47"/>
  <c r="I642" i="47"/>
  <c r="I641" i="47"/>
  <c r="I640" i="47"/>
  <c r="I639" i="47"/>
  <c r="I638" i="47"/>
  <c r="I637" i="47"/>
  <c r="I636" i="47"/>
  <c r="I635" i="47"/>
  <c r="I634" i="47"/>
  <c r="I633" i="47"/>
  <c r="I632" i="47"/>
  <c r="I631" i="47"/>
  <c r="I630" i="47"/>
  <c r="I629" i="47"/>
  <c r="I628" i="47"/>
  <c r="I627" i="47"/>
  <c r="I626" i="47"/>
  <c r="I625" i="47"/>
  <c r="I624" i="47"/>
  <c r="I623" i="47"/>
  <c r="I622" i="47"/>
  <c r="I621" i="47"/>
  <c r="I620" i="47"/>
  <c r="I619" i="47"/>
  <c r="I618" i="47"/>
  <c r="I617" i="47"/>
  <c r="I616" i="47"/>
  <c r="I615" i="47"/>
  <c r="I614" i="47"/>
  <c r="I613" i="47"/>
  <c r="I612" i="47"/>
  <c r="I611" i="47"/>
  <c r="I610" i="47"/>
  <c r="I609" i="47"/>
  <c r="I608" i="47"/>
  <c r="I607" i="47"/>
  <c r="I606" i="47"/>
  <c r="I605" i="47"/>
  <c r="I604" i="47"/>
  <c r="I603" i="47"/>
  <c r="I602" i="47"/>
  <c r="I601" i="47"/>
  <c r="I600" i="47"/>
  <c r="I599" i="47"/>
  <c r="I598" i="47"/>
  <c r="I597" i="47"/>
  <c r="I596" i="47"/>
  <c r="I595" i="47"/>
  <c r="I594" i="47"/>
  <c r="I593" i="47"/>
  <c r="I592" i="47"/>
  <c r="I591" i="47"/>
  <c r="I590" i="47"/>
  <c r="I589" i="47"/>
  <c r="I588" i="47"/>
  <c r="I587" i="47"/>
  <c r="I586" i="47"/>
  <c r="I585" i="47"/>
  <c r="I584" i="47"/>
  <c r="I583" i="47"/>
  <c r="I582" i="47"/>
  <c r="I581" i="47"/>
  <c r="I580" i="47"/>
  <c r="I579" i="47"/>
  <c r="I578" i="47"/>
  <c r="I577" i="47"/>
  <c r="I576" i="47"/>
  <c r="I575" i="47"/>
  <c r="I574" i="47"/>
  <c r="I573" i="47"/>
  <c r="I572" i="47"/>
  <c r="I571" i="47"/>
  <c r="I570" i="47"/>
  <c r="I569" i="47"/>
  <c r="I568" i="47"/>
  <c r="I567" i="47"/>
  <c r="I566" i="47"/>
  <c r="I565" i="47"/>
  <c r="I564" i="47"/>
  <c r="I563" i="47"/>
  <c r="I562" i="47"/>
  <c r="I561" i="47"/>
  <c r="I560" i="47"/>
  <c r="I559" i="47"/>
  <c r="I558" i="47"/>
  <c r="I557" i="47"/>
  <c r="I556" i="47"/>
  <c r="I555" i="47"/>
  <c r="I554" i="47"/>
  <c r="I553" i="47"/>
  <c r="I552" i="47"/>
  <c r="I551" i="47"/>
  <c r="I550" i="47"/>
  <c r="I549" i="47"/>
  <c r="I548" i="47"/>
  <c r="I547" i="47"/>
  <c r="I546" i="47"/>
  <c r="I545" i="47"/>
  <c r="I544" i="47"/>
  <c r="I543" i="47"/>
  <c r="I542" i="47"/>
  <c r="I541" i="47"/>
  <c r="I540" i="47"/>
  <c r="I539" i="47"/>
  <c r="I538" i="47"/>
  <c r="I537" i="47"/>
  <c r="I536" i="47"/>
  <c r="I535" i="47"/>
  <c r="I534" i="47"/>
  <c r="I533" i="47"/>
  <c r="I532" i="47"/>
  <c r="I531" i="47"/>
  <c r="I530" i="47"/>
  <c r="I529" i="47"/>
  <c r="I528" i="47"/>
  <c r="I527" i="47"/>
  <c r="I526" i="47"/>
  <c r="I525" i="47"/>
  <c r="I524" i="47"/>
  <c r="I523" i="47"/>
  <c r="I522" i="47"/>
  <c r="I521" i="47"/>
  <c r="I520" i="47"/>
  <c r="I519" i="47"/>
  <c r="I518" i="47"/>
  <c r="I517" i="47"/>
  <c r="I516" i="47"/>
  <c r="I515" i="47"/>
  <c r="I514" i="47"/>
  <c r="I513" i="47"/>
  <c r="I512" i="47"/>
  <c r="I511" i="47"/>
  <c r="I510" i="47"/>
  <c r="I509" i="47"/>
  <c r="I508" i="47"/>
  <c r="I507" i="47"/>
  <c r="I506" i="47"/>
  <c r="I505" i="47"/>
  <c r="I504" i="47"/>
  <c r="I503" i="47"/>
  <c r="I502" i="47"/>
  <c r="I501" i="47"/>
  <c r="I500" i="47"/>
  <c r="I499" i="47"/>
  <c r="I498" i="47"/>
  <c r="I497" i="47"/>
  <c r="I496" i="47"/>
  <c r="I495" i="47"/>
  <c r="I494" i="47"/>
  <c r="I493" i="47"/>
  <c r="I492" i="47"/>
  <c r="I491" i="47"/>
  <c r="I490" i="47"/>
  <c r="I489" i="47"/>
  <c r="I488" i="47"/>
  <c r="I487" i="47"/>
  <c r="I486" i="47"/>
  <c r="I485" i="47"/>
  <c r="I484" i="47"/>
  <c r="I483" i="47"/>
  <c r="I482" i="47"/>
  <c r="I481" i="47"/>
  <c r="I480" i="47"/>
  <c r="I479" i="47"/>
  <c r="I478" i="47"/>
  <c r="I477" i="47"/>
  <c r="I476" i="47"/>
  <c r="I475" i="47"/>
  <c r="I474" i="47"/>
  <c r="I473" i="47"/>
  <c r="I472" i="47"/>
  <c r="I471" i="47"/>
  <c r="I470" i="47"/>
  <c r="I469" i="47"/>
  <c r="I468" i="47"/>
  <c r="I467" i="47"/>
  <c r="I466" i="47"/>
  <c r="I465" i="47"/>
  <c r="I464" i="47"/>
  <c r="I463" i="47"/>
  <c r="I462" i="47"/>
  <c r="I461" i="47"/>
  <c r="I460" i="47"/>
  <c r="I459" i="47"/>
  <c r="I458" i="47"/>
  <c r="I457" i="47"/>
  <c r="I456" i="47"/>
  <c r="I455" i="47"/>
  <c r="I454" i="47"/>
  <c r="I453" i="47"/>
  <c r="I452" i="47"/>
  <c r="I451" i="47"/>
  <c r="I450" i="47"/>
  <c r="I449" i="47"/>
  <c r="I448" i="47"/>
  <c r="I447" i="47"/>
  <c r="I446" i="47"/>
  <c r="I445" i="47"/>
  <c r="I444" i="47"/>
  <c r="I443" i="47"/>
  <c r="I442" i="47"/>
  <c r="I441" i="47"/>
  <c r="I440" i="47"/>
  <c r="I439" i="47"/>
  <c r="I438" i="47"/>
  <c r="I437" i="47"/>
  <c r="I436" i="47"/>
  <c r="I435" i="47"/>
  <c r="I434" i="47"/>
  <c r="I433" i="47"/>
  <c r="I432" i="47"/>
  <c r="I431" i="47"/>
  <c r="I430" i="47"/>
  <c r="I429" i="47"/>
  <c r="I428" i="47"/>
  <c r="I427" i="47"/>
  <c r="I426" i="47"/>
  <c r="I425" i="47"/>
  <c r="I424" i="47"/>
  <c r="I423" i="47"/>
  <c r="I422" i="47"/>
  <c r="I421" i="47"/>
  <c r="I420" i="47"/>
  <c r="I419" i="47"/>
  <c r="I418" i="47"/>
  <c r="I417" i="47"/>
  <c r="I416" i="47"/>
  <c r="I415" i="47"/>
  <c r="I414" i="47"/>
  <c r="I413" i="47"/>
  <c r="I412" i="47"/>
  <c r="I411" i="47"/>
  <c r="I410" i="47"/>
  <c r="I409" i="47"/>
  <c r="I408" i="47"/>
  <c r="I407" i="47"/>
  <c r="I406" i="47"/>
  <c r="I405" i="47"/>
  <c r="I404" i="47"/>
  <c r="I403" i="47"/>
  <c r="I402" i="47"/>
  <c r="I401" i="47"/>
  <c r="I400" i="47"/>
  <c r="I399" i="47"/>
  <c r="I398" i="47"/>
  <c r="I397" i="47"/>
  <c r="I396" i="47"/>
  <c r="I395" i="47"/>
  <c r="I394" i="47"/>
  <c r="I393" i="47"/>
  <c r="I392" i="47"/>
  <c r="I391" i="47"/>
  <c r="I390" i="47"/>
  <c r="I389" i="47"/>
  <c r="I388" i="47"/>
  <c r="I387" i="47"/>
  <c r="I386" i="47"/>
  <c r="I385" i="47"/>
  <c r="I384" i="47"/>
  <c r="I383" i="47"/>
  <c r="I382" i="47"/>
  <c r="I381" i="47"/>
  <c r="I380" i="47"/>
  <c r="I379" i="47"/>
  <c r="I378" i="47"/>
  <c r="I377" i="47"/>
  <c r="I376" i="47"/>
  <c r="I375" i="47"/>
  <c r="I374" i="47"/>
  <c r="I373" i="47"/>
  <c r="I372" i="47"/>
  <c r="I371" i="47"/>
  <c r="I370" i="47"/>
  <c r="I369" i="47"/>
  <c r="I368" i="47"/>
  <c r="I367" i="47"/>
  <c r="I366" i="47"/>
  <c r="I365" i="47"/>
  <c r="I364" i="47"/>
  <c r="I363" i="47"/>
  <c r="I362" i="47"/>
  <c r="I361" i="47"/>
  <c r="I360" i="47"/>
  <c r="I359" i="47"/>
  <c r="I358" i="47"/>
  <c r="I357" i="47"/>
  <c r="I356" i="47"/>
  <c r="I355" i="47"/>
  <c r="I354" i="47"/>
  <c r="I353" i="47"/>
  <c r="I352" i="47"/>
  <c r="I351" i="47"/>
  <c r="I350" i="47"/>
  <c r="I349" i="47"/>
  <c r="I348" i="47"/>
  <c r="I347" i="47"/>
  <c r="I346" i="47"/>
  <c r="I345" i="47"/>
  <c r="I344" i="47"/>
  <c r="I343" i="47"/>
  <c r="I342" i="47"/>
  <c r="I341" i="47"/>
  <c r="I340" i="47"/>
  <c r="I339" i="47"/>
  <c r="I338" i="47"/>
  <c r="I337" i="47"/>
  <c r="I336" i="47"/>
  <c r="I335" i="47"/>
  <c r="I334" i="47"/>
  <c r="I333" i="47"/>
  <c r="I332" i="47"/>
  <c r="I331" i="47"/>
  <c r="I330" i="47"/>
  <c r="I329" i="47"/>
  <c r="I328" i="47"/>
  <c r="I327" i="47"/>
  <c r="I326" i="47"/>
  <c r="I325" i="47"/>
  <c r="I324" i="47"/>
  <c r="I323" i="47"/>
  <c r="I322" i="47"/>
  <c r="I321" i="47"/>
  <c r="I320" i="47"/>
  <c r="I319" i="47"/>
  <c r="I318" i="47"/>
  <c r="I317" i="47"/>
  <c r="I316" i="47"/>
  <c r="I315" i="47"/>
  <c r="I314" i="47"/>
  <c r="I313" i="47"/>
  <c r="I312" i="47"/>
  <c r="I311" i="47"/>
  <c r="I310" i="47"/>
  <c r="I309" i="47"/>
  <c r="I308" i="47"/>
  <c r="I307" i="47"/>
  <c r="I306" i="47"/>
  <c r="I305" i="47"/>
  <c r="I304" i="47"/>
  <c r="I303" i="47"/>
  <c r="I302" i="47"/>
  <c r="I301" i="47"/>
  <c r="I300" i="47"/>
  <c r="I299" i="47"/>
  <c r="I298" i="47"/>
  <c r="I297" i="47"/>
  <c r="I296" i="47"/>
  <c r="I295" i="47"/>
  <c r="I294" i="47"/>
  <c r="I293" i="47"/>
  <c r="I292" i="47"/>
  <c r="I291" i="47"/>
  <c r="I290" i="47"/>
  <c r="I289" i="47"/>
  <c r="I288" i="47"/>
  <c r="I287" i="47"/>
  <c r="I286" i="47"/>
  <c r="I285" i="47"/>
  <c r="I284" i="47"/>
  <c r="I283" i="47"/>
  <c r="I282" i="47"/>
  <c r="I281" i="47"/>
  <c r="I280" i="47"/>
  <c r="I279" i="47"/>
  <c r="I278" i="47"/>
  <c r="I277" i="47"/>
  <c r="I276" i="47"/>
  <c r="I275" i="47"/>
  <c r="I274" i="47"/>
  <c r="I273" i="47"/>
  <c r="I272" i="47"/>
  <c r="I271" i="47"/>
  <c r="I270" i="47"/>
  <c r="I269" i="47"/>
  <c r="I268" i="47"/>
  <c r="I267" i="47"/>
  <c r="I266" i="47"/>
  <c r="I265" i="47"/>
  <c r="I264" i="47"/>
  <c r="I263" i="47"/>
  <c r="I262" i="47"/>
  <c r="I261" i="47"/>
  <c r="I260" i="47"/>
  <c r="I259" i="47"/>
  <c r="I258" i="47"/>
  <c r="I257" i="47"/>
  <c r="I256" i="47"/>
  <c r="I255" i="47"/>
  <c r="I254" i="47"/>
  <c r="I253" i="47"/>
  <c r="I252" i="47"/>
  <c r="I251" i="47"/>
  <c r="I250" i="47"/>
  <c r="I249" i="47"/>
  <c r="I248" i="47"/>
  <c r="I247" i="47"/>
  <c r="I246" i="47"/>
  <c r="I245" i="47"/>
  <c r="I244" i="47"/>
  <c r="I243" i="47"/>
  <c r="I242" i="47"/>
  <c r="I241" i="47"/>
  <c r="I240" i="47"/>
  <c r="I239" i="47"/>
  <c r="I238" i="47"/>
  <c r="I237" i="47"/>
  <c r="I236" i="47"/>
  <c r="I235" i="47"/>
  <c r="I234" i="47"/>
  <c r="I233" i="47"/>
  <c r="I232" i="47"/>
  <c r="I231" i="47"/>
  <c r="I230" i="47"/>
  <c r="I229" i="47"/>
  <c r="I228" i="47"/>
  <c r="I227" i="47"/>
  <c r="I226" i="47"/>
  <c r="I225" i="47"/>
  <c r="I224" i="47"/>
  <c r="I223" i="47"/>
  <c r="I222" i="47"/>
  <c r="I221" i="47"/>
  <c r="I220" i="47"/>
  <c r="I219" i="47"/>
  <c r="I218" i="47"/>
  <c r="I217" i="47"/>
  <c r="I216" i="47"/>
  <c r="I215" i="47"/>
  <c r="I214" i="47"/>
  <c r="I213" i="47"/>
  <c r="I212" i="47"/>
  <c r="I211" i="47"/>
  <c r="I210" i="47"/>
  <c r="I209" i="47"/>
  <c r="I208" i="47"/>
  <c r="I207" i="47"/>
  <c r="I206" i="47"/>
  <c r="I205" i="47"/>
  <c r="I204" i="47"/>
  <c r="I203" i="47"/>
  <c r="I202" i="47"/>
  <c r="I201" i="47"/>
  <c r="I200" i="47"/>
  <c r="I199" i="47"/>
  <c r="I198" i="47"/>
  <c r="I197" i="47"/>
  <c r="I196" i="47"/>
  <c r="I195" i="47"/>
  <c r="I194" i="47"/>
  <c r="I193" i="47"/>
  <c r="I192" i="47"/>
  <c r="I191" i="47"/>
  <c r="I190" i="47"/>
  <c r="I189" i="47"/>
  <c r="I188" i="47"/>
  <c r="I187" i="47"/>
  <c r="I186" i="47"/>
  <c r="I185" i="47"/>
  <c r="I184" i="47"/>
  <c r="I183" i="47"/>
  <c r="I182" i="47"/>
  <c r="I181" i="47"/>
  <c r="I180" i="47"/>
  <c r="I179" i="47"/>
  <c r="I178" i="47"/>
  <c r="I177" i="47"/>
  <c r="I176" i="47"/>
  <c r="I175" i="47"/>
  <c r="I174" i="47"/>
  <c r="I173" i="47"/>
  <c r="I172" i="47"/>
  <c r="I171" i="47"/>
  <c r="I170" i="47"/>
  <c r="I169" i="47"/>
  <c r="I168" i="47"/>
  <c r="I167" i="47"/>
  <c r="I166" i="47"/>
  <c r="I165" i="47"/>
  <c r="I164" i="47"/>
  <c r="I163" i="47"/>
  <c r="I162" i="47"/>
  <c r="I161" i="47"/>
  <c r="I160" i="47"/>
  <c r="I159" i="47"/>
  <c r="I158" i="47"/>
  <c r="I157" i="47"/>
  <c r="I156" i="47"/>
  <c r="I155" i="47"/>
  <c r="I154" i="47"/>
  <c r="I153" i="47"/>
  <c r="I152" i="47"/>
  <c r="I151" i="47"/>
  <c r="I150" i="47"/>
  <c r="I149" i="47"/>
  <c r="I148" i="47"/>
  <c r="I147" i="47"/>
  <c r="I146" i="47"/>
  <c r="I145" i="47"/>
  <c r="I144" i="47"/>
  <c r="I143" i="47"/>
  <c r="I142" i="47"/>
  <c r="I141" i="47"/>
  <c r="I140" i="47"/>
  <c r="I139" i="47"/>
  <c r="I138" i="47"/>
  <c r="I137" i="47"/>
  <c r="I136" i="47"/>
  <c r="I135" i="47"/>
  <c r="I134" i="47"/>
  <c r="I133" i="47"/>
  <c r="I132" i="47"/>
  <c r="I131" i="47"/>
  <c r="I130" i="47"/>
  <c r="I129" i="47"/>
  <c r="I128" i="47"/>
  <c r="I127" i="47"/>
  <c r="I126" i="47"/>
  <c r="I125" i="47"/>
  <c r="I124" i="47"/>
  <c r="I123" i="47"/>
  <c r="I122" i="47"/>
  <c r="I121" i="47"/>
  <c r="I120" i="47"/>
  <c r="I119" i="47"/>
  <c r="I118" i="47"/>
  <c r="I117" i="47"/>
  <c r="I116" i="47"/>
  <c r="I115" i="47"/>
  <c r="I114" i="47"/>
  <c r="I113" i="47"/>
  <c r="I112" i="47"/>
  <c r="I111" i="47"/>
  <c r="I110" i="47"/>
  <c r="I109" i="47"/>
  <c r="I108" i="47"/>
  <c r="I107" i="47"/>
  <c r="I106" i="47"/>
  <c r="I105" i="47"/>
  <c r="I104" i="47"/>
  <c r="I103" i="47"/>
  <c r="I102" i="47"/>
  <c r="I101" i="47"/>
  <c r="I100" i="47"/>
  <c r="I99" i="47"/>
  <c r="I98" i="47"/>
  <c r="I97" i="47"/>
  <c r="I96" i="47"/>
  <c r="I95" i="47"/>
  <c r="I94" i="47"/>
  <c r="I93" i="47"/>
  <c r="I92" i="47"/>
  <c r="I91" i="47"/>
  <c r="I90" i="47"/>
  <c r="I89" i="47"/>
  <c r="I88" i="47"/>
  <c r="I87" i="47"/>
  <c r="I86" i="47"/>
  <c r="I85" i="47"/>
  <c r="I84" i="47"/>
  <c r="I83" i="47"/>
  <c r="I82" i="47"/>
  <c r="I81" i="47"/>
  <c r="I80" i="47"/>
  <c r="I79" i="47"/>
  <c r="I78" i="47"/>
  <c r="I77" i="47"/>
  <c r="I76" i="47"/>
  <c r="I75" i="47"/>
  <c r="I74" i="47"/>
  <c r="I73" i="47"/>
  <c r="I72" i="47"/>
  <c r="I71" i="47"/>
  <c r="I70" i="47"/>
  <c r="I69" i="47"/>
  <c r="I68" i="47"/>
  <c r="I67" i="47"/>
  <c r="I66" i="47"/>
  <c r="I65" i="47"/>
  <c r="I64" i="47"/>
  <c r="I63" i="47"/>
  <c r="I62" i="47"/>
  <c r="I61" i="47"/>
  <c r="I60" i="47"/>
  <c r="I59" i="47"/>
  <c r="I58" i="47"/>
  <c r="I57" i="47"/>
  <c r="I56" i="47"/>
  <c r="I55" i="47"/>
  <c r="I54" i="47"/>
  <c r="I53" i="47"/>
  <c r="I52" i="47"/>
  <c r="I51" i="47"/>
  <c r="I50" i="47"/>
  <c r="I49" i="47"/>
  <c r="I48" i="47"/>
  <c r="I47" i="47"/>
  <c r="I46" i="47"/>
  <c r="I45" i="47"/>
  <c r="I44" i="47"/>
  <c r="I43" i="47"/>
  <c r="I42" i="47"/>
  <c r="I41" i="47"/>
  <c r="I40" i="47"/>
  <c r="I39" i="47"/>
  <c r="I38" i="47"/>
  <c r="I37" i="47"/>
  <c r="I36" i="47"/>
  <c r="I35" i="47"/>
  <c r="I34" i="47"/>
  <c r="I33" i="47"/>
  <c r="I32" i="47"/>
  <c r="I31" i="47"/>
  <c r="I30" i="47"/>
  <c r="I29" i="47"/>
  <c r="I28" i="47"/>
  <c r="I27" i="47"/>
  <c r="I26" i="47"/>
  <c r="I25" i="47"/>
  <c r="I24" i="47"/>
  <c r="I23" i="47"/>
  <c r="I22" i="47"/>
  <c r="I21" i="47"/>
  <c r="I20" i="47"/>
  <c r="I19" i="47"/>
  <c r="I18" i="47"/>
  <c r="I17" i="47"/>
  <c r="I16" i="47"/>
  <c r="I15" i="47"/>
  <c r="I14" i="47"/>
  <c r="I13" i="47"/>
  <c r="I12" i="47"/>
  <c r="I11" i="47"/>
  <c r="I10" i="47"/>
  <c r="I9" i="47"/>
  <c r="I8" i="47"/>
  <c r="I7" i="47"/>
  <c r="I6" i="47"/>
  <c r="I5" i="47"/>
  <c r="I4" i="47"/>
  <c r="I3" i="47"/>
  <c r="C10" i="16" l="1"/>
  <c r="V176" i="44" l="1"/>
  <c r="N141" i="44"/>
  <c r="N142" i="44" l="1"/>
  <c r="N143" i="44"/>
  <c r="N144" i="44"/>
  <c r="N145" i="44"/>
  <c r="N146" i="44"/>
  <c r="N147" i="44"/>
  <c r="N148" i="44"/>
  <c r="N149" i="44"/>
  <c r="N150" i="44"/>
  <c r="N151" i="44"/>
  <c r="N140" i="44"/>
  <c r="M141" i="44"/>
  <c r="M140" i="44" l="1"/>
  <c r="N157" i="44"/>
  <c r="L141" i="44"/>
  <c r="N154" i="44"/>
  <c r="L140" i="44" l="1"/>
  <c r="N167" i="44"/>
  <c r="M157" i="44"/>
  <c r="N159" i="44"/>
  <c r="M156" i="44"/>
  <c r="M154" i="44"/>
  <c r="K141" i="44"/>
  <c r="K140" i="44" l="1"/>
  <c r="L156" i="44"/>
  <c r="J141" i="44"/>
  <c r="L154" i="44"/>
  <c r="L157" i="44"/>
  <c r="J140" i="44" l="1"/>
  <c r="K157" i="44"/>
  <c r="I141" i="44"/>
  <c r="K154" i="44"/>
  <c r="K156" i="44"/>
  <c r="I140" i="44" l="1"/>
  <c r="J154" i="44"/>
  <c r="J156" i="44"/>
  <c r="H141" i="44"/>
  <c r="J157" i="44"/>
  <c r="H140" i="44" l="1"/>
  <c r="I156" i="44"/>
  <c r="G141" i="44"/>
  <c r="I154" i="44"/>
  <c r="I157" i="44"/>
  <c r="G140" i="44" l="1"/>
  <c r="H154" i="44"/>
  <c r="H157" i="44"/>
  <c r="H156" i="44"/>
  <c r="F141" i="44"/>
  <c r="F140" i="44" l="1"/>
  <c r="G154" i="44"/>
  <c r="G156" i="44"/>
  <c r="G157" i="44"/>
  <c r="E141" i="44"/>
  <c r="E140" i="44" l="1"/>
  <c r="F157" i="44"/>
  <c r="F154" i="44"/>
  <c r="F156" i="44"/>
  <c r="D141" i="44"/>
  <c r="D140" i="44" l="1"/>
  <c r="C141" i="44"/>
  <c r="E154" i="44"/>
  <c r="E156" i="44"/>
  <c r="E157" i="44"/>
  <c r="C140" i="44" l="1"/>
  <c r="D154" i="44"/>
  <c r="D157" i="44"/>
  <c r="D156" i="44"/>
  <c r="B141" i="44"/>
  <c r="B140" i="44" l="1"/>
  <c r="C154" i="44"/>
  <c r="C156" i="44"/>
  <c r="C157" i="44"/>
  <c r="B157" i="44" l="1"/>
  <c r="B156" i="44"/>
  <c r="B154" i="44"/>
  <c r="H91" i="44" l="1"/>
  <c r="B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B50" i="44"/>
  <c r="B34" i="44"/>
  <c r="B35" i="44"/>
  <c r="B36" i="44"/>
  <c r="B37" i="44"/>
  <c r="B38" i="44"/>
  <c r="B39" i="44"/>
  <c r="B40" i="44"/>
  <c r="B41" i="44"/>
  <c r="B42" i="44"/>
  <c r="B43" i="44"/>
  <c r="B44" i="44"/>
  <c r="K23" i="6"/>
  <c r="K20" i="6"/>
  <c r="K19" i="6"/>
  <c r="K18" i="6"/>
  <c r="K17" i="6"/>
  <c r="K16" i="6"/>
  <c r="K15" i="6"/>
  <c r="K14" i="6"/>
  <c r="K13" i="6"/>
  <c r="K12" i="6"/>
  <c r="K11" i="6"/>
  <c r="K10" i="6"/>
  <c r="K9" i="6"/>
  <c r="I23" i="6"/>
  <c r="I20" i="6"/>
  <c r="I19" i="6"/>
  <c r="I18" i="6"/>
  <c r="I17" i="6"/>
  <c r="I16" i="6"/>
  <c r="I15" i="6"/>
  <c r="I14" i="6"/>
  <c r="I13" i="6"/>
  <c r="I12" i="6"/>
  <c r="I11" i="6"/>
  <c r="I10" i="6"/>
  <c r="I9" i="6"/>
  <c r="J23" i="6"/>
  <c r="J20" i="6"/>
  <c r="J19" i="6"/>
  <c r="J18" i="6"/>
  <c r="J17" i="6"/>
  <c r="J16" i="6"/>
  <c r="J15" i="6"/>
  <c r="J14" i="6"/>
  <c r="J13" i="6"/>
  <c r="J12" i="6"/>
  <c r="J11" i="6"/>
  <c r="J10" i="6"/>
  <c r="J9" i="6"/>
  <c r="H23" i="6"/>
  <c r="H20" i="6"/>
  <c r="H19" i="6"/>
  <c r="H18" i="6"/>
  <c r="H17" i="6"/>
  <c r="H16" i="6"/>
  <c r="H15" i="6"/>
  <c r="H14" i="6"/>
  <c r="H13" i="6"/>
  <c r="H12" i="6"/>
  <c r="H11" i="6"/>
  <c r="H10" i="6"/>
  <c r="H9" i="6"/>
  <c r="G20" i="6"/>
  <c r="F23" i="6"/>
  <c r="F20" i="6"/>
  <c r="F19" i="6"/>
  <c r="F18" i="6"/>
  <c r="F17" i="6"/>
  <c r="F16" i="6"/>
  <c r="F15" i="6"/>
  <c r="F14" i="6"/>
  <c r="F13" i="6"/>
  <c r="F12" i="6"/>
  <c r="F11" i="6"/>
  <c r="F10" i="6"/>
  <c r="F9" i="6"/>
  <c r="G9" i="6"/>
  <c r="G23" i="6"/>
  <c r="G19" i="6"/>
  <c r="G18" i="6"/>
  <c r="G17" i="6"/>
  <c r="G16" i="6"/>
  <c r="G15" i="6"/>
  <c r="G14" i="6"/>
  <c r="G13" i="6"/>
  <c r="G12" i="6"/>
  <c r="G11" i="6"/>
  <c r="G10" i="6"/>
  <c r="E3" i="40"/>
  <c r="D3" i="21" l="1"/>
  <c r="E3" i="29"/>
  <c r="K3" i="6"/>
  <c r="F7" i="6" s="1"/>
  <c r="B109" i="44"/>
  <c r="H109" i="44"/>
  <c r="B110" i="44"/>
  <c r="H110" i="44"/>
  <c r="B106" i="44"/>
  <c r="H106" i="44"/>
  <c r="B45" i="44"/>
  <c r="C39" i="44" s="1"/>
  <c r="B62" i="44"/>
  <c r="E3" i="13"/>
  <c r="I3" i="15"/>
  <c r="E3" i="23"/>
  <c r="E3" i="30"/>
  <c r="E3" i="16"/>
  <c r="G3" i="11"/>
  <c r="E3" i="31"/>
  <c r="D3" i="20"/>
  <c r="H21" i="6"/>
  <c r="J21" i="6"/>
  <c r="E3" i="10"/>
  <c r="E3" i="14"/>
  <c r="F21" i="6"/>
  <c r="C43" i="44" l="1"/>
  <c r="C34" i="44"/>
  <c r="C42" i="44"/>
  <c r="C37" i="44"/>
  <c r="C33" i="44"/>
  <c r="C41" i="44"/>
  <c r="C38" i="44"/>
  <c r="C61" i="44"/>
  <c r="C36" i="44"/>
  <c r="C40" i="44"/>
  <c r="C35" i="44"/>
  <c r="C44" i="44"/>
  <c r="F33" i="44" l="1"/>
  <c r="F34" i="44"/>
  <c r="F50" i="44"/>
  <c r="C45" i="44" l="1"/>
  <c r="C62" i="44"/>
  <c r="C20" i="6" l="1"/>
  <c r="K8" i="6" l="1"/>
  <c r="I8" i="6"/>
  <c r="E21" i="40" l="1"/>
  <c r="E20" i="40"/>
  <c r="E19" i="40"/>
  <c r="E18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<sst xmlns="http://schemas.openxmlformats.org/spreadsheetml/2006/main" count="3524" uniqueCount="1007">
  <si>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</si>
  <si>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</si>
  <si>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</si>
  <si>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</si>
  <si>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</si>
  <si>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</si>
  <si>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</si>
  <si>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</si>
  <si>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</si>
  <si>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</si>
  <si>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</si>
  <si>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</si>
  <si>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</si>
  <si>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</si>
  <si>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</si>
  <si>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</si>
  <si>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</si>
  <si>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</si>
  <si>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</si>
  <si>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</si>
  <si>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</si>
  <si>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</si>
  <si>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</si>
  <si>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</si>
  <si>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</si>
  <si>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</si>
  <si>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</si>
  <si>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</si>
  <si>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</si>
  <si>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</si>
  <si>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</si>
  <si>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</si>
  <si>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</si>
  <si>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</si>
  <si>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</si>
  <si>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</si>
  <si>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</si>
  <si>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</si>
  <si>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</si>
  <si>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</si>
  <si>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</si>
  <si>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</si>
  <si>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</si>
  <si>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</si>
  <si>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</si>
  <si>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</si>
  <si>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</si>
  <si>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</si>
  <si>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</si>
  <si>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</si>
  <si>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</si>
  <si>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</si>
  <si>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</si>
  <si>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</si>
  <si>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</si>
  <si>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</si>
  <si>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</si>
  <si>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</si>
  <si>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</si>
  <si>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</si>
  <si>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</si>
  <si>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</si>
  <si>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</si>
  <si>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>Evolución de la generación sin/con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</si>
  <si>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</si>
  <si>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</si>
  <si>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</si>
  <si>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</si>
  <si>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</si>
  <si>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</si>
  <si>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</si>
  <si>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</si>
  <si>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</si>
  <si>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</si>
  <si>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</si>
  <si>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</si>
  <si>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</si>
  <si>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</si>
  <si>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</si>
  <si>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</si>
  <si>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</si>
  <si>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</si>
  <si>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</si>
  <si>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</si>
  <si>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</si>
  <si>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</si>
  <si>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(4)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</si>
  <si>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(5)</t>
    </r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</si>
  <si>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</si>
  <si>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</si>
  <si>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funcionamiento en ciclo abierto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</si>
  <si>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</si>
  <si>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</si>
  <si>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</si>
  <si>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Jueves 29/01/2015 (19:27 h)</t>
  </si>
  <si>
    <t>Sábado 21/11/2015 (04:50 h)</t>
  </si>
  <si>
    <t>Febrero 2018</t>
  </si>
  <si>
    <t>% 18/17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</si>
  <si>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</si>
  <si>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</si>
  <si>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</si>
  <si>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</si>
  <si>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</si>
  <si>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</si>
  <si>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</si>
  <si>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</si>
  <si>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</si>
  <si>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</si>
  <si>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</si>
  <si>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</si>
  <si>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</si>
  <si>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</si>
  <si>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</si>
  <si>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</si>
  <si>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</si>
  <si>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</si>
  <si>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</si>
  <si>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</si>
  <si>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</si>
  <si>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</si>
  <si>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28/02/2018</t>
  </si>
  <si>
    <t>Último día mes</t>
  </si>
  <si>
    <t>Potencia UFI (MW)</t>
  </si>
  <si>
    <t>21/02/2018</t>
  </si>
  <si>
    <t>Demanda B.C. (GWh)</t>
  </si>
  <si>
    <t>Balance Máx.Renov.Mes</t>
  </si>
  <si>
    <t>Balance Máx.Renov.Histórico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</si>
  <si>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</si>
  <si>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</si>
  <si>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</si>
  <si>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</si>
  <si>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</si>
  <si>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</si>
  <si>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</si>
  <si>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</si>
  <si>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</si>
  <si>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</si>
  <si>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</si>
  <si>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</si>
  <si>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</si>
  <si>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</si>
  <si>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</si>
  <si>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</si>
  <si>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</si>
  <si>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</si>
  <si>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</si>
  <si>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</si>
  <si>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</si>
  <si>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</si>
  <si>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</si>
  <si>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</si>
  <si>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</si>
  <si>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</si>
  <si>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</si>
  <si>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</si>
  <si>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14/02/2018</t>
  </si>
  <si>
    <t>01/08/2017</t>
  </si>
  <si>
    <t>02/08/2017</t>
  </si>
  <si>
    <t>03/08/2017</t>
  </si>
  <si>
    <t>04/08/2017</t>
  </si>
  <si>
    <t>05/08/2017</t>
  </si>
  <si>
    <t>06/08/2017</t>
  </si>
  <si>
    <t>07/08/2017</t>
  </si>
  <si>
    <t>08/08/2017</t>
  </si>
  <si>
    <t>09/08/2017</t>
  </si>
  <si>
    <t>10/08/2017</t>
  </si>
  <si>
    <t>11/08/2017</t>
  </si>
  <si>
    <t>12/08/2017</t>
  </si>
  <si>
    <t>13/08/2017</t>
  </si>
  <si>
    <t>14/08/2017</t>
  </si>
  <si>
    <t>15/08/2017</t>
  </si>
  <si>
    <t>16/08/2017</t>
  </si>
  <si>
    <t>17/08/2017</t>
  </si>
  <si>
    <t>18/08/2017</t>
  </si>
  <si>
    <t>19/08/2017</t>
  </si>
  <si>
    <t>20/08/2017</t>
  </si>
  <si>
    <t>21/08/2017</t>
  </si>
  <si>
    <t>22/08/2017</t>
  </si>
  <si>
    <t>23/08/2017</t>
  </si>
  <si>
    <t>24/08/2017</t>
  </si>
  <si>
    <t>25/08/2017</t>
  </si>
  <si>
    <t>26/08/2017</t>
  </si>
  <si>
    <t>27/08/2017</t>
  </si>
  <si>
    <t>28/08/2017</t>
  </si>
  <si>
    <t>29/08/2017</t>
  </si>
  <si>
    <t>30/08/2017</t>
  </si>
  <si>
    <t>31/08/2017</t>
  </si>
  <si>
    <t>01/09/2017</t>
  </si>
  <si>
    <t>02/09/2017</t>
  </si>
  <si>
    <t>03/09/2017</t>
  </si>
  <si>
    <t>04/09/2017</t>
  </si>
  <si>
    <t>05/09/2017</t>
  </si>
  <si>
    <t>06/09/2017</t>
  </si>
  <si>
    <t>07/09/2017</t>
  </si>
  <si>
    <t>08/09/2017</t>
  </si>
  <si>
    <t>09/09/2017</t>
  </si>
  <si>
    <t>10/09/2017</t>
  </si>
  <si>
    <t>11/09/2017</t>
  </si>
  <si>
    <t>12/09/2017</t>
  </si>
  <si>
    <t>13/09/2017</t>
  </si>
  <si>
    <t>14/09/2017</t>
  </si>
  <si>
    <t>15/09/2017</t>
  </si>
  <si>
    <t>16/09/2017</t>
  </si>
  <si>
    <t>17/09/2017</t>
  </si>
  <si>
    <t>18/09/2017</t>
  </si>
  <si>
    <t>19/09/2017</t>
  </si>
  <si>
    <t>20/09/2017</t>
  </si>
  <si>
    <t>21/09/2017</t>
  </si>
  <si>
    <t>22/09/2017</t>
  </si>
  <si>
    <t>23/09/2017</t>
  </si>
  <si>
    <t>24/09/2017</t>
  </si>
  <si>
    <t>25/09/2017</t>
  </si>
  <si>
    <t>26/09/2017</t>
  </si>
  <si>
    <t>27/09/2017</t>
  </si>
  <si>
    <t>28/09/2017</t>
  </si>
  <si>
    <t>29/09/2017</t>
  </si>
  <si>
    <t>30/09/2017</t>
  </si>
  <si>
    <t>01/10/2017</t>
  </si>
  <si>
    <t>02/10/2017</t>
  </si>
  <si>
    <t>03/10/2017</t>
  </si>
  <si>
    <t>04/10/2017</t>
  </si>
  <si>
    <t>05/10/2017</t>
  </si>
  <si>
    <t>06/10/2017</t>
  </si>
  <si>
    <t>07/10/2017</t>
  </si>
  <si>
    <t>08/10/2017</t>
  </si>
  <si>
    <t>09/10/2017</t>
  </si>
  <si>
    <t>10/10/2017</t>
  </si>
  <si>
    <t>11/10/2017</t>
  </si>
  <si>
    <t>12/10/2017</t>
  </si>
  <si>
    <t>13/10/2017</t>
  </si>
  <si>
    <t>14/10/2017</t>
  </si>
  <si>
    <t>15/10/2017</t>
  </si>
  <si>
    <t>16/10/2017</t>
  </si>
  <si>
    <t>17/10/2017</t>
  </si>
  <si>
    <t>18/10/2017</t>
  </si>
  <si>
    <t>19/10/2017</t>
  </si>
  <si>
    <t>20/10/2017</t>
  </si>
  <si>
    <t>21/10/2017</t>
  </si>
  <si>
    <t>22/10/2017</t>
  </si>
  <si>
    <t>23/10/2017</t>
  </si>
  <si>
    <t>24/10/2017</t>
  </si>
  <si>
    <t>25/10/2017</t>
  </si>
  <si>
    <t>26/10/2017</t>
  </si>
  <si>
    <t>27/10/2017</t>
  </si>
  <si>
    <t>28/10/2017</t>
  </si>
  <si>
    <t>29/10/2017</t>
  </si>
  <si>
    <t>30/10/2017</t>
  </si>
  <si>
    <t>31/10/2017</t>
  </si>
  <si>
    <t>01/11/2017</t>
  </si>
  <si>
    <t>02/11/2017</t>
  </si>
  <si>
    <t>03/11/2017</t>
  </si>
  <si>
    <t>04/11/2017</t>
  </si>
  <si>
    <t>05/11/2017</t>
  </si>
  <si>
    <t>06/11/2017</t>
  </si>
  <si>
    <t>07/11/2017</t>
  </si>
  <si>
    <t>08/11/2017</t>
  </si>
  <si>
    <t>09/11/2017</t>
  </si>
  <si>
    <t>10/11/2017</t>
  </si>
  <si>
    <t>11/11/2017</t>
  </si>
  <si>
    <t>12/11/2017</t>
  </si>
  <si>
    <t>13/11/2017</t>
  </si>
  <si>
    <t>14/11/2017</t>
  </si>
  <si>
    <t>15/11/2017</t>
  </si>
  <si>
    <t>16/11/2017</t>
  </si>
  <si>
    <t>17/11/2017</t>
  </si>
  <si>
    <t>18/11/2017</t>
  </si>
  <si>
    <t>19/11/2017</t>
  </si>
  <si>
    <t>20/11/2017</t>
  </si>
  <si>
    <t>21/11/2017</t>
  </si>
  <si>
    <t>22/11/2017</t>
  </si>
  <si>
    <t>23/11/2017</t>
  </si>
  <si>
    <t>24/11/2017</t>
  </si>
  <si>
    <t>25/11/2017</t>
  </si>
  <si>
    <t>26/11/2017</t>
  </si>
  <si>
    <t>27/11/2017</t>
  </si>
  <si>
    <t>28/11/2017</t>
  </si>
  <si>
    <t>29/11/2017</t>
  </si>
  <si>
    <t>30/11/2017</t>
  </si>
  <si>
    <t>01/12/2017</t>
  </si>
  <si>
    <t>02/12/2017</t>
  </si>
  <si>
    <t>03/12/2017</t>
  </si>
  <si>
    <t>04/12/2017</t>
  </si>
  <si>
    <t>05/12/2017</t>
  </si>
  <si>
    <t>06/12/2017</t>
  </si>
  <si>
    <t>07/12/2017</t>
  </si>
  <si>
    <t>08/12/2017</t>
  </si>
  <si>
    <t>09/12/2017</t>
  </si>
  <si>
    <t>10/12/2017</t>
  </si>
  <si>
    <t>11/12/2017</t>
  </si>
  <si>
    <t>12/12/2017</t>
  </si>
  <si>
    <t>13/12/2017</t>
  </si>
  <si>
    <t>14/12/2017</t>
  </si>
  <si>
    <t>15/12/2017</t>
  </si>
  <si>
    <t>16/12/2017</t>
  </si>
  <si>
    <t>17/12/2017</t>
  </si>
  <si>
    <t>18/12/2017</t>
  </si>
  <si>
    <t>19/12/2017</t>
  </si>
  <si>
    <t>20/12/2017</t>
  </si>
  <si>
    <t>21/12/2017</t>
  </si>
  <si>
    <t>22/12/2017</t>
  </si>
  <si>
    <t>23/12/2017</t>
  </si>
  <si>
    <t>24/12/2017</t>
  </si>
  <si>
    <t>25/12/2017</t>
  </si>
  <si>
    <t>26/12/2017</t>
  </si>
  <si>
    <t>27/12/2017</t>
  </si>
  <si>
    <t>28/12/2017</t>
  </si>
  <si>
    <t>29/12/2017</t>
  </si>
  <si>
    <t>30/12/2017</t>
  </si>
  <si>
    <t>31/12/2017</t>
  </si>
  <si>
    <t>01/01/2018</t>
  </si>
  <si>
    <t>02/01/2018</t>
  </si>
  <si>
    <t>03/01/2018</t>
  </si>
  <si>
    <t>04/01/2018</t>
  </si>
  <si>
    <t>05/01/2018</t>
  </si>
  <si>
    <t>06/01/2018</t>
  </si>
  <si>
    <t>07/01/2018</t>
  </si>
  <si>
    <t>08/01/2018</t>
  </si>
  <si>
    <t>09/01/2018</t>
  </si>
  <si>
    <t>10/01/2018</t>
  </si>
  <si>
    <t>11/01/2018</t>
  </si>
  <si>
    <t>12/01/2018</t>
  </si>
  <si>
    <t>13/01/2018</t>
  </si>
  <si>
    <t>14/01/2018</t>
  </si>
  <si>
    <t>15/01/2018</t>
  </si>
  <si>
    <t>16/01/2018</t>
  </si>
  <si>
    <t>17/01/2018</t>
  </si>
  <si>
    <t>18/01/2018</t>
  </si>
  <si>
    <t>19/01/2018</t>
  </si>
  <si>
    <t>20/01/2018</t>
  </si>
  <si>
    <t>21/01/2018</t>
  </si>
  <si>
    <t>22/01/2018</t>
  </si>
  <si>
    <t>23/01/2018</t>
  </si>
  <si>
    <t>24/01/2018</t>
  </si>
  <si>
    <t>25/01/2018</t>
  </si>
  <si>
    <t>26/01/2018</t>
  </si>
  <si>
    <t>27/01/2018</t>
  </si>
  <si>
    <t>28/01/2018</t>
  </si>
  <si>
    <t>29/01/2018</t>
  </si>
  <si>
    <t>30/01/2018</t>
  </si>
  <si>
    <t>31/01/2018</t>
  </si>
  <si>
    <t>01/02/2018</t>
  </si>
  <si>
    <t>02/02/2018</t>
  </si>
  <si>
    <t>03/02/2018</t>
  </si>
  <si>
    <t>04/02/2018</t>
  </si>
  <si>
    <t>05/02/2018</t>
  </si>
  <si>
    <t>06/02/2018</t>
  </si>
  <si>
    <t>07/02/2018</t>
  </si>
  <si>
    <t>08/02/2018</t>
  </si>
  <si>
    <t>09/02/2018</t>
  </si>
  <si>
    <t>10/02/2018</t>
  </si>
  <si>
    <t>11/02/2018</t>
  </si>
  <si>
    <t>12/02/2018</t>
  </si>
  <si>
    <t>13/02/2018</t>
  </si>
  <si>
    <t>15/02/2018</t>
  </si>
  <si>
    <t>16/02/2018</t>
  </si>
  <si>
    <t>17/02/2018</t>
  </si>
  <si>
    <t>18/02/2018</t>
  </si>
  <si>
    <t>19/02/2018</t>
  </si>
  <si>
    <t>20/02/2018</t>
  </si>
  <si>
    <t>22/02/2018</t>
  </si>
  <si>
    <t>Abril 2018</t>
  </si>
  <si>
    <t>04/04/2018</t>
  </si>
  <si>
    <t>11/04/2018</t>
  </si>
  <si>
    <t>30/04/2018</t>
  </si>
  <si>
    <t>23/02/2018</t>
  </si>
  <si>
    <t>24/02/2018</t>
  </si>
  <si>
    <t>25/02/2018</t>
  </si>
  <si>
    <t>26/02/2018</t>
  </si>
  <si>
    <t>27/02/2018</t>
  </si>
  <si>
    <t>Marzo 2018</t>
  </si>
  <si>
    <t>01/03/2018</t>
  </si>
  <si>
    <t>02/03/2018</t>
  </si>
  <si>
    <t>03/03/2018</t>
  </si>
  <si>
    <t>04/03/2018</t>
  </si>
  <si>
    <t>05/03/2018</t>
  </si>
  <si>
    <t>06/03/2018</t>
  </si>
  <si>
    <t>07/03/2018</t>
  </si>
  <si>
    <t>08/03/2018</t>
  </si>
  <si>
    <t>09/03/2018</t>
  </si>
  <si>
    <t>10/03/2018</t>
  </si>
  <si>
    <t>11/03/2018</t>
  </si>
  <si>
    <t>12/03/2018</t>
  </si>
  <si>
    <t>13/03/2018</t>
  </si>
  <si>
    <t>14/03/2018</t>
  </si>
  <si>
    <t>15/03/2018</t>
  </si>
  <si>
    <t>16/03/2018</t>
  </si>
  <si>
    <t>17/03/2018</t>
  </si>
  <si>
    <t>18/03/2018</t>
  </si>
  <si>
    <t>19/03/2018</t>
  </si>
  <si>
    <t>20/03/2018</t>
  </si>
  <si>
    <t>21/03/2018</t>
  </si>
  <si>
    <t>22/03/2018</t>
  </si>
  <si>
    <t>23/03/2018</t>
  </si>
  <si>
    <t>24/03/2018</t>
  </si>
  <si>
    <t>25/03/2018</t>
  </si>
  <si>
    <t>26/03/2018</t>
  </si>
  <si>
    <t>27/03/2018</t>
  </si>
  <si>
    <t>28/03/2018</t>
  </si>
  <si>
    <t>29/03/2018</t>
  </si>
  <si>
    <t>30/03/2018</t>
  </si>
  <si>
    <t>31/03/2018</t>
  </si>
  <si>
    <t>01/04/2018</t>
  </si>
  <si>
    <t>02/04/2018</t>
  </si>
  <si>
    <t>03/04/2018</t>
  </si>
  <si>
    <t>05/04/2018</t>
  </si>
  <si>
    <t>06/04/2018</t>
  </si>
  <si>
    <t>07/04/2018</t>
  </si>
  <si>
    <t>08/04/2018</t>
  </si>
  <si>
    <t>09/04/2018</t>
  </si>
  <si>
    <t>10/04/2018</t>
  </si>
  <si>
    <t>12/04/2018</t>
  </si>
  <si>
    <t>13/04/2018</t>
  </si>
  <si>
    <t>14/04/2018</t>
  </si>
  <si>
    <t>15/04/2018</t>
  </si>
  <si>
    <t>16/04/2018</t>
  </si>
  <si>
    <t>17/04/2018</t>
  </si>
  <si>
    <t>18/04/2018</t>
  </si>
  <si>
    <t>19/04/2018</t>
  </si>
  <si>
    <t>20/04/2018</t>
  </si>
  <si>
    <t>21/04/2018</t>
  </si>
  <si>
    <t>22/04/2018</t>
  </si>
  <si>
    <t>23/04/2018</t>
  </si>
  <si>
    <t>24/04/2018</t>
  </si>
  <si>
    <t>25/04/2018</t>
  </si>
  <si>
    <t>26/04/2018</t>
  </si>
  <si>
    <t>27/04/2018</t>
  </si>
  <si>
    <t>28/04/2018</t>
  </si>
  <si>
    <t>29/04/2018</t>
  </si>
  <si>
    <t>Consumo de bombeo</t>
  </si>
  <si>
    <t>Saldos intercambios internacionales</t>
  </si>
  <si>
    <t>Demanda transporte (b.c.)</t>
  </si>
  <si>
    <t>Mayo 2018</t>
  </si>
  <si>
    <t>Junio 2018</t>
  </si>
  <si>
    <t>Julio 2018</t>
  </si>
  <si>
    <t>Agosto 2018</t>
  </si>
  <si>
    <t>01/05/2018</t>
  </si>
  <si>
    <t>02/05/2018</t>
  </si>
  <si>
    <t>03/05/2018</t>
  </si>
  <si>
    <t>04/05/2018</t>
  </si>
  <si>
    <t>05/05/2018</t>
  </si>
  <si>
    <t>06/05/2018</t>
  </si>
  <si>
    <t>07/05/2018</t>
  </si>
  <si>
    <t>08/05/2018</t>
  </si>
  <si>
    <t>09/05/2018</t>
  </si>
  <si>
    <t>10/05/2018</t>
  </si>
  <si>
    <t>11/05/2018</t>
  </si>
  <si>
    <t>12/05/2018</t>
  </si>
  <si>
    <t>13/05/2018</t>
  </si>
  <si>
    <t>14/05/2018</t>
  </si>
  <si>
    <t>15/05/2018</t>
  </si>
  <si>
    <t>16/05/2018</t>
  </si>
  <si>
    <t>17/05/2018</t>
  </si>
  <si>
    <t>18/05/2018</t>
  </si>
  <si>
    <t>19/05/2018</t>
  </si>
  <si>
    <t>20/05/2018</t>
  </si>
  <si>
    <t>21/05/2018</t>
  </si>
  <si>
    <t>22/05/2018</t>
  </si>
  <si>
    <t>23/05/2018</t>
  </si>
  <si>
    <t>24/05/2018</t>
  </si>
  <si>
    <t>25/05/2018</t>
  </si>
  <si>
    <t>26/05/2018</t>
  </si>
  <si>
    <t>27/05/2018</t>
  </si>
  <si>
    <t>28/05/2018</t>
  </si>
  <si>
    <t>29/05/2018</t>
  </si>
  <si>
    <t>30/05/2018</t>
  </si>
  <si>
    <t>31/05/2018</t>
  </si>
  <si>
    <t>01/06/2018</t>
  </si>
  <si>
    <t>02/06/2018</t>
  </si>
  <si>
    <t>03/06/2018</t>
  </si>
  <si>
    <t>04/06/2018</t>
  </si>
  <si>
    <t>05/06/2018</t>
  </si>
  <si>
    <t>06/06/2018</t>
  </si>
  <si>
    <t>07/06/2018</t>
  </si>
  <si>
    <t>08/06/2018</t>
  </si>
  <si>
    <t>09/06/2018</t>
  </si>
  <si>
    <t>10/06/2018</t>
  </si>
  <si>
    <t>11/06/2018</t>
  </si>
  <si>
    <t>12/06/2018</t>
  </si>
  <si>
    <t>13/06/2018</t>
  </si>
  <si>
    <t>14/06/2018</t>
  </si>
  <si>
    <t>15/06/2018</t>
  </si>
  <si>
    <t>16/06/2018</t>
  </si>
  <si>
    <t>17/06/2018</t>
  </si>
  <si>
    <t>18/06/2018</t>
  </si>
  <si>
    <t>19/06/2018</t>
  </si>
  <si>
    <t>20/06/2018</t>
  </si>
  <si>
    <t>21/06/2018</t>
  </si>
  <si>
    <t>22/06/2018</t>
  </si>
  <si>
    <t>23/06/2018</t>
  </si>
  <si>
    <t>24/06/2018</t>
  </si>
  <si>
    <t>25/06/2018</t>
  </si>
  <si>
    <t>26/06/2018</t>
  </si>
  <si>
    <t>27/06/2018</t>
  </si>
  <si>
    <t>28/06/2018</t>
  </si>
  <si>
    <t>29/06/2018</t>
  </si>
  <si>
    <t>30/06/2018</t>
  </si>
  <si>
    <t>01/07/2018</t>
  </si>
  <si>
    <t>02/07/2018</t>
  </si>
  <si>
    <t>03/07/2018</t>
  </si>
  <si>
    <t>04/07/2018</t>
  </si>
  <si>
    <t>05/07/2018</t>
  </si>
  <si>
    <t>06/07/2018</t>
  </si>
  <si>
    <t>07/07/2018</t>
  </si>
  <si>
    <t>08/07/2018</t>
  </si>
  <si>
    <t>09/07/2018</t>
  </si>
  <si>
    <t>10/07/2018</t>
  </si>
  <si>
    <t>11/07/2018</t>
  </si>
  <si>
    <t>12/07/2018</t>
  </si>
  <si>
    <t>13/07/2018</t>
  </si>
  <si>
    <t>14/07/2018</t>
  </si>
  <si>
    <t>15/07/2018</t>
  </si>
  <si>
    <t>16/07/2018</t>
  </si>
  <si>
    <t>17/07/2018</t>
  </si>
  <si>
    <t>18/07/2018</t>
  </si>
  <si>
    <t>19/07/2018</t>
  </si>
  <si>
    <t>20/07/2018</t>
  </si>
  <si>
    <t>21/07/2018</t>
  </si>
  <si>
    <t>22/07/2018</t>
  </si>
  <si>
    <t>23/07/2018</t>
  </si>
  <si>
    <t>24/07/2018</t>
  </si>
  <si>
    <t>25/07/2018</t>
  </si>
  <si>
    <t>26/07/2018</t>
  </si>
  <si>
    <t>27/07/2018</t>
  </si>
  <si>
    <t>28/07/2018</t>
  </si>
  <si>
    <t>29/07/2018</t>
  </si>
  <si>
    <t>30/07/2018</t>
  </si>
  <si>
    <t>31/07/2018</t>
  </si>
  <si>
    <t>01/08/2018</t>
  </si>
  <si>
    <t>02/08/2018</t>
  </si>
  <si>
    <t>03/08/2018</t>
  </si>
  <si>
    <t>04/08/2018</t>
  </si>
  <si>
    <t>05/08/2018</t>
  </si>
  <si>
    <t>06/08/2018</t>
  </si>
  <si>
    <t>07/08/2018</t>
  </si>
  <si>
    <t>08/08/2018</t>
  </si>
  <si>
    <t>09/08/2018</t>
  </si>
  <si>
    <t>10/08/2018</t>
  </si>
  <si>
    <t>11/08/2018</t>
  </si>
  <si>
    <t>12/08/2018</t>
  </si>
  <si>
    <t>13/08/2018</t>
  </si>
  <si>
    <t>14/08/2018</t>
  </si>
  <si>
    <t>15/08/2018</t>
  </si>
  <si>
    <t>16/08/2018</t>
  </si>
  <si>
    <t>17/08/2018</t>
  </si>
  <si>
    <t>18/08/2018</t>
  </si>
  <si>
    <t>19/08/2018</t>
  </si>
  <si>
    <t>20/08/2018</t>
  </si>
  <si>
    <t>21/08/2018</t>
  </si>
  <si>
    <t>22/08/2018</t>
  </si>
  <si>
    <t>23/08/2018</t>
  </si>
  <si>
    <t>24/08/2018</t>
  </si>
  <si>
    <t>25/08/2018</t>
  </si>
  <si>
    <t>26/08/2018</t>
  </si>
  <si>
    <t>27/08/2018</t>
  </si>
  <si>
    <t>28/08/2018</t>
  </si>
  <si>
    <t>29/08/2018</t>
  </si>
  <si>
    <t>30/08/2018</t>
  </si>
  <si>
    <t>31/08/2018</t>
  </si>
  <si>
    <t>Viernes 17/08/2018 (20:26 h)</t>
  </si>
  <si>
    <t>Sábado 18/08/2018 (04:23 h)</t>
  </si>
  <si>
    <t>Generación eólica / total generación (%)</t>
  </si>
  <si>
    <t>Reservas hidroelectricas a 31 de agosto de 2018 por cuencas</t>
  </si>
  <si>
    <t>&lt;mi app="e" ver="22"&gt;&lt;rptloc guid="42ec973904a3420899fa470e2ec700c1" rank="0" ds="1"&gt;&lt;ri hasPG="0" name="Producible Hidráulico" id="5AB72B3844930B4FAC368DA14FFE617A" path="Objetos públicos\Informes\Informes macros\Boletín\Producible Hidráulico" cf="0" prompt="1" ve="0" vm="0" flashpth="d:\Usuarios\ARACABIV\AppData\Local\Temp\" fimagepth="d:\Usuarios\ARACABIV\AppData\Local\Temp\" swfn="DashboardViewer.swf" fvars="" dvis=""&gt;&lt;ans&gt;&lt;pan pk="195DDDD54E4256F86F7235A6C4D4ABE4@0@10" aid="" /&gt;&lt;/ans&gt;&lt;ci ps="BI" srv="apcpr65b" prj="BDEbi" prjid="D066E1C611E6257C10D00080EF253B44" li="FUEPERRO" am="s" /&gt;&lt;lu ut="09/24/2018 10:09:06" si="2.000000019e9b2097a5ec0117743e8a648b35d5c7c2157b528bc23284a6354921363df5063e7c3aa2047e3b381a3b95396ea29bdd8beeaea9933bcd517c20dfe77dd37e0d48907f6611380bfe431583cdb5742f7257d7181a59dbf372c5dacac06e17ecf681b99e6e8078e07045242968a048bb630ff36a6fea35c47027858ab1f45a.3082.0.1.Europe/Madrid.upriv*_1*_pidn2*_22*_session*-lat*_1.000000011080e1b47247e4e894ee7f49108ba9b1b5ee3e723e618cefec6c21d1281c51764b4095e8de5031ac2ddab2bbdbcb75884124ab0d.00000001d1811b01dabf06d269852e4cceb90f33b5ee3e728e6d62cc519b8a549410bbee10855c2cef13a4319013f39a7825fd8651fe53cc.0.1.1.BDEbi.D066E1C611E6257C10D00080EF253B44.0-3082.1.1_-0.1.0_-3082.1.1_5.5.0.*0.00000001e19794fe4e274fca97c4680e3662bfc5c911585ad1b9a4bca0ea2c3f02e6ba7935a12dac.0.10*.25*.15*.214.23.10*.4*.0400*.0074J.e.0000000118833d13a846ac1f7b40cc7b9e9bd047c911585a75b0add14850b6fe7051f9429a76ffcf.0" msgID="CFB645BD11E8BFE10E430080EFA5B4A9"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enr="MSTR.Producible_Hidraúlico" ptn="" qtn="" rows="398" cols="5" /&gt;&lt;esdo ews="" ece="" ptn="" /&gt;&lt;/excel&gt;&lt;pgs&gt;&lt;pg rows="396" cols="3" nrr="5448" nrc="39"&gt;&lt;pg /&gt;&lt;bls&gt;&lt;bl sr="1" sc="1" rfetch="396" cfetch="3" posid="1" darows="0" dacols="1"&gt;&lt;excel&gt;&lt;epo ews="Dat_02" ece="A1" enr="MSTR.Producible_Hidraúlico" ptn="" qtn="" rows="398" cols="5" /&gt;&lt;esdo ews="" ece="" ptn="" /&gt;&lt;/excel&gt;&lt;gridRng&gt;&lt;sect id="TITLE_AREA" rngprop="1:1:2:2" /&gt;&lt;sect id="ROWHEADERS_AREA" rngprop="3:1:396:2" /&gt;&lt;sect id="COLUMNHEADERS_AREA" rngprop="1:3:2:3" /&gt;&lt;sect id="DATA_AREA" rngprop="3:3:396:3" /&gt;&lt;/gridRng&gt;&lt;shapes /&gt;&lt;/bl&gt;&lt;/bls&gt;&lt;/pg&gt;&lt;/pgs&gt;&lt;/rptloc&gt;&lt;/mi&gt;</t>
  </si>
  <si>
    <t>Calculadas pdte BDE</t>
  </si>
  <si>
    <t>&lt;mi app="e" ver="22"&gt;&lt;rptloc guid="94e757a44c7c4a46adaf64f971f530b6" rank="0" ds="1"&gt;&lt;ri hasPG="0" name="Balance Potencia Mensual Península" id="26A6F37E4875F4821AFFAEB3B30D7597" path="Objetos públicos\Informes\Informes macros\Boletín\Balance Potencia Mensual Península"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ut="09/27/2018 11:58:30" si="2.000000014dfbaa953ddde529737c996c1a666b75c868129f0f6c22b57115a3af2d325c9052004fd3bfe0aceb47975adb47de2ff304dcb72d8ff7c94f4b62420e547cbee87b3c0af2809cb9c0ac8f288e25d78747e18671e51585c21b69648e288e7767047299dd5baba7f358aedbff9d2c6737e25d4082f13ab8b4be180fb1009c83.3082.0.1.Europe/Madrid.upriv*_1*_pidn2*_2*_session*-lat*_1.0000000146df6f354be7948bf9c25396f8806749b5ee3e72c2525f8d2becc1a307969ce329c5ec0e035405a50fd19d03825afc40e443b969.00000001c6142b2771be2f0b929a6b2bbe7a5d8ab5ee3e72e2ad803c26c2ba18198189a138578b00fb2e5fb36e7a72fc32d98b9d7af7b877.0.1.1.BDEbi.D066E1C611E6257C10D00080EF253B44.0-3082.1.1_-0.1.0_-3082.1.1_5.5.0.*0.00000001ef77eed27aa85c793e05c82fd18a55cec911585ac46e6453d1b383184746df7b3076dd7b.0.10*.25*.15*.214.23.10*.4*.0400*.0074J.e.00000001fa4463207ef6e69cf6905b9aeaad38a0c911585a5acad8790cca79bd6178446337223766.0" msgID="A414722211E8C24C0E430080EF25B4A8"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ece="I4" enr="MSTR.Balance_Potencia_Mensual" ptn="" qtn="" rows="20" cols="2" /&gt;&lt;esdo ews="" ece="" ptn="" /&gt;&lt;/excel&gt;&lt;pgs&gt;&lt;pg rows="16" cols="1" nrr="282" nrc="42"&gt;&lt;pg /&gt;&lt;bls&gt;&lt;bl sr="1" sc="1" rfetch="16" cfetch="1" posid="1" darows="0" dacols="1"&gt;&lt;excel&gt;&lt;epo ews="Dat_01" ece="I4" enr="MSTR.Balance_Potencia_Mensual" ptn="" qtn="" rows="20" cols="2" /&gt;&lt;esdo ews="" ece="" ptn="" /&gt;&lt;/excel&gt;&lt;gridRng&gt;&lt;sect id="TITLE_AREA" rngprop="1:1:4:1" /&gt;&lt;sect id="ROWHEADERS_AREA" rngprop="5:1:16:1" /&gt;&lt;sect id="COLUMNHEADERS_AREA" rngprop="1:2:4:1" /&gt;&lt;sect id="DATA_AREA" rngprop="5:2:16:1"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</si>
  <si>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ut="09/27/2018 11:58:38" si="2.000000014dfbaa953ddde529737c996c1a666b75c868129f0f6c22b57115a3af2d325c9052004fd3bfe0aceb47975adb47de2ff304dcb72d8ff7c94f4b62420e547cbee87b3c0af2809cb9c0ac8f288e25d78747e18671e51585c21b69648e288e7767047299dd5baba7f358aedbff9d2c6737e25d4082f13ab8b4be180fb1009c83.3082.0.1.Europe/Madrid.upriv*_1*_pidn2*_2*_session*-lat*_1.0000000146df6f354be7948bf9c25396f8806749b5ee3e72c2525f8d2becc1a307969ce329c5ec0e035405a50fd19d03825afc40e443b969.00000001c6142b2771be2f0b929a6b2bbe7a5d8ab5ee3e72e2ad803c26c2ba18198189a138578b00fb2e5fb36e7a72fc32d98b9d7af7b877.0.1.1.BDEbi.D066E1C611E6257C10D00080EF253B44.0-3082.1.1_-0.1.0_-3082.1.1_5.5.0.*0.00000001ef77eed27aa85c793e05c82fd18a55cec911585ac46e6453d1b383184746df7b3076dd7b.0.10*.25*.15*.214.23.10*.4*.0400*.0074J.e.00000001fa4463207ef6e69cf6905b9aeaad38a0c911585a5acad8790cca79bd6178446337223766.0" msgID="A41E8D0C11E8C24C0E430080EF45F2A4"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cols="18" /&gt;&lt;esdo ews="" ece="" ptn="" /&gt;&lt;/excel&gt;&lt;pgs&gt;&lt;pg rows="31" cols="17" nrr="379" nrc="261"&gt;&lt;pg /&gt;&lt;bls&gt;&lt;bl sr="1" sc="1" rfetch="31" cfetch="17" posid="1" darows="0" dacols="1"&gt;&lt;excel&gt;&lt;epo ews="Dat_01" ece="A175" enr="MSTR.Balance_B.C._Diario_Peninsular" ptn="" qtn="" rows="36" cols="18" /&gt;&lt;esdo ews="" ece="" ptn="" /&gt;&lt;/excel&gt;&lt;gridRng&gt;&lt;sect id="TITLE_AREA" rngprop="1:1:5:1" /&gt;&lt;sect id="ROWHEADERS_AREA" rngprop="6:1:31:1" /&gt;&lt;sect id="COLUMNHEADERS_AREA" rngprop="1:2:5:17" /&gt;&lt;sect id="DATA_AREA" rngprop="6:2:31:17"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</si>
  <si>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ut="09/27/2018 11:58:42" si="2.000000014dfbaa953ddde529737c996c1a666b75c868129f0f6c22b57115a3af2d325c9052004fd3bfe0aceb47975adb47de2ff304dcb72d8ff7c94f4b62420e547cbee87b3c0af2809cb9c0ac8f288e25d78747e18671e51585c21b69648e288e7767047299dd5baba7f358aedbff9d2c6737e25d4082f13ab8b4be180fb1009c83.3082.0.1.Europe/Madrid.upriv*_1*_pidn2*_2*_session*-lat*_1.0000000146df6f354be7948bf9c25396f8806749b5ee3e72c2525f8d2becc1a307969ce329c5ec0e035405a50fd19d03825afc40e443b969.00000001c6142b2771be2f0b929a6b2bbe7a5d8ab5ee3e72e2ad803c26c2ba18198189a138578b00fb2e5fb36e7a72fc32d98b9d7af7b877.0.1.1.BDEbi.D066E1C611E6257C10D00080EF253B44.0-3082.1.1_-0.1.0_-3082.1.1_5.5.0.*0.00000001ef77eed27aa85c793e05c82fd18a55cec911585ac46e6453d1b383184746df7b3076dd7b.0.10*.25*.15*.214.23.10*.4*.0400*.0074J.e.00000001fa4463207ef6e69cf6905b9aeaad38a0c911585a5acad8790cca79bd6178446337223766.0" msgID="A42EE81F11E8C24C0E430080EF9592A5"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cols="18" /&gt;&lt;esdo ews="" ece="" ptn="" /&gt;&lt;/excel&gt;&lt;pgs&gt;&lt;pg rows="24" cols="17" nrr="369" nrc="308"&gt;&lt;pg /&gt;&lt;bls&gt;&lt;bl sr="1" sc="1" rfetch="24" cfetch="17" posid="1" darows="0" dacols="1"&gt;&lt;excel&gt;&lt;epo ews="Dat_01" ece="A215" enr="MSTR.Balance_B.C._Horario_Eólico" ptn="" qtn="" rows="29" cols="18" /&gt;&lt;esdo ews="" ece="" ptn="" /&gt;&lt;/excel&gt;&lt;gridRng&gt;&lt;sect id="TITLE_AREA" rngprop="1:1:5:1" /&gt;&lt;sect id="ROWHEADERS_AREA" rngprop="6:1:24:1" /&gt;&lt;sect id="COLUMNHEADERS_AREA" rngprop="1:2:5:17" /&gt;&lt;sect id="DATA_AREA" rngprop="6:2:24:17" /&gt;&lt;/gridRng&gt;&lt;shapes /&gt;&lt;/bl&gt;&lt;/bls&gt;&lt;/pg&gt;&lt;/pgs&gt;&lt;/rptloc&gt;&lt;/mi&gt;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</si>
  <si>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ut="09/27/2018 11:58:44" si="2.000000014dfbaa953ddde529737c996c1a666b75c868129f0f6c22b57115a3af2d325c9052004fd3bfe0aceb47975adb47de2ff304dcb72d8ff7c94f4b62420e547cbee87b3c0af2809cb9c0ac8f288e25d78747e18671e51585c21b69648e288e7767047299dd5baba7f358aedbff9d2c6737e25d4082f13ab8b4be180fb1009c83.3082.0.1.Europe/Madrid.upriv*_1*_pidn2*_2*_session*-lat*_1.0000000146df6f354be7948bf9c25396f8806749b5ee3e72c2525f8d2becc1a307969ce329c5ec0e035405a50fd19d03825afc40e443b969.00000001c6142b2771be2f0b929a6b2bbe7a5d8ab5ee3e72e2ad803c26c2ba18198189a138578b00fb2e5fb36e7a72fc32d98b9d7af7b877.0.1.1.BDEbi.D066E1C611E6257C10D00080EF253B44.0-3082.1.1_-0.1.0_-3082.1.1_5.5.0.*0.00000001ef77eed27aa85c793e05c82fd18a55cec911585ac46e6453d1b383184746df7b3076dd7b.0.10*.25*.15*.214.23.10*.4*.0400*.0074J.e.00000001fa4463207ef6e69cf6905b9aeaad38a0c911585a5acad8790cca79bd6178446337223766.0" msgID="AE8CB4B211E8C24C0E430080EF0573A5"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</si>
  <si>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ut="09/27/2018 11:58:47" si="2.000000014dfbaa953ddde529737c996c1a666b75c868129f0f6c22b57115a3af2d325c9052004fd3bfe0aceb47975adb47de2ff304dcb72d8ff7c94f4b62420e547cbee87b3c0af2809cb9c0ac8f288e25d78747e18671e51585c21b69648e288e7767047299dd5baba7f358aedbff9d2c6737e25d4082f13ab8b4be180fb1009c83.3082.0.1.Europe/Madrid.upriv*_1*_pidn2*_2*_session*-lat*_1.0000000146df6f354be7948bf9c25396f8806749b5ee3e72c2525f8d2becc1a307969ce329c5ec0e035405a50fd19d03825afc40e443b969.00000001c6142b2771be2f0b929a6b2bbe7a5d8ab5ee3e72e2ad803c26c2ba18198189a138578b00fb2e5fb36e7a72fc32d98b9d7af7b877.0.1.1.BDEbi.D066E1C611E6257C10D00080EF253B44.0-3082.1.1_-0.1.0_-3082.1.1_5.5.0.*0.00000001ef77eed27aa85c793e05c82fd18a55cec911585ac46e6453d1b383184746df7b3076dd7b.0.10*.25*.15*.214.23.10*.4*.0400*.0074J.e.00000001fa4463207ef6e69cf6905b9aeaad38a0c911585a5acad8790cca79bd6178446337223766.0" msgID="A71C930A11E8C24C0E430080EF45F4A8"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rows="20" cols="2" /&gt;&lt;esdo ews="" ece="" ptn="" /&gt;&lt;/excel&gt;&lt;pgs&gt;&lt;pg rows="17" cols="1" nrr="201" nrc="11"&gt;&lt;pg /&gt;&lt;bls&gt;&lt;bl sr="1" sc="1" rfetch="17" cfetch="1" posid="1" darows="0" dacols="1"&gt;&lt;excel&gt;&lt;epo ews="Dat_01" ece="A66" enr="MSTR.Balance._Día_máx_generación_renovable._Mes" ptn="" qtn="" rows="20" cols="2" /&gt;&lt;esdo ews="" ece="" ptn="" /&gt;&lt;/excel&gt;&lt;gridRng&gt;&lt;sect id="TITLE_AREA" rngprop="1:1:3:1" /&gt;&lt;sect id="ROWHEADERS_AREA" rngprop="4:1:17:1" /&gt;&lt;sect id="COLUMNHEADERS_AREA" rngprop="1:2:3:1" /&gt;&lt;sect id="DATA_AREA" rngprop="4:2:17:1"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</si>
  <si>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ut="09/27/2018 11:59:59" si="2.000000014dfbaa953ddde529737c996c1a666b75c868129f0f6c22b57115a3af2d325c9052004fd3bfe0aceb47975adb47de2ff304dcb72d8ff7c94f4b62420e547cbee87b3c0af2809cb9c0ac8f288e25d78747e18671e51585c21b69648e288e7767047299dd5baba7f358aedbff9d2c6737e25d4082f13ab8b4be180fb1009c83.3082.0.1.Europe/Madrid.upriv*_1*_pidn2*_2*_session*-lat*_1.0000000146df6f354be7948bf9c25396f8806749b5ee3e72c2525f8d2becc1a307969ce329c5ec0e035405a50fd19d03825afc40e443b969.00000001c6142b2771be2f0b929a6b2bbe7a5d8ab5ee3e72e2ad803c26c2ba18198189a138578b00fb2e5fb36e7a72fc32d98b9d7af7b877.0.1.1.BDEbi.D066E1C611E6257C10D00080EF253B44.0-3082.1.1_-0.1.0_-3082.1.1_5.5.0.*0.00000001ef77eed27aa85c793e05c82fd18a55cec911585ac46e6453d1b383184746df7b3076dd7b.0.10*.25*.15*.214.23.10*.4*.0400*.0074J.e.00000001fa4463207ef6e69cf6905b9aeaad38a0c911585a5acad8790cca79bd6178446337223766.0" msgID="A43F000A11E8C24C0E430080EF8572A4"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nrr="230" nrc="300"&gt;&lt;pg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</si>
  <si>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ut="09/27/2018 12:00:58" si="2.000000014dfbaa953ddde529737c996c1a666b75c868129f0f6c22b57115a3af2d325c9052004fd3bfe0aceb47975adb47de2ff304dcb72d8ff7c94f4b62420e547cbee87b3c0af2809cb9c0ac8f288e25d78747e18671e51585c21b69648e288e7767047299dd5baba7f358aedbff9d2c6737e25d4082f13ab8b4be180fb1009c83.3082.0.1.Europe/Madrid.upriv*_1*_pidn2*_2*_session*-lat*_1.0000000146df6f354be7948bf9c25396f8806749b5ee3e72c2525f8d2becc1a307969ce329c5ec0e035405a50fd19d03825afc40e443b969.00000001c6142b2771be2f0b929a6b2bbe7a5d8ab5ee3e72e2ad803c26c2ba18198189a138578b00fb2e5fb36e7a72fc32d98b9d7af7b877.0.1.1.BDEbi.D066E1C611E6257C10D00080EF253B44.0-3082.1.1_-0.1.0_-3082.1.1_5.5.0.*0.00000001ef77eed27aa85c793e05c82fd18a55cec911585ac46e6453d1b383184746df7b3076dd7b.0.10*.25*.15*.214.23.10*.4*.0400*.0074J.e.00000001fa4463207ef6e69cf6905b9aeaad38a0c911585a5acad8790cca79bd6178446337223766.0" msgID="AC166D9011E8C24C0E430080EFF553A5"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nrr="248" nrc="13"&gt;&lt;pg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</si>
  <si>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8ce51fc8b0bd4de1ad81cb2a99bd321d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</si>
  <si>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ut="09/27/2018 12:03:26" si="2.000000014dfbaa953ddde529737c996c1a666b75c868129f0f6c22b57115a3af2d325c9052004fd3bfe0aceb47975adb47de2ff304dcb72d8ff7c94f4b62420e547cbee87b3c0af2809cb9c0ac8f288e25d78747e18671e51585c21b69648e288e7767047299dd5baba7f358aedbff9d2c6737e25d4082f13ab8b4be180fb1009c83.3082.0.1.Europe/Madrid.upriv*_1*_pidn2*_2*_session*-lat*_1.0000000146df6f354be7948bf9c25396f8806749b5ee3e72c2525f8d2becc1a307969ce329c5ec0e035405a50fd19d03825afc40e443b969.00000001c6142b2771be2f0b929a6b2bbe7a5d8ab5ee3e72e2ad803c26c2ba18198189a138578b00fb2e5fb36e7a72fc32d98b9d7af7b877.0.1.1.BDEbi.D066E1C611E6257C10D00080EF253B44.0-3082.1.1_-0.1.0_-3082.1.1_5.5.0.*0.00000001ef77eed27aa85c793e05c82fd18a55cec911585ac46e6453d1b383184746df7b3076dd7b.0.10*.25*.15*.214.23.10*.4*.0400*.0074J.e.00000001fa4463207ef6e69cf6905b9aeaad38a0c911585a5acad8790cca79bd6178446337223766.0" msgID="A413E5D211E8C24C0E430080EFC5F3A5"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cols="7" /&gt;&lt;esdo ews="" ece="" ptn="" /&gt;&lt;/excel&gt;&lt;pgs&gt;&lt;pg rows="18" cols="6" nrr="270" nrc="84"&gt;&lt;pg /&gt;&lt;bls&gt;&lt;bl sr="1" sc="1" rfetch="18" cfetch="6" posid="1" darows="0" dacols="1"&gt;&lt;excel&gt;&lt;epo ews="Dat_01" ece="A4" enr="MSTR.Balance_B.C._Mensual_Peninsular" ptn="" qtn="" rows="22" cols="7" /&gt;&lt;esdo ews="" ece="" ptn="" /&gt;&lt;/excel&gt;&lt;gridRng&gt;&lt;sect id="TITLE_AREA" rngprop="1:1:4:1" /&gt;&lt;sect id="ROWHEADERS_AREA" rngprop="5:1:18:1" /&gt;&lt;sect id="COLUMNHEADERS_AREA" rngprop="1:2:4:6" /&gt;&lt;sect id="DATA_AREA" rngprop="5:2:18:6" /&gt;&lt;/gridRng&gt;&lt;shapes /&gt;&lt;/bl&gt;&lt;/bls&gt;&lt;/pg&gt;&lt;/pgs&gt;&lt;/rptloc&gt;&lt;/mi&gt;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</si>
  <si>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</si>
  <si>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</si>
  <si>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</si>
  <si>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</si>
  <si>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</si>
  <si>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</si>
  <si>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</si>
  <si>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</si>
  <si>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</si>
  <si>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</si>
  <si>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</si>
  <si>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</si>
  <si>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</si>
  <si>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</si>
  <si>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</si>
  <si>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</si>
  <si>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>Sin emisiones CO2: hidráulica, turbinación bombeo, nuclear, eólica, solar fotovoltaica, solar térmica y otras renovables.</t>
  </si>
  <si>
    <t>Con emisiones CO2: carbón, fuel/gas, ciclo combinado, cogeneración y residuos.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</si>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</sst>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\ _€_-;\-* #,##0.00\ _€_-;_-* &quot;-&quot;??\ _€_-;_-@_-"/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  <numFmt numFmtId="177" formatCode="_-* #,##0.0\ _€_-;\-* #,##0.0\ _€_-;_-* &quot;-&quot;??\ _€_-;_-@_-"/>
    <numFmt numFmtId="178" formatCode="dd\ mmmm\ yyyy"/>
  </numFmts>
  <fonts count="66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10"/>
      <color theme="0"/>
      <name val="Geneva"/>
    </font>
    <font>
      <sz val="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7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8" fillId="0" borderId="0"/>
    <xf numFmtId="0" fontId="20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8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0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166" fontId="44" fillId="4" borderId="13">
      <alignment horizontal="right" vertical="center"/>
    </xf>
    <xf numFmtId="166" fontId="45" fillId="5" borderId="13">
      <alignment horizontal="right" vertical="center"/>
    </xf>
    <xf numFmtId="164" fontId="46" fillId="6" borderId="13">
      <alignment vertical="center" wrapText="1"/>
    </xf>
    <xf numFmtId="10" fontId="45" fillId="5" borderId="13">
      <alignment horizontal="right" vertical="center"/>
    </xf>
    <xf numFmtId="166" fontId="47" fillId="4" borderId="13">
      <alignment horizontal="right" vertical="center"/>
    </xf>
    <xf numFmtId="10" fontId="47" fillId="4" borderId="13">
      <alignment horizontal="right" vertical="center"/>
    </xf>
    <xf numFmtId="164" fontId="48" fillId="4" borderId="13">
      <alignment horizontal="left" vertical="center" wrapText="1"/>
    </xf>
    <xf numFmtId="164" fontId="46" fillId="6" borderId="13">
      <alignment horizontal="center" vertical="center" wrapText="1"/>
    </xf>
    <xf numFmtId="164" fontId="49" fillId="5" borderId="13">
      <alignment horizontal="left" vertical="center" wrapText="1"/>
    </xf>
    <xf numFmtId="164" fontId="50" fillId="7" borderId="16"/>
    <xf numFmtId="164" fontId="46" fillId="6" borderId="13">
      <alignment horizontal="center" wrapText="1"/>
    </xf>
    <xf numFmtId="164" fontId="46" fillId="6" borderId="16">
      <alignment vertical="center" wrapText="1"/>
    </xf>
    <xf numFmtId="166" fontId="52" fillId="4" borderId="13">
      <alignment horizontal="right" vertical="center"/>
    </xf>
    <xf numFmtId="166" fontId="53" fillId="4" borderId="13">
      <alignment horizontal="right" vertical="center"/>
    </xf>
    <xf numFmtId="164" fontId="46" fillId="5" borderId="13">
      <alignment horizontal="center" wrapText="1"/>
    </xf>
    <xf numFmtId="164" fontId="48" fillId="4" borderId="16">
      <alignment horizontal="left" vertical="center" wrapText="1"/>
    </xf>
    <xf numFmtId="167" fontId="47" fillId="4" borderId="13">
      <alignment horizontal="right" vertical="center"/>
    </xf>
    <xf numFmtId="167" fontId="45" fillId="5" borderId="13">
      <alignment horizontal="right" vertical="center"/>
    </xf>
  </cellStyleXfs>
  <cellXfs count="313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7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19" fillId="0" borderId="0" xfId="0" applyNumberFormat="1" applyFont="1"/>
    <xf numFmtId="164" fontId="0" fillId="0" borderId="0" xfId="0" applyAlignment="1">
      <alignment wrapText="1"/>
    </xf>
    <xf numFmtId="0" fontId="21" fillId="0" borderId="0" xfId="11" applyFont="1"/>
    <xf numFmtId="1" fontId="22" fillId="0" borderId="0" xfId="11" applyNumberFormat="1" applyFont="1"/>
    <xf numFmtId="0" fontId="21" fillId="0" borderId="0" xfId="11" applyFont="1" applyFill="1"/>
    <xf numFmtId="0" fontId="23" fillId="0" borderId="0" xfId="11" applyFont="1"/>
    <xf numFmtId="0" fontId="24" fillId="0" borderId="0" xfId="11" applyFont="1"/>
    <xf numFmtId="1" fontId="21" fillId="0" borderId="0" xfId="11" applyNumberFormat="1" applyFont="1"/>
    <xf numFmtId="1" fontId="25" fillId="0" borderId="0" xfId="12" applyNumberFormat="1" applyFont="1"/>
    <xf numFmtId="0" fontId="21" fillId="0" borderId="0" xfId="11" applyFont="1" applyBorder="1"/>
    <xf numFmtId="167" fontId="21" fillId="0" borderId="0" xfId="11" applyNumberFormat="1" applyFont="1"/>
    <xf numFmtId="172" fontId="21" fillId="0" borderId="0" xfId="11" applyNumberFormat="1" applyFont="1"/>
    <xf numFmtId="1" fontId="21" fillId="0" borderId="0" xfId="12" applyNumberFormat="1" applyFont="1"/>
    <xf numFmtId="4" fontId="21" fillId="0" borderId="0" xfId="11" applyNumberFormat="1" applyFont="1"/>
    <xf numFmtId="170" fontId="21" fillId="0" borderId="0" xfId="11" applyNumberFormat="1" applyFont="1"/>
    <xf numFmtId="1" fontId="26" fillId="0" borderId="0" xfId="11" applyNumberFormat="1" applyFont="1" applyFill="1"/>
    <xf numFmtId="169" fontId="26" fillId="0" borderId="0" xfId="11" applyNumberFormat="1" applyFont="1" applyFill="1"/>
    <xf numFmtId="170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1" fontId="26" fillId="0" borderId="0" xfId="11" applyNumberFormat="1" applyFont="1" applyFill="1" applyBorder="1"/>
    <xf numFmtId="1" fontId="21" fillId="0" borderId="0" xfId="11" applyNumberFormat="1" applyFont="1" applyBorder="1"/>
    <xf numFmtId="175" fontId="21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0" fontId="28" fillId="0" borderId="0" xfId="11" applyNumberFormat="1" applyFont="1"/>
    <xf numFmtId="170" fontId="28" fillId="0" borderId="0" xfId="11" applyNumberFormat="1" applyFont="1" applyBorder="1"/>
    <xf numFmtId="174" fontId="28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8" fillId="0" borderId="0" xfId="14" applyFont="1" applyFill="1" applyBorder="1" applyAlignment="1" applyProtection="1">
      <alignment horizontal="center"/>
    </xf>
    <xf numFmtId="0" fontId="18" fillId="0" borderId="0" xfId="14" applyFont="1" applyFill="1" applyBorder="1" applyAlignment="1" applyProtection="1">
      <alignment horizontal="right"/>
    </xf>
    <xf numFmtId="170" fontId="18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8" fillId="0" borderId="0" xfId="8" applyNumberFormat="1" applyFont="1" applyFill="1" applyBorder="1" applyProtection="1"/>
    <xf numFmtId="0" fontId="18" fillId="0" borderId="0" xfId="8" applyFont="1" applyFill="1" applyBorder="1" applyProtection="1"/>
    <xf numFmtId="0" fontId="6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6" fontId="34" fillId="2" borderId="4" xfId="4" applyNumberFormat="1" applyFont="1" applyFill="1" applyBorder="1" applyAlignment="1" applyProtection="1">
      <alignment horizontal="right" indent="1"/>
    </xf>
    <xf numFmtId="164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4" fontId="37" fillId="0" borderId="0" xfId="0" quotePrefix="1" applyFont="1" applyFill="1" applyAlignment="1" applyProtection="1">
      <alignment horizontal="right"/>
    </xf>
    <xf numFmtId="164" fontId="34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4" fillId="2" borderId="6" xfId="0" applyFont="1" applyFill="1" applyBorder="1" applyAlignment="1">
      <alignment horizontal="left"/>
    </xf>
    <xf numFmtId="166" fontId="34" fillId="2" borderId="6" xfId="9" applyNumberFormat="1" applyFont="1" applyFill="1" applyBorder="1" applyAlignment="1" applyProtection="1">
      <alignment horizontal="right" indent="1"/>
    </xf>
    <xf numFmtId="164" fontId="37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4" fontId="34" fillId="0" borderId="0" xfId="0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4" fillId="0" borderId="9" xfId="0" applyFont="1" applyBorder="1" applyAlignment="1">
      <alignment horizontal="left" vertical="center" wrapText="1" readingOrder="1"/>
    </xf>
    <xf numFmtId="164" fontId="15" fillId="0" borderId="9" xfId="0" applyFont="1" applyFill="1" applyBorder="1" applyAlignment="1">
      <alignment horizontal="righ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3" fontId="34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164" fontId="15" fillId="0" borderId="1" xfId="0" applyFont="1" applyFill="1" applyBorder="1"/>
    <xf numFmtId="164" fontId="15" fillId="0" borderId="0" xfId="0" applyFont="1" applyFill="1"/>
    <xf numFmtId="164" fontId="34" fillId="2" borderId="0" xfId="0" applyFont="1" applyFill="1" applyProtection="1"/>
    <xf numFmtId="164" fontId="34" fillId="2" borderId="1" xfId="0" applyFont="1" applyFill="1" applyBorder="1" applyProtection="1"/>
    <xf numFmtId="164" fontId="34" fillId="2" borderId="1" xfId="0" applyFont="1" applyFill="1" applyBorder="1" applyAlignment="1" applyProtection="1">
      <alignment horizontal="right"/>
    </xf>
    <xf numFmtId="164" fontId="34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9" fontId="15" fillId="2" borderId="0" xfId="13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8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6" fillId="0" borderId="0" xfId="16"/>
    <xf numFmtId="170" fontId="15" fillId="0" borderId="9" xfId="0" applyNumberFormat="1" applyFont="1" applyBorder="1" applyAlignment="1">
      <alignment horizontal="right" vertical="center" wrapText="1" readingOrder="1"/>
    </xf>
    <xf numFmtId="169" fontId="21" fillId="0" borderId="0" xfId="11" applyNumberFormat="1" applyFont="1" applyFill="1"/>
    <xf numFmtId="0" fontId="21" fillId="0" borderId="0" xfId="11" applyFont="1" applyBorder="1" applyAlignment="1">
      <alignment horizontal="right"/>
    </xf>
    <xf numFmtId="0" fontId="21" fillId="0" borderId="0" xfId="11" applyFont="1" applyBorder="1" applyAlignment="1">
      <alignment horizontal="left"/>
    </xf>
    <xf numFmtId="3" fontId="21" fillId="0" borderId="0" xfId="11" applyNumberFormat="1" applyFont="1" applyBorder="1"/>
    <xf numFmtId="170" fontId="21" fillId="0" borderId="0" xfId="11" applyNumberFormat="1" applyFont="1" applyBorder="1"/>
    <xf numFmtId="164" fontId="34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5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applyNumberFormat="1" applyFont="1" applyFill="1" applyBorder="1" applyAlignment="1" applyProtection="1">
      <alignment horizontal="left"/>
    </xf>
    <xf numFmtId="170" fontId="15" fillId="0" borderId="0" xfId="11" applyNumberFormat="1" applyFont="1" applyBorder="1"/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73" fontId="15" fillId="0" borderId="4" xfId="11" quotePrefix="1" applyNumberFormat="1" applyFont="1" applyFill="1" applyBorder="1" applyAlignment="1" applyProtection="1">
      <alignment horizontal="left"/>
    </xf>
    <xf numFmtId="174" fontId="15" fillId="0" borderId="4" xfId="11" applyNumberFormat="1" applyFont="1" applyFill="1" applyBorder="1" applyAlignment="1">
      <alignment horizontal="right"/>
    </xf>
    <xf numFmtId="164" fontId="43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164" fontId="15" fillId="0" borderId="0" xfId="0" quotePrefix="1" applyFont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3" fontId="15" fillId="0" borderId="0" xfId="0" applyNumberFormat="1" applyFont="1" applyFill="1" applyBorder="1" applyAlignment="1">
      <alignment horizontal="right" vertical="center" wrapText="1"/>
    </xf>
    <xf numFmtId="170" fontId="15" fillId="0" borderId="9" xfId="0" applyNumberFormat="1" applyFont="1" applyFill="1" applyBorder="1" applyAlignment="1">
      <alignment horizontal="right" vertical="center" wrapText="1"/>
    </xf>
    <xf numFmtId="1" fontId="15" fillId="2" borderId="0" xfId="4" applyNumberFormat="1" applyFont="1" applyFill="1" applyBorder="1" applyAlignment="1" applyProtection="1">
      <alignment horizontal="right" indent="1"/>
    </xf>
    <xf numFmtId="164" fontId="15" fillId="0" borderId="8" xfId="0" applyFont="1" applyFill="1" applyBorder="1" applyAlignment="1">
      <alignment horizontal="right" vertical="center" wrapText="1"/>
    </xf>
    <xf numFmtId="164" fontId="15" fillId="0" borderId="10" xfId="0" applyFont="1" applyFill="1" applyBorder="1" applyAlignment="1">
      <alignment horizontal="right" vertical="center" wrapText="1"/>
    </xf>
    <xf numFmtId="164" fontId="46" fillId="6" borderId="13" xfId="21" applyAlignment="1">
      <alignment vertical="center"/>
    </xf>
    <xf numFmtId="164" fontId="46" fillId="6" borderId="13" xfId="26" quotePrefix="1" applyAlignment="1">
      <alignment horizontal="center" vertical="center"/>
    </xf>
    <xf numFmtId="164" fontId="46" fillId="6" borderId="13" xfId="26" applyAlignment="1">
      <alignment horizontal="center" vertical="center"/>
    </xf>
    <xf numFmtId="164" fontId="48" fillId="4" borderId="13" xfId="25" quotePrefix="1" applyAlignment="1">
      <alignment horizontal="left" vertical="center"/>
    </xf>
    <xf numFmtId="166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4" fontId="49" fillId="5" borderId="13" xfId="27" quotePrefix="1" applyAlignment="1">
      <alignment horizontal="left" vertical="center"/>
    </xf>
    <xf numFmtId="166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4" fontId="46" fillId="6" borderId="16" xfId="30" applyAlignment="1">
      <alignment vertical="center"/>
    </xf>
    <xf numFmtId="166" fontId="51" fillId="0" borderId="0" xfId="4" applyNumberFormat="1" applyFont="1" applyFill="1" applyBorder="1" applyProtection="1"/>
    <xf numFmtId="176" fontId="51" fillId="0" borderId="0" xfId="13" applyNumberFormat="1" applyFont="1" applyFill="1" applyBorder="1" applyProtection="1"/>
    <xf numFmtId="177" fontId="15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4" fontId="55" fillId="0" borderId="0" xfId="0" applyFont="1" applyAlignment="1">
      <alignment horizontal="center"/>
    </xf>
    <xf numFmtId="164" fontId="46" fillId="6" borderId="13" xfId="29" applyAlignment="1">
      <alignment horizontal="center"/>
    </xf>
    <xf numFmtId="164" fontId="56" fillId="0" borderId="0" xfId="0" applyFont="1" applyAlignment="1">
      <alignment horizontal="center"/>
    </xf>
    <xf numFmtId="164" fontId="57" fillId="4" borderId="13" xfId="25" quotePrefix="1" applyFont="1" applyAlignment="1">
      <alignment horizontal="left" vertical="center"/>
    </xf>
    <xf numFmtId="166" fontId="58" fillId="0" borderId="0" xfId="0" applyNumberFormat="1" applyFont="1"/>
    <xf numFmtId="164" fontId="56" fillId="0" borderId="0" xfId="0" applyFont="1"/>
    <xf numFmtId="164" fontId="59" fillId="5" borderId="13" xfId="27" quotePrefix="1" applyFont="1" applyAlignment="1">
      <alignment horizontal="left" vertical="center"/>
    </xf>
    <xf numFmtId="166" fontId="60" fillId="5" borderId="13" xfId="20" applyFont="1" applyAlignment="1">
      <alignment horizontal="right" vertical="center"/>
    </xf>
    <xf numFmtId="164" fontId="61" fillId="8" borderId="17" xfId="0" applyFont="1" applyFill="1" applyBorder="1" applyAlignment="1">
      <alignment horizontal="center"/>
    </xf>
    <xf numFmtId="164" fontId="58" fillId="0" borderId="0" xfId="0" applyFont="1"/>
    <xf numFmtId="170" fontId="58" fillId="0" borderId="0" xfId="0" applyNumberFormat="1" applyFont="1"/>
    <xf numFmtId="164" fontId="46" fillId="5" borderId="13" xfId="33" quotePrefix="1" applyAlignment="1">
      <alignment horizontal="center"/>
    </xf>
    <xf numFmtId="164" fontId="46" fillId="5" borderId="13" xfId="33" applyAlignment="1">
      <alignment horizontal="center"/>
    </xf>
    <xf numFmtId="164" fontId="62" fillId="9" borderId="18" xfId="33" applyFont="1" applyFill="1" applyBorder="1" applyAlignment="1">
      <alignment horizontal="center"/>
    </xf>
    <xf numFmtId="164" fontId="63" fillId="8" borderId="0" xfId="0" applyFont="1" applyFill="1"/>
    <xf numFmtId="168" fontId="63" fillId="8" borderId="0" xfId="0" applyNumberFormat="1" applyFont="1" applyFill="1"/>
    <xf numFmtId="164" fontId="48" fillId="4" borderId="13" xfId="25" applyAlignment="1">
      <alignment horizontal="left" vertical="center"/>
    </xf>
    <xf numFmtId="164" fontId="64" fillId="0" borderId="0" xfId="0" applyFont="1"/>
    <xf numFmtId="178" fontId="15" fillId="0" borderId="0" xfId="6" applyNumberFormat="1" applyFont="1" applyFill="1" applyBorder="1" applyAlignment="1" applyProtection="1">
      <alignment horizontal="left" vertical="top" wrapText="1"/>
    </xf>
    <xf numFmtId="164" fontId="48" fillId="4" borderId="16" xfId="34" quotePrefix="1" applyAlignment="1">
      <alignment horizontal="left" vertical="center"/>
    </xf>
    <xf numFmtId="164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7" fontId="47" fillId="4" borderId="13" xfId="35" applyAlignment="1">
      <alignment horizontal="right" vertical="center"/>
    </xf>
    <xf numFmtId="167" fontId="45" fillId="5" borderId="13" xfId="36" applyAlignment="1">
      <alignment horizontal="right" vertical="center"/>
    </xf>
    <xf numFmtId="164" fontId="46" fillId="6" borderId="13" xfId="29" quotePrefix="1" applyAlignment="1">
      <alignment horizontal="center"/>
    </xf>
    <xf numFmtId="164" fontId="46" fillId="10" borderId="13" xfId="29" quotePrefix="1" applyFill="1" applyAlignment="1">
      <alignment horizontal="center"/>
    </xf>
    <xf numFmtId="164" fontId="46" fillId="6" borderId="13" xfId="29" quotePrefix="1" applyAlignment="1">
      <alignment horizontal="center"/>
    </xf>
    <xf numFmtId="3" fontId="58" fillId="0" borderId="0" xfId="0" applyNumberFormat="1" applyFont="1"/>
    <xf numFmtId="0" fontId="15" fillId="2" borderId="7" xfId="0" applyNumberFormat="1" applyFont="1" applyFill="1" applyBorder="1" applyAlignment="1">
      <alignment horizontal="left"/>
    </xf>
    <xf numFmtId="166" fontId="15" fillId="2" borderId="7" xfId="9" applyNumberFormat="1" applyFont="1" applyFill="1" applyBorder="1" applyAlignment="1" applyProtection="1">
      <alignment horizontal="right" indent="1"/>
    </xf>
    <xf numFmtId="0" fontId="65" fillId="0" borderId="0" xfId="6" applyFont="1" applyFill="1" applyBorder="1" applyProtection="1"/>
    <xf numFmtId="0" fontId="15" fillId="0" borderId="0" xfId="0" applyNumberFormat="1" applyFont="1" applyAlignment="1">
      <alignment horizontal="center"/>
    </xf>
    <xf numFmtId="164" fontId="34" fillId="2" borderId="19" xfId="0" quotePrefix="1" applyFont="1" applyFill="1" applyBorder="1" applyAlignment="1" applyProtection="1"/>
    <xf numFmtId="0" fontId="15" fillId="2" borderId="19" xfId="0" applyNumberFormat="1" applyFont="1" applyFill="1" applyBorder="1" applyAlignment="1">
      <alignment horizontal="center"/>
    </xf>
    <xf numFmtId="164" fontId="15" fillId="0" borderId="0" xfId="0" applyFont="1" applyAlignment="1">
      <alignment horizontal="center"/>
    </xf>
    <xf numFmtId="164" fontId="15" fillId="2" borderId="0" xfId="0" applyFont="1" applyFill="1"/>
    <xf numFmtId="3" fontId="15" fillId="2" borderId="0" xfId="0" applyNumberFormat="1" applyFont="1" applyFill="1"/>
    <xf numFmtId="164" fontId="15" fillId="2" borderId="7" xfId="0" applyFont="1" applyFill="1" applyBorder="1"/>
    <xf numFmtId="3" fontId="15" fillId="2" borderId="7" xfId="0" applyNumberFormat="1" applyFont="1" applyFill="1" applyBorder="1"/>
    <xf numFmtId="164" fontId="15" fillId="2" borderId="20" xfId="0" applyFont="1" applyFill="1" applyBorder="1"/>
    <xf numFmtId="3" fontId="15" fillId="2" borderId="20" xfId="0" applyNumberFormat="1" applyFont="1" applyFill="1" applyBorder="1"/>
    <xf numFmtId="168" fontId="15" fillId="2" borderId="20" xfId="0" applyNumberFormat="1" applyFont="1" applyFill="1" applyBorder="1"/>
    <xf numFmtId="0" fontId="15" fillId="2" borderId="7" xfId="0" applyNumberFormat="1" applyFont="1" applyFill="1" applyBorder="1"/>
    <xf numFmtId="164" fontId="15" fillId="0" borderId="0" xfId="0" applyFont="1" applyAlignment="1">
      <alignment horizontal="left" indent="1"/>
    </xf>
    <xf numFmtId="168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right"/>
    </xf>
    <xf numFmtId="14" fontId="15" fillId="2" borderId="0" xfId="0" applyNumberFormat="1" applyFont="1" applyFill="1"/>
    <xf numFmtId="3" fontId="15" fillId="2" borderId="0" xfId="0" applyNumberFormat="1" applyFont="1" applyFill="1" applyAlignment="1"/>
    <xf numFmtId="166" fontId="15" fillId="2" borderId="0" xfId="0" applyNumberFormat="1" applyFont="1" applyFill="1"/>
    <xf numFmtId="164" fontId="15" fillId="2" borderId="0" xfId="0" applyFont="1" applyFill="1" applyAlignment="1">
      <alignment horizontal="left" indent="1"/>
    </xf>
    <xf numFmtId="164" fontId="15" fillId="2" borderId="7" xfId="0" applyNumberFormat="1" applyFont="1" applyFill="1" applyBorder="1"/>
    <xf numFmtId="168" fontId="15" fillId="2" borderId="7" xfId="0" applyNumberFormat="1" applyFont="1" applyFill="1" applyBorder="1"/>
    <xf numFmtId="164" fontId="15" fillId="2" borderId="19" xfId="0" quotePrefix="1" applyFont="1" applyFill="1" applyBorder="1"/>
    <xf numFmtId="0" fontId="15" fillId="2" borderId="19" xfId="0" applyNumberFormat="1" applyFont="1" applyFill="1" applyBorder="1"/>
    <xf numFmtId="0" fontId="15" fillId="2" borderId="19" xfId="0" quotePrefix="1" applyNumberFormat="1" applyFont="1" applyFill="1" applyBorder="1"/>
    <xf numFmtId="170" fontId="15" fillId="2" borderId="7" xfId="13" applyNumberFormat="1" applyFont="1" applyFill="1" applyBorder="1"/>
    <xf numFmtId="0" fontId="15" fillId="0" borderId="0" xfId="0" applyNumberFormat="1" applyFont="1"/>
    <xf numFmtId="0" fontId="15" fillId="2" borderId="3" xfId="11" applyFont="1" applyFill="1" applyBorder="1" applyAlignment="1">
      <alignment horizontal="center"/>
    </xf>
    <xf numFmtId="0" fontId="15" fillId="2" borderId="3" xfId="11" applyFont="1" applyFill="1" applyBorder="1" applyAlignment="1">
      <alignment horizontal="right"/>
    </xf>
    <xf numFmtId="0" fontId="15" fillId="2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0" fontId="15" fillId="2" borderId="0" xfId="11" applyFont="1" applyFill="1"/>
    <xf numFmtId="171" fontId="15" fillId="2" borderId="0" xfId="11" applyNumberFormat="1" applyFont="1" applyFill="1"/>
    <xf numFmtId="0" fontId="15" fillId="2" borderId="0" xfId="11" applyFont="1" applyFill="1" applyBorder="1"/>
    <xf numFmtId="3" fontId="15" fillId="2" borderId="0" xfId="11" applyNumberFormat="1" applyFont="1" applyFill="1"/>
    <xf numFmtId="0" fontId="15" fillId="0" borderId="0" xfId="3" applyFont="1" applyFill="1" applyBorder="1"/>
    <xf numFmtId="169" fontId="15" fillId="0" borderId="0" xfId="11" applyNumberFormat="1" applyFont="1" applyFill="1"/>
    <xf numFmtId="0" fontId="15" fillId="0" borderId="0" xfId="11" applyFont="1" applyFill="1"/>
    <xf numFmtId="171" fontId="15" fillId="2" borderId="0" xfId="11" applyNumberFormat="1" applyFont="1" applyFill="1" applyBorder="1"/>
    <xf numFmtId="0" fontId="15" fillId="2" borderId="11" xfId="11" applyFont="1" applyFill="1" applyBorder="1"/>
    <xf numFmtId="171" fontId="15" fillId="2" borderId="11" xfId="11" applyNumberFormat="1" applyFont="1" applyFill="1" applyBorder="1"/>
    <xf numFmtId="0" fontId="15" fillId="2" borderId="4" xfId="11" applyFont="1" applyFill="1" applyBorder="1"/>
    <xf numFmtId="3" fontId="15" fillId="2" borderId="4" xfId="11" applyNumberFormat="1" applyFont="1" applyFill="1" applyBorder="1"/>
    <xf numFmtId="3" fontId="15" fillId="0" borderId="0" xfId="11" applyNumberFormat="1" applyFont="1" applyFill="1"/>
    <xf numFmtId="170" fontId="15" fillId="0" borderId="0" xfId="11" applyNumberFormat="1" applyFont="1" applyFill="1"/>
    <xf numFmtId="169" fontId="15" fillId="0" borderId="0" xfId="11" applyNumberFormat="1" applyFont="1"/>
    <xf numFmtId="0" fontId="15" fillId="0" borderId="0" xfId="11" applyNumberFormat="1" applyFont="1"/>
    <xf numFmtId="1" fontId="15" fillId="0" borderId="0" xfId="11" applyNumberFormat="1" applyFont="1" applyFill="1"/>
    <xf numFmtId="17" fontId="15" fillId="2" borderId="3" xfId="11" quotePrefix="1" applyNumberFormat="1" applyFont="1" applyFill="1" applyBorder="1" applyAlignment="1">
      <alignment horizontal="right"/>
    </xf>
    <xf numFmtId="164" fontId="34" fillId="0" borderId="0" xfId="4" applyFont="1" applyFill="1" applyBorder="1" applyAlignment="1" applyProtection="1">
      <alignment horizontal="left" vertical="top" wrapText="1"/>
    </xf>
    <xf numFmtId="164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15" fillId="0" borderId="0" xfId="4" applyNumberFormat="1" applyFont="1" applyFill="1" applyAlignment="1" applyProtection="1">
      <alignment horizontal="left" wrapText="1"/>
    </xf>
    <xf numFmtId="0" fontId="15" fillId="0" borderId="5" xfId="4" applyNumberFormat="1" applyFont="1" applyFill="1" applyBorder="1" applyAlignment="1" applyProtection="1">
      <alignment horizontal="justify"/>
    </xf>
    <xf numFmtId="0" fontId="15" fillId="0" borderId="0" xfId="4" applyNumberFormat="1" applyFont="1" applyFill="1" applyBorder="1" applyAlignment="1" applyProtection="1">
      <alignment horizontal="justify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4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4" fontId="46" fillId="6" borderId="13" xfId="29" quotePrefix="1" applyAlignment="1">
      <alignment horizontal="center"/>
    </xf>
    <xf numFmtId="164" fontId="0" fillId="0" borderId="11" xfId="0" applyBorder="1" applyAlignment="1">
      <alignment horizontal="center"/>
    </xf>
    <xf numFmtId="164" fontId="46" fillId="6" borderId="15" xfId="29" quotePrefix="1" applyBorder="1" applyAlignment="1">
      <alignment horizontal="center"/>
    </xf>
    <xf numFmtId="164" fontId="0" fillId="0" borderId="14" xfId="0" applyBorder="1" applyAlignment="1">
      <alignment horizontal="center"/>
    </xf>
    <xf numFmtId="164" fontId="46" fillId="6" borderId="15" xfId="26" quotePrefix="1" applyBorder="1" applyAlignment="1">
      <alignment horizontal="center" vertical="center"/>
    </xf>
    <xf numFmtId="164" fontId="0" fillId="0" borderId="14" xfId="0" applyBorder="1" applyAlignment="1">
      <alignment horizontal="center" vertical="center"/>
    </xf>
    <xf numFmtId="164" fontId="15" fillId="2" borderId="20" xfId="0" applyFont="1" applyFill="1" applyBorder="1" applyAlignment="1">
      <alignment horizontal="center" wrapText="1"/>
    </xf>
    <xf numFmtId="164" fontId="15" fillId="2" borderId="7" xfId="0" applyFont="1" applyFill="1" applyBorder="1" applyAlignment="1">
      <alignment horizontal="center" wrapText="1"/>
    </xf>
    <xf numFmtId="164" fontId="46" fillId="10" borderId="15" xfId="29" applyFill="1" applyBorder="1" applyAlignment="1">
      <alignment horizontal="center"/>
    </xf>
    <xf numFmtId="164" fontId="46" fillId="10" borderId="14" xfId="29" applyFill="1" applyBorder="1" applyAlignment="1">
      <alignment horizontal="center"/>
    </xf>
    <xf numFmtId="164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37">
    <cellStyle name="consejo" xfId="10"/>
    <cellStyle name="Hipervínculo 2" xfId="17"/>
    <cellStyle name="Hipervínculo 3" xfId="15"/>
    <cellStyle name="Millares" xfId="18" builtinId="3"/>
    <cellStyle name="MSTRStyle.Todos.c1_f233c5b5-8efc-40cc-a089-d6ee1d6d5aff" xfId="28"/>
    <cellStyle name="MSTRStyle.Todos.c13_7e420611-275d-473b-8f31-0e521fd83d09" xfId="26"/>
    <cellStyle name="MSTRStyle.Todos.c15_2cf64c0a-4b23-4d71-9fc9-4d389f48a7db" xfId="35"/>
    <cellStyle name="MSTRStyle.Todos.c16_a3abbdba-39c5-4475-8de4-e6135500e251" xfId="23"/>
    <cellStyle name="MSTRStyle.Todos.c18_19c4098a-8743-4bc4-b466-65d82a5a7505" xfId="24"/>
    <cellStyle name="MSTRStyle.Todos.c19_15009b83-d662-472c-ae48-4df3fea471dd" xfId="36"/>
    <cellStyle name="MSTRStyle.Todos.c2_3c6e317f-bd39-4422-933b-ac144830b67b" xfId="21"/>
    <cellStyle name="MSTRStyle.Todos.c20_17d38e15-bcc2-49f6-adb0-74fa24f73c0d" xfId="19"/>
    <cellStyle name="MSTRStyle.Todos.c21_8e710c8e-e33a-4c2d-8e81-b7657ce67fb9" xfId="33"/>
    <cellStyle name="MSTRStyle.Todos.c22_928c9b5c-8086-45a3-84f9-2dc5b737a557" xfId="27"/>
    <cellStyle name="MSTRStyle.Todos.c23_54a66e00-ce3a-4eb4-88c1-b8c753f0ebd7" xfId="32"/>
    <cellStyle name="MSTRStyle.Todos.c23_b4897d19-5129-427d-b27c-b6d10c22bb8b" xfId="20"/>
    <cellStyle name="MSTRStyle.Todos.c24_035038c2-2ddd-4b85-84d7-5bc27c6cfc1f" xfId="22"/>
    <cellStyle name="MSTRStyle.Todos.c25_afaf7586-66ac-412d-9de1-4c2909e1f8f2" xfId="31"/>
    <cellStyle name="MSTRStyle.Todos.c3_643e75d5-5bb6-4a8f-a153-5b2cbad6ca42" xfId="25"/>
    <cellStyle name="MSTRStyle.Todos.c6_81bfd3a6-0f47-492d-bc49-79c4fbba0499" xfId="34"/>
    <cellStyle name="MSTRStyle.Todos.c7_3e22e94e-2e1a-4be3-9466-931f06a0e26e" xfId="30"/>
    <cellStyle name="MSTRStyle.Todos.c9_5a51e594-f96b-4da2-8e95-9c20ffe12f9e" xfId="29"/>
    <cellStyle name="Normal" xfId="0" builtinId="0"/>
    <cellStyle name="Normal 2" xfId="4"/>
    <cellStyle name="Normal 2 2" xfId="11"/>
    <cellStyle name="Normal 2 2 2" xfId="16"/>
    <cellStyle name="Normal 3" xfId="3"/>
    <cellStyle name="Normal 3 2" xfId="8"/>
    <cellStyle name="Normal 4" xfId="5"/>
    <cellStyle name="Normal 4 2" xfId="7"/>
    <cellStyle name="Normal 5" xfId="12"/>
    <cellStyle name="Normal 7" xfId="2"/>
    <cellStyle name="Normal_3 Regimen Ordinario" xfId="14"/>
    <cellStyle name="Normal_5 Regimen Especial" xfId="6"/>
    <cellStyle name="Normal_A1 Comparacion Internacional" xfId="1"/>
    <cellStyle name="Normal_cuadro 1.1 2" xfId="9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44B114"/>
      <color rgb="FF004563"/>
      <color rgb="FF385723"/>
      <color rgb="FF7F7F7F"/>
      <color rgb="FFA0A0A0"/>
      <color rgb="FFF5F5F5"/>
      <color rgb="FFFFC000"/>
      <color rgb="FF4472C4"/>
      <color rgb="FF1F4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70AD47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chemeClr val="accent2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2113821138211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959349593495935"/>
                  <c:y val="-4.9673202614379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3333333333333333"/>
                  <c:y val="0.1294866965158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7967479674796747"/>
                  <c:y val="5.7516339869280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0487804878048779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723590039049997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3.3776867273568905</c:v>
                </c:pt>
                <c:pt idx="1">
                  <c:v>7.221619208730214</c:v>
                </c:pt>
                <c:pt idx="2">
                  <c:v>9.6756521040949828</c:v>
                </c:pt>
                <c:pt idx="3">
                  <c:v>24.921901450993609</c:v>
                </c:pt>
                <c:pt idx="4">
                  <c:v>5.9004860873239844</c:v>
                </c:pt>
                <c:pt idx="5">
                  <c:v>0.465632392918083</c:v>
                </c:pt>
                <c:pt idx="6">
                  <c:v>0.1248451109721507</c:v>
                </c:pt>
                <c:pt idx="7">
                  <c:v>23.286010834478816</c:v>
                </c:pt>
                <c:pt idx="8">
                  <c:v>17.298607968799988</c:v>
                </c:pt>
                <c:pt idx="9">
                  <c:v>4.5195608549080513</c:v>
                </c:pt>
                <c:pt idx="10">
                  <c:v>2.3378879741987468</c:v>
                </c:pt>
                <c:pt idx="11">
                  <c:v>0.87010928522447428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112.205176266</c:v>
                </c:pt>
                <c:pt idx="1">
                  <c:v>118.471554938</c:v>
                </c:pt>
                <c:pt idx="2">
                  <c:v>133.820917622</c:v>
                </c:pt>
                <c:pt idx="3">
                  <c:v>222.09125546800001</c:v>
                </c:pt>
                <c:pt idx="4">
                  <c:v>309.58646633000001</c:v>
                </c:pt>
                <c:pt idx="5">
                  <c:v>273.43523521399999</c:v>
                </c:pt>
                <c:pt idx="6">
                  <c:v>180.62302364999999</c:v>
                </c:pt>
                <c:pt idx="7">
                  <c:v>369.77771444400003</c:v>
                </c:pt>
                <c:pt idx="8">
                  <c:v>345.63732475400002</c:v>
                </c:pt>
                <c:pt idx="9">
                  <c:v>153.27436067599999</c:v>
                </c:pt>
                <c:pt idx="10">
                  <c:v>58.722846416000003</c:v>
                </c:pt>
                <c:pt idx="11">
                  <c:v>35.306144013999997</c:v>
                </c:pt>
                <c:pt idx="12">
                  <c:v>50.643900000000002</c:v>
                </c:pt>
              </c:numCache>
            </c:numRef>
          </c:val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5078.9521169999998</c:v>
                </c:pt>
                <c:pt idx="1">
                  <c:v>4722.5735260000001</c:v>
                </c:pt>
                <c:pt idx="2">
                  <c:v>4301.3254559999996</c:v>
                </c:pt>
                <c:pt idx="3">
                  <c:v>3601.78287</c:v>
                </c:pt>
                <c:pt idx="4">
                  <c:v>5039.108604</c:v>
                </c:pt>
                <c:pt idx="5">
                  <c:v>5096.5286329999999</c:v>
                </c:pt>
                <c:pt idx="6">
                  <c:v>4592.3205680000001</c:v>
                </c:pt>
                <c:pt idx="7">
                  <c:v>4488.9170219999996</c:v>
                </c:pt>
                <c:pt idx="8">
                  <c:v>3812.588835</c:v>
                </c:pt>
                <c:pt idx="9">
                  <c:v>3728.673667</c:v>
                </c:pt>
                <c:pt idx="10">
                  <c:v>3591.591351</c:v>
                </c:pt>
                <c:pt idx="11">
                  <c:v>4471.0236880000002</c:v>
                </c:pt>
                <c:pt idx="12">
                  <c:v>5140.7584999999999</c:v>
                </c:pt>
              </c:numCache>
            </c:numRef>
          </c:val>
          <c:extLst/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2962.4341599999998</c:v>
                </c:pt>
                <c:pt idx="1">
                  <c:v>2821.1507489999999</c:v>
                </c:pt>
                <c:pt idx="2">
                  <c:v>3901.3327119999999</c:v>
                </c:pt>
                <c:pt idx="3">
                  <c:v>4664.8877439999997</c:v>
                </c:pt>
                <c:pt idx="4">
                  <c:v>4128.1496340000003</c:v>
                </c:pt>
                <c:pt idx="5">
                  <c:v>3020.0704609999998</c:v>
                </c:pt>
                <c:pt idx="6">
                  <c:v>3488.6857300000001</c:v>
                </c:pt>
                <c:pt idx="7">
                  <c:v>1310.6821359999999</c:v>
                </c:pt>
                <c:pt idx="8">
                  <c:v>1360.590295</c:v>
                </c:pt>
                <c:pt idx="9">
                  <c:v>2254.3341909999999</c:v>
                </c:pt>
                <c:pt idx="10">
                  <c:v>2273.6508990000002</c:v>
                </c:pt>
                <c:pt idx="11">
                  <c:v>3488.1731799999998</c:v>
                </c:pt>
                <c:pt idx="12">
                  <c:v>3524.2485000000001</c:v>
                </c:pt>
              </c:numCache>
            </c:numRef>
          </c:val>
          <c:extLst/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3454.4160280000001</c:v>
                </c:pt>
                <c:pt idx="1">
                  <c:v>3197.9247850000002</c:v>
                </c:pt>
                <c:pt idx="2">
                  <c:v>3848.6854699999999</c:v>
                </c:pt>
                <c:pt idx="3">
                  <c:v>4546.437715</c:v>
                </c:pt>
                <c:pt idx="4">
                  <c:v>3028.112431</c:v>
                </c:pt>
                <c:pt idx="5">
                  <c:v>2254.6323689999999</c:v>
                </c:pt>
                <c:pt idx="6">
                  <c:v>1950.724201</c:v>
                </c:pt>
                <c:pt idx="7">
                  <c:v>1248.0405949999999</c:v>
                </c:pt>
                <c:pt idx="8">
                  <c:v>1200.6612050000001</c:v>
                </c:pt>
                <c:pt idx="9">
                  <c:v>1968.4294669999999</c:v>
                </c:pt>
                <c:pt idx="10">
                  <c:v>2180.1881910000002</c:v>
                </c:pt>
                <c:pt idx="11">
                  <c:v>2229.279387</c:v>
                </c:pt>
                <c:pt idx="12">
                  <c:v>2703.9531999999999</c:v>
                </c:pt>
              </c:numCache>
            </c:numRef>
          </c:val>
          <c:extLst/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2257.6581030000002</c:v>
                </c:pt>
                <c:pt idx="1">
                  <c:v>2272.5539779999999</c:v>
                </c:pt>
                <c:pt idx="2">
                  <c:v>2392.9653020000001</c:v>
                </c:pt>
                <c:pt idx="3">
                  <c:v>2441.5411549999999</c:v>
                </c:pt>
                <c:pt idx="4">
                  <c:v>2489.4079710000001</c:v>
                </c:pt>
                <c:pt idx="5">
                  <c:v>2480.4490580000002</c:v>
                </c:pt>
                <c:pt idx="6">
                  <c:v>2251.2689540000001</c:v>
                </c:pt>
                <c:pt idx="7">
                  <c:v>2335.5272960000002</c:v>
                </c:pt>
                <c:pt idx="8">
                  <c:v>2353.5895970000001</c:v>
                </c:pt>
                <c:pt idx="9">
                  <c:v>2418.3062</c:v>
                </c:pt>
                <c:pt idx="10">
                  <c:v>2402.7120199999999</c:v>
                </c:pt>
                <c:pt idx="11">
                  <c:v>2432.0428059999999</c:v>
                </c:pt>
                <c:pt idx="12">
                  <c:v>2367.3085000000001</c:v>
                </c:pt>
              </c:numCache>
            </c:numRef>
          </c:val>
          <c:extLst/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215.23479399999999</c:v>
                </c:pt>
                <c:pt idx="1">
                  <c:v>213.315484</c:v>
                </c:pt>
                <c:pt idx="2">
                  <c:v>228.412195</c:v>
                </c:pt>
                <c:pt idx="3">
                  <c:v>206.525261</c:v>
                </c:pt>
                <c:pt idx="4">
                  <c:v>218.5118425</c:v>
                </c:pt>
                <c:pt idx="5">
                  <c:v>226.5715625</c:v>
                </c:pt>
                <c:pt idx="6">
                  <c:v>204.21008800000001</c:v>
                </c:pt>
                <c:pt idx="7">
                  <c:v>215.3954785</c:v>
                </c:pt>
                <c:pt idx="8">
                  <c:v>169.464494</c:v>
                </c:pt>
                <c:pt idx="9">
                  <c:v>137.027331</c:v>
                </c:pt>
                <c:pt idx="10">
                  <c:v>175.4103795</c:v>
                </c:pt>
                <c:pt idx="11">
                  <c:v>199.57543200000001</c:v>
                </c:pt>
                <c:pt idx="12">
                  <c:v>200.26025000000001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223360"/>
        <c:axId val="353222968"/>
      </c:barChart>
      <c:catAx>
        <c:axId val="353223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53222968"/>
        <c:crosses val="autoZero"/>
        <c:auto val="1"/>
        <c:lblAlgn val="ctr"/>
        <c:lblOffset val="100"/>
        <c:noMultiLvlLbl val="1"/>
      </c:catAx>
      <c:valAx>
        <c:axId val="353222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5322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17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[0]!Eol_Dia</c:f>
              <c:numCache>
                <c:formatCode>0_)</c:formatCode>
                <c:ptCount val="31"/>
                <c:pt idx="0">
                  <c:v>109.253</c:v>
                </c:pt>
                <c:pt idx="1">
                  <c:v>94.386499999999998</c:v>
                </c:pt>
                <c:pt idx="2">
                  <c:v>76.282399999999996</c:v>
                </c:pt>
                <c:pt idx="3">
                  <c:v>93.499300000000005</c:v>
                </c:pt>
                <c:pt idx="4">
                  <c:v>80.483699999999999</c:v>
                </c:pt>
                <c:pt idx="5">
                  <c:v>59.8992</c:v>
                </c:pt>
                <c:pt idx="6">
                  <c:v>99.2851</c:v>
                </c:pt>
                <c:pt idx="7">
                  <c:v>98.385300000000001</c:v>
                </c:pt>
                <c:pt idx="8">
                  <c:v>124.2709</c:v>
                </c:pt>
                <c:pt idx="9">
                  <c:v>101.97439999999999</c:v>
                </c:pt>
                <c:pt idx="10">
                  <c:v>81.158699999999996</c:v>
                </c:pt>
                <c:pt idx="11">
                  <c:v>88.935399999999987</c:v>
                </c:pt>
                <c:pt idx="12">
                  <c:v>74.584699999999998</c:v>
                </c:pt>
                <c:pt idx="13">
                  <c:v>138.2928</c:v>
                </c:pt>
                <c:pt idx="14">
                  <c:v>92.519600000000011</c:v>
                </c:pt>
                <c:pt idx="15">
                  <c:v>77.842100000000002</c:v>
                </c:pt>
                <c:pt idx="16">
                  <c:v>160.1414</c:v>
                </c:pt>
                <c:pt idx="17">
                  <c:v>170.5181</c:v>
                </c:pt>
                <c:pt idx="18">
                  <c:v>136.79259999999999</c:v>
                </c:pt>
                <c:pt idx="19">
                  <c:v>132.4939</c:v>
                </c:pt>
                <c:pt idx="20">
                  <c:v>85.234700000000004</c:v>
                </c:pt>
                <c:pt idx="21">
                  <c:v>51.664999999999999</c:v>
                </c:pt>
                <c:pt idx="22">
                  <c:v>61.673400000000001</c:v>
                </c:pt>
                <c:pt idx="23">
                  <c:v>114.789</c:v>
                </c:pt>
                <c:pt idx="24">
                  <c:v>111.28280000000001</c:v>
                </c:pt>
                <c:pt idx="25">
                  <c:v>57.481099999999998</c:v>
                </c:pt>
                <c:pt idx="26">
                  <c:v>73.254300000000001</c:v>
                </c:pt>
                <c:pt idx="27">
                  <c:v>119.9609</c:v>
                </c:pt>
                <c:pt idx="28">
                  <c:v>77.518100000000004</c:v>
                </c:pt>
                <c:pt idx="29">
                  <c:v>93.075500000000005</c:v>
                </c:pt>
                <c:pt idx="30">
                  <c:v>119.79510000000001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466304"/>
        <c:axId val="35546669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14.863993769946795</c:v>
                </c:pt>
                <c:pt idx="1">
                  <c:v>12.264547749633863</c:v>
                </c:pt>
                <c:pt idx="2">
                  <c:v>9.5327047211396696</c:v>
                </c:pt>
                <c:pt idx="3">
                  <c:v>13.67537031278658</c:v>
                </c:pt>
                <c:pt idx="4">
                  <c:v>12.523844861468339</c:v>
                </c:pt>
                <c:pt idx="5">
                  <c:v>8.0149993550448588</c:v>
                </c:pt>
                <c:pt idx="6">
                  <c:v>13.189681066034955</c:v>
                </c:pt>
                <c:pt idx="7">
                  <c:v>13.700070125875669</c:v>
                </c:pt>
                <c:pt idx="8">
                  <c:v>18.130451351158928</c:v>
                </c:pt>
                <c:pt idx="9">
                  <c:v>15.458719254059918</c:v>
                </c:pt>
                <c:pt idx="10">
                  <c:v>13.198933855140844</c:v>
                </c:pt>
                <c:pt idx="11">
                  <c:v>14.940848383032337</c:v>
                </c:pt>
                <c:pt idx="12">
                  <c:v>11.404302934121747</c:v>
                </c:pt>
                <c:pt idx="13">
                  <c:v>21.046777871881911</c:v>
                </c:pt>
                <c:pt idx="14">
                  <c:v>15.847770305685833</c:v>
                </c:pt>
                <c:pt idx="15">
                  <c:v>12.15224048547703</c:v>
                </c:pt>
                <c:pt idx="16">
                  <c:v>25.118718395026118</c:v>
                </c:pt>
                <c:pt idx="17">
                  <c:v>28.07141069794088</c:v>
                </c:pt>
                <c:pt idx="18">
                  <c:v>23.841631413536646</c:v>
                </c:pt>
                <c:pt idx="19">
                  <c:v>19.654769223100953</c:v>
                </c:pt>
                <c:pt idx="20">
                  <c:v>11.70768526015987</c:v>
                </c:pt>
                <c:pt idx="21">
                  <c:v>6.9820832163233577</c:v>
                </c:pt>
                <c:pt idx="22">
                  <c:v>8.5212324778259152</c:v>
                </c:pt>
                <c:pt idx="23">
                  <c:v>16.665856039955429</c:v>
                </c:pt>
                <c:pt idx="24">
                  <c:v>18.826885157705878</c:v>
                </c:pt>
                <c:pt idx="25">
                  <c:v>10.436103871016</c:v>
                </c:pt>
                <c:pt idx="26">
                  <c:v>10.452451130703333</c:v>
                </c:pt>
                <c:pt idx="27">
                  <c:v>16.012682440562237</c:v>
                </c:pt>
                <c:pt idx="28">
                  <c:v>10.769952374581235</c:v>
                </c:pt>
                <c:pt idx="29">
                  <c:v>12.727391071825858</c:v>
                </c:pt>
                <c:pt idx="30">
                  <c:v>16.660076998293178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467480"/>
        <c:axId val="355467088"/>
      </c:lineChart>
      <c:catAx>
        <c:axId val="35546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55466696"/>
        <c:crosses val="autoZero"/>
        <c:auto val="0"/>
        <c:lblAlgn val="ctr"/>
        <c:lblOffset val="100"/>
        <c:noMultiLvlLbl val="0"/>
      </c:catAx>
      <c:valAx>
        <c:axId val="355466696"/>
        <c:scaling>
          <c:orientation val="minMax"/>
          <c:max val="25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55466304"/>
        <c:crosses val="autoZero"/>
        <c:crossBetween val="between"/>
        <c:majorUnit val="25"/>
      </c:valAx>
      <c:valAx>
        <c:axId val="355467088"/>
        <c:scaling>
          <c:orientation val="minMax"/>
          <c:max val="5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55467480"/>
        <c:crosses val="max"/>
        <c:crossBetween val="between"/>
        <c:majorUnit val="5"/>
      </c:valAx>
      <c:catAx>
        <c:axId val="35546748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35546708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v>Generación</c:v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val>
            <c:numRef>
              <c:f>Dat_01!$N$220:$N$243</c:f>
              <c:numCache>
                <c:formatCode>#,##0.0</c:formatCode>
                <c:ptCount val="24"/>
                <c:pt idx="0">
                  <c:v>25.1279</c:v>
                </c:pt>
                <c:pt idx="1">
                  <c:v>24.4297</c:v>
                </c:pt>
                <c:pt idx="2">
                  <c:v>23.810600000000001</c:v>
                </c:pt>
                <c:pt idx="3">
                  <c:v>23.1861</c:v>
                </c:pt>
                <c:pt idx="4">
                  <c:v>22.812899999999999</c:v>
                </c:pt>
                <c:pt idx="5">
                  <c:v>22.671399999999998</c:v>
                </c:pt>
                <c:pt idx="6">
                  <c:v>22.881699999999999</c:v>
                </c:pt>
                <c:pt idx="7">
                  <c:v>22.9634</c:v>
                </c:pt>
                <c:pt idx="8">
                  <c:v>23.478000000000002</c:v>
                </c:pt>
                <c:pt idx="9">
                  <c:v>24.83</c:v>
                </c:pt>
                <c:pt idx="10">
                  <c:v>25.264600000000002</c:v>
                </c:pt>
                <c:pt idx="11">
                  <c:v>26.226400000000002</c:v>
                </c:pt>
                <c:pt idx="12">
                  <c:v>26.419699999999999</c:v>
                </c:pt>
                <c:pt idx="13">
                  <c:v>26.6785</c:v>
                </c:pt>
                <c:pt idx="14">
                  <c:v>26.776900000000001</c:v>
                </c:pt>
                <c:pt idx="15">
                  <c:v>26.777999999999999</c:v>
                </c:pt>
                <c:pt idx="16">
                  <c:v>26.0596</c:v>
                </c:pt>
                <c:pt idx="17">
                  <c:v>25.779599999999999</c:v>
                </c:pt>
                <c:pt idx="18">
                  <c:v>26.1708</c:v>
                </c:pt>
                <c:pt idx="19">
                  <c:v>27.240100000000002</c:v>
                </c:pt>
                <c:pt idx="20">
                  <c:v>27.512499999999999</c:v>
                </c:pt>
                <c:pt idx="21">
                  <c:v>27.726400000000002</c:v>
                </c:pt>
                <c:pt idx="22">
                  <c:v>27.232600000000001</c:v>
                </c:pt>
                <c:pt idx="23">
                  <c:v>25.386600000000001</c:v>
                </c:pt>
              </c:numCache>
            </c:numRef>
          </c:val>
          <c:extLst/>
        </c:ser>
        <c:ser>
          <c:idx val="0"/>
          <c:order val="1"/>
          <c:tx>
            <c:v>Eólica</c:v>
          </c:tx>
          <c:spPr>
            <a:solidFill>
              <a:srgbClr val="44B114"/>
            </a:solidFill>
            <a:ln w="25400">
              <a:noFill/>
            </a:ln>
            <a:effectLst/>
          </c:spPr>
          <c:val>
            <c:numRef>
              <c:f>Dat_01!$G$220:$G$243</c:f>
              <c:numCache>
                <c:formatCode>#,##0.0</c:formatCode>
                <c:ptCount val="24"/>
                <c:pt idx="0">
                  <c:v>9.1643000000000008</c:v>
                </c:pt>
                <c:pt idx="1">
                  <c:v>8.7952999999999992</c:v>
                </c:pt>
                <c:pt idx="2">
                  <c:v>8.8308</c:v>
                </c:pt>
                <c:pt idx="3">
                  <c:v>8.5412999999999997</c:v>
                </c:pt>
                <c:pt idx="4">
                  <c:v>8.3774999999999995</c:v>
                </c:pt>
                <c:pt idx="5">
                  <c:v>8.2622</c:v>
                </c:pt>
                <c:pt idx="6">
                  <c:v>8.3582999999999998</c:v>
                </c:pt>
                <c:pt idx="7">
                  <c:v>8.2825000000000006</c:v>
                </c:pt>
                <c:pt idx="8">
                  <c:v>7.7236000000000002</c:v>
                </c:pt>
                <c:pt idx="9">
                  <c:v>7.4927000000000001</c:v>
                </c:pt>
                <c:pt idx="10">
                  <c:v>7.0507</c:v>
                </c:pt>
                <c:pt idx="11">
                  <c:v>6.7298999999999998</c:v>
                </c:pt>
                <c:pt idx="12">
                  <c:v>5.7401</c:v>
                </c:pt>
                <c:pt idx="13">
                  <c:v>5.3799000000000001</c:v>
                </c:pt>
                <c:pt idx="14">
                  <c:v>4.9191000000000003</c:v>
                </c:pt>
                <c:pt idx="15">
                  <c:v>5.3954000000000004</c:v>
                </c:pt>
                <c:pt idx="16">
                  <c:v>5.3757000000000001</c:v>
                </c:pt>
                <c:pt idx="17">
                  <c:v>5.6306000000000003</c:v>
                </c:pt>
                <c:pt idx="18">
                  <c:v>5.8331</c:v>
                </c:pt>
                <c:pt idx="19">
                  <c:v>6.3666999999999998</c:v>
                </c:pt>
                <c:pt idx="20">
                  <c:v>6.7653999999999996</c:v>
                </c:pt>
                <c:pt idx="21">
                  <c:v>6.9931999999999999</c:v>
                </c:pt>
                <c:pt idx="22">
                  <c:v>7.2034000000000002</c:v>
                </c:pt>
                <c:pt idx="23">
                  <c:v>7.3064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469440"/>
        <c:axId val="357221616"/>
      </c:areaChart>
      <c:lineChart>
        <c:grouping val="standard"/>
        <c:varyColors val="0"/>
        <c:ser>
          <c:idx val="2"/>
          <c:order val="2"/>
          <c:tx>
            <c:strRef>
              <c:f>Dat_01!$V$218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8575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val>
            <c:numRef>
              <c:f>Dat_01!$V$220:$V$243</c:f>
              <c:numCache>
                <c:formatCode>0.0_)</c:formatCode>
                <c:ptCount val="24"/>
                <c:pt idx="0">
                  <c:v>36.470616326871728</c:v>
                </c:pt>
                <c:pt idx="1">
                  <c:v>36.002488773910443</c:v>
                </c:pt>
                <c:pt idx="2">
                  <c:v>37.087683636699623</c:v>
                </c:pt>
                <c:pt idx="3">
                  <c:v>36.838019330547176</c:v>
                </c:pt>
                <c:pt idx="4">
                  <c:v>36.722643767342163</c:v>
                </c:pt>
                <c:pt idx="5">
                  <c:v>36.443272140229546</c:v>
                </c:pt>
                <c:pt idx="6">
                  <c:v>36.528317389005188</c:v>
                </c:pt>
                <c:pt idx="7">
                  <c:v>36.068265152372909</c:v>
                </c:pt>
                <c:pt idx="8">
                  <c:v>32.897180339040801</c:v>
                </c:pt>
                <c:pt idx="9">
                  <c:v>30.175996778091026</c:v>
                </c:pt>
                <c:pt idx="10">
                  <c:v>27.90742778433064</c:v>
                </c:pt>
                <c:pt idx="11">
                  <c:v>25.660784552969524</c:v>
                </c:pt>
                <c:pt idx="12">
                  <c:v>21.726590385204979</c:v>
                </c:pt>
                <c:pt idx="13">
                  <c:v>20.165676481061528</c:v>
                </c:pt>
                <c:pt idx="14">
                  <c:v>18.370685180136611</c:v>
                </c:pt>
                <c:pt idx="15">
                  <c:v>20.148629471954592</c:v>
                </c:pt>
                <c:pt idx="16">
                  <c:v>20.62848240187877</c:v>
                </c:pt>
                <c:pt idx="17">
                  <c:v>21.841300873558943</c:v>
                </c:pt>
                <c:pt idx="18">
                  <c:v>22.288581166796583</c:v>
                </c:pt>
                <c:pt idx="19">
                  <c:v>23.372528000998528</c:v>
                </c:pt>
                <c:pt idx="20">
                  <c:v>24.590277146751475</c:v>
                </c:pt>
                <c:pt idx="21">
                  <c:v>25.222170927347221</c:v>
                </c:pt>
                <c:pt idx="22">
                  <c:v>26.451385471824214</c:v>
                </c:pt>
                <c:pt idx="23">
                  <c:v>28.780537764017232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222400"/>
        <c:axId val="357222008"/>
      </c:lineChart>
      <c:catAx>
        <c:axId val="355469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57221616"/>
        <c:crosses val="autoZero"/>
        <c:auto val="1"/>
        <c:lblAlgn val="ctr"/>
        <c:lblOffset val="100"/>
        <c:noMultiLvlLbl val="0"/>
      </c:catAx>
      <c:valAx>
        <c:axId val="357221616"/>
        <c:scaling>
          <c:orientation val="minMax"/>
          <c:max val="4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55469440"/>
        <c:crosses val="autoZero"/>
        <c:crossBetween val="between"/>
      </c:valAx>
      <c:valAx>
        <c:axId val="357222008"/>
        <c:scaling>
          <c:orientation val="minMax"/>
          <c:max val="8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57222400"/>
        <c:crosses val="max"/>
        <c:crossBetween val="between"/>
      </c:valAx>
      <c:catAx>
        <c:axId val="357222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7222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[0]!Prod_Dia</c:f>
              <c:numCache>
                <c:formatCode>#,##0.0</c:formatCode>
                <c:ptCount val="396"/>
                <c:pt idx="0">
                  <c:v>3.8168256220002226</c:v>
                </c:pt>
                <c:pt idx="1">
                  <c:v>1.4380734259992314</c:v>
                </c:pt>
                <c:pt idx="2">
                  <c:v>2.975847520000082</c:v>
                </c:pt>
                <c:pt idx="3">
                  <c:v>4.1446258560001583</c:v>
                </c:pt>
                <c:pt idx="4">
                  <c:v>14.927450494000192</c:v>
                </c:pt>
                <c:pt idx="5">
                  <c:v>21.924414267999925</c:v>
                </c:pt>
                <c:pt idx="6">
                  <c:v>4.3516992580000657</c:v>
                </c:pt>
                <c:pt idx="7">
                  <c:v>4.9573860239996579</c:v>
                </c:pt>
                <c:pt idx="8">
                  <c:v>7.6060317239999868</c:v>
                </c:pt>
                <c:pt idx="9">
                  <c:v>11.689617402</c:v>
                </c:pt>
                <c:pt idx="10">
                  <c:v>5.4022796820006693</c:v>
                </c:pt>
                <c:pt idx="11">
                  <c:v>16.487690755999655</c:v>
                </c:pt>
                <c:pt idx="12">
                  <c:v>7.0919091539998513</c:v>
                </c:pt>
                <c:pt idx="13">
                  <c:v>3.661566798000119</c:v>
                </c:pt>
                <c:pt idx="14">
                  <c:v>10.475100337999793</c:v>
                </c:pt>
                <c:pt idx="15">
                  <c:v>3.1593870580005476</c:v>
                </c:pt>
                <c:pt idx="16">
                  <c:v>0.45896479200006796</c:v>
                </c:pt>
                <c:pt idx="17">
                  <c:v>9.4797988639998785</c:v>
                </c:pt>
                <c:pt idx="18">
                  <c:v>7.8928468739995994</c:v>
                </c:pt>
                <c:pt idx="19">
                  <c:v>12.568396003999778</c:v>
                </c:pt>
                <c:pt idx="20">
                  <c:v>5.658252427999896</c:v>
                </c:pt>
                <c:pt idx="21">
                  <c:v>4.5894439959999778</c:v>
                </c:pt>
                <c:pt idx="22">
                  <c:v>2.9210418860007135</c:v>
                </c:pt>
                <c:pt idx="23">
                  <c:v>4.626087771999992</c:v>
                </c:pt>
                <c:pt idx="24">
                  <c:v>6.1624998199996499</c:v>
                </c:pt>
                <c:pt idx="25">
                  <c:v>1.9062715880004926</c:v>
                </c:pt>
                <c:pt idx="26">
                  <c:v>21.763451713999657</c:v>
                </c:pt>
                <c:pt idx="27">
                  <c:v>1.9350464739997406</c:v>
                </c:pt>
                <c:pt idx="28">
                  <c:v>20.435218976000037</c:v>
                </c:pt>
                <c:pt idx="29">
                  <c:v>17.370576209999832</c:v>
                </c:pt>
                <c:pt idx="30">
                  <c:v>10.939863956000016</c:v>
                </c:pt>
                <c:pt idx="31">
                  <c:v>8.206970124000323</c:v>
                </c:pt>
                <c:pt idx="32">
                  <c:v>18.052470175999915</c:v>
                </c:pt>
                <c:pt idx="33">
                  <c:v>10.010554954000334</c:v>
                </c:pt>
                <c:pt idx="34">
                  <c:v>12.942998063999433</c:v>
                </c:pt>
                <c:pt idx="35">
                  <c:v>9.2383161040006758</c:v>
                </c:pt>
                <c:pt idx="36">
                  <c:v>5.956177771999533</c:v>
                </c:pt>
                <c:pt idx="37">
                  <c:v>8.1167387440001608</c:v>
                </c:pt>
                <c:pt idx="38">
                  <c:v>12.103987826000184</c:v>
                </c:pt>
                <c:pt idx="39">
                  <c:v>16.91100437399945</c:v>
                </c:pt>
                <c:pt idx="40">
                  <c:v>30.780945924000033</c:v>
                </c:pt>
                <c:pt idx="41">
                  <c:v>9.2367546279999591</c:v>
                </c:pt>
                <c:pt idx="42">
                  <c:v>2.1625062840003837</c:v>
                </c:pt>
                <c:pt idx="43">
                  <c:v>1.5955005419996415</c:v>
                </c:pt>
                <c:pt idx="44">
                  <c:v>1.929082758000388</c:v>
                </c:pt>
                <c:pt idx="45">
                  <c:v>1.4055502099996002</c:v>
                </c:pt>
                <c:pt idx="46">
                  <c:v>0.36852824000048984</c:v>
                </c:pt>
                <c:pt idx="47">
                  <c:v>12.750772416000249</c:v>
                </c:pt>
                <c:pt idx="48">
                  <c:v>13.657197353999779</c:v>
                </c:pt>
                <c:pt idx="49">
                  <c:v>7.8491512639997936</c:v>
                </c:pt>
                <c:pt idx="50">
                  <c:v>5.1132767800000929</c:v>
                </c:pt>
                <c:pt idx="51">
                  <c:v>9.2812838220002014</c:v>
                </c:pt>
                <c:pt idx="52">
                  <c:v>16.838750676000075</c:v>
                </c:pt>
                <c:pt idx="53">
                  <c:v>9.4011935739992651</c:v>
                </c:pt>
                <c:pt idx="54">
                  <c:v>14.334016136000541</c:v>
                </c:pt>
                <c:pt idx="55">
                  <c:v>6.2679970279997912</c:v>
                </c:pt>
                <c:pt idx="56">
                  <c:v>6.1972966640001896</c:v>
                </c:pt>
                <c:pt idx="57">
                  <c:v>2.0169837979996506</c:v>
                </c:pt>
                <c:pt idx="58">
                  <c:v>12.939576510000126</c:v>
                </c:pt>
                <c:pt idx="59">
                  <c:v>4.2383000019998347</c:v>
                </c:pt>
                <c:pt idx="60">
                  <c:v>17.541421690000611</c:v>
                </c:pt>
                <c:pt idx="61">
                  <c:v>18.704515311999913</c:v>
                </c:pt>
                <c:pt idx="62">
                  <c:v>7.9476282499992852</c:v>
                </c:pt>
                <c:pt idx="63">
                  <c:v>20.167072540000685</c:v>
                </c:pt>
                <c:pt idx="64">
                  <c:v>8.2272621300000424</c:v>
                </c:pt>
                <c:pt idx="65">
                  <c:v>4.618792947999232</c:v>
                </c:pt>
                <c:pt idx="66">
                  <c:v>23.979947690000003</c:v>
                </c:pt>
                <c:pt idx="67">
                  <c:v>8.6178349180003195</c:v>
                </c:pt>
                <c:pt idx="68">
                  <c:v>11.772894552000514</c:v>
                </c:pt>
                <c:pt idx="69">
                  <c:v>7.8747849579994647</c:v>
                </c:pt>
                <c:pt idx="70">
                  <c:v>13.134850287999672</c:v>
                </c:pt>
                <c:pt idx="71">
                  <c:v>3.1997314180002765</c:v>
                </c:pt>
                <c:pt idx="72">
                  <c:v>7.489909994000441</c:v>
                </c:pt>
                <c:pt idx="73">
                  <c:v>7.0782381979996591</c:v>
                </c:pt>
                <c:pt idx="74">
                  <c:v>6.2584046580004333</c:v>
                </c:pt>
                <c:pt idx="75">
                  <c:v>16.927156399999777</c:v>
                </c:pt>
                <c:pt idx="76">
                  <c:v>8.1017168120000012</c:v>
                </c:pt>
                <c:pt idx="77">
                  <c:v>5.3093006480000877</c:v>
                </c:pt>
                <c:pt idx="78">
                  <c:v>9.2630509999999404</c:v>
                </c:pt>
                <c:pt idx="79">
                  <c:v>13.121949748000079</c:v>
                </c:pt>
                <c:pt idx="80">
                  <c:v>31.441332551999668</c:v>
                </c:pt>
                <c:pt idx="81">
                  <c:v>28.556591200000469</c:v>
                </c:pt>
                <c:pt idx="82">
                  <c:v>21.152104345999373</c:v>
                </c:pt>
                <c:pt idx="83">
                  <c:v>13.914616522000234</c:v>
                </c:pt>
                <c:pt idx="84">
                  <c:v>16.208384197999635</c:v>
                </c:pt>
                <c:pt idx="85">
                  <c:v>15.650725930000466</c:v>
                </c:pt>
                <c:pt idx="86">
                  <c:v>11.03848122400008</c:v>
                </c:pt>
                <c:pt idx="87">
                  <c:v>13.911933183999464</c:v>
                </c:pt>
                <c:pt idx="88">
                  <c:v>7.4580657020006473</c:v>
                </c:pt>
                <c:pt idx="89">
                  <c:v>31.727150849999934</c:v>
                </c:pt>
                <c:pt idx="90">
                  <c:v>9.2012166319993884</c:v>
                </c:pt>
                <c:pt idx="91">
                  <c:v>8.7855625760004763</c:v>
                </c:pt>
                <c:pt idx="92">
                  <c:v>8.2103473059999565</c:v>
                </c:pt>
                <c:pt idx="93">
                  <c:v>9.3651794860003115</c:v>
                </c:pt>
                <c:pt idx="94">
                  <c:v>14.113379666000116</c:v>
                </c:pt>
                <c:pt idx="95">
                  <c:v>9.9491037799998292</c:v>
                </c:pt>
                <c:pt idx="96">
                  <c:v>28.843987403999993</c:v>
                </c:pt>
                <c:pt idx="97">
                  <c:v>25.576473809999584</c:v>
                </c:pt>
                <c:pt idx="98">
                  <c:v>15.436841493999896</c:v>
                </c:pt>
                <c:pt idx="99">
                  <c:v>2.1950885600001566</c:v>
                </c:pt>
                <c:pt idx="100">
                  <c:v>10.758405394000391</c:v>
                </c:pt>
                <c:pt idx="101">
                  <c:v>27.18471618199926</c:v>
                </c:pt>
                <c:pt idx="102">
                  <c:v>21.372766288000523</c:v>
                </c:pt>
                <c:pt idx="103">
                  <c:v>33.457879177999544</c:v>
                </c:pt>
                <c:pt idx="104">
                  <c:v>32.093920494000201</c:v>
                </c:pt>
                <c:pt idx="105">
                  <c:v>18.139776781999796</c:v>
                </c:pt>
                <c:pt idx="106">
                  <c:v>7.7859623420007376</c:v>
                </c:pt>
                <c:pt idx="107">
                  <c:v>14.535573775999961</c:v>
                </c:pt>
                <c:pt idx="108">
                  <c:v>12.580275401999382</c:v>
                </c:pt>
                <c:pt idx="109">
                  <c:v>33.068154081999971</c:v>
                </c:pt>
                <c:pt idx="110">
                  <c:v>22.931885048000126</c:v>
                </c:pt>
                <c:pt idx="111">
                  <c:v>15.904532910000347</c:v>
                </c:pt>
                <c:pt idx="112">
                  <c:v>13.025878311999739</c:v>
                </c:pt>
                <c:pt idx="113">
                  <c:v>10.57376741600031</c:v>
                </c:pt>
                <c:pt idx="114">
                  <c:v>17.985621332000253</c:v>
                </c:pt>
                <c:pt idx="115">
                  <c:v>17.956019549999681</c:v>
                </c:pt>
                <c:pt idx="116">
                  <c:v>23.836756611999604</c:v>
                </c:pt>
                <c:pt idx="117">
                  <c:v>26.105798189999813</c:v>
                </c:pt>
                <c:pt idx="118">
                  <c:v>8.1135639680006904</c:v>
                </c:pt>
                <c:pt idx="119">
                  <c:v>3.4256280719995829</c:v>
                </c:pt>
                <c:pt idx="120">
                  <c:v>26.152670303999869</c:v>
                </c:pt>
                <c:pt idx="121">
                  <c:v>17.432545392000581</c:v>
                </c:pt>
                <c:pt idx="122">
                  <c:v>8.8544509540000451</c:v>
                </c:pt>
                <c:pt idx="123">
                  <c:v>31.234745385999865</c:v>
                </c:pt>
                <c:pt idx="124">
                  <c:v>27.489775494000138</c:v>
                </c:pt>
                <c:pt idx="125">
                  <c:v>6.640168649999687</c:v>
                </c:pt>
                <c:pt idx="126">
                  <c:v>14.456189891999545</c:v>
                </c:pt>
                <c:pt idx="127">
                  <c:v>14.707701754000245</c:v>
                </c:pt>
                <c:pt idx="128">
                  <c:v>28.234186062000102</c:v>
                </c:pt>
                <c:pt idx="129">
                  <c:v>24.086839598000438</c:v>
                </c:pt>
                <c:pt idx="130">
                  <c:v>37.908427159999526</c:v>
                </c:pt>
                <c:pt idx="131">
                  <c:v>75.787528893999863</c:v>
                </c:pt>
                <c:pt idx="132">
                  <c:v>133.71425564600011</c:v>
                </c:pt>
                <c:pt idx="133">
                  <c:v>106.06486796800039</c:v>
                </c:pt>
                <c:pt idx="134">
                  <c:v>61.569184114000187</c:v>
                </c:pt>
                <c:pt idx="135">
                  <c:v>98.005116379999322</c:v>
                </c:pt>
                <c:pt idx="136">
                  <c:v>101.76139547400032</c:v>
                </c:pt>
                <c:pt idx="137">
                  <c:v>74.413492190000255</c:v>
                </c:pt>
                <c:pt idx="138">
                  <c:v>49.984638545999779</c:v>
                </c:pt>
                <c:pt idx="139">
                  <c:v>61.124411660000057</c:v>
                </c:pt>
                <c:pt idx="140">
                  <c:v>55.687786108000267</c:v>
                </c:pt>
                <c:pt idx="141">
                  <c:v>60.014038807999576</c:v>
                </c:pt>
                <c:pt idx="142">
                  <c:v>43.888313440000069</c:v>
                </c:pt>
                <c:pt idx="143">
                  <c:v>45.149051252000262</c:v>
                </c:pt>
                <c:pt idx="144">
                  <c:v>116.80852258400007</c:v>
                </c:pt>
                <c:pt idx="145">
                  <c:v>36.160617945999505</c:v>
                </c:pt>
                <c:pt idx="146">
                  <c:v>36.19546463200053</c:v>
                </c:pt>
                <c:pt idx="147">
                  <c:v>60.816156899999754</c:v>
                </c:pt>
                <c:pt idx="148">
                  <c:v>66.296639185999865</c:v>
                </c:pt>
                <c:pt idx="149">
                  <c:v>41.25654523999993</c:v>
                </c:pt>
                <c:pt idx="150">
                  <c:v>45.083249121999515</c:v>
                </c:pt>
                <c:pt idx="151">
                  <c:v>89.630860876000924</c:v>
                </c:pt>
                <c:pt idx="152">
                  <c:v>80.858669753999109</c:v>
                </c:pt>
                <c:pt idx="153">
                  <c:v>107.01719805200038</c:v>
                </c:pt>
                <c:pt idx="154">
                  <c:v>106.73138875999985</c:v>
                </c:pt>
                <c:pt idx="155">
                  <c:v>124.19056760000058</c:v>
                </c:pt>
                <c:pt idx="156">
                  <c:v>119.25147284599919</c:v>
                </c:pt>
                <c:pt idx="157">
                  <c:v>120.05119129400025</c:v>
                </c:pt>
                <c:pt idx="158">
                  <c:v>105.57671850599999</c:v>
                </c:pt>
                <c:pt idx="159">
                  <c:v>98.755893232000162</c:v>
                </c:pt>
                <c:pt idx="160">
                  <c:v>99.806716161999802</c:v>
                </c:pt>
                <c:pt idx="161">
                  <c:v>89.057788776000649</c:v>
                </c:pt>
                <c:pt idx="162">
                  <c:v>97.746319657999436</c:v>
                </c:pt>
                <c:pt idx="163">
                  <c:v>91.451193731999965</c:v>
                </c:pt>
                <c:pt idx="164">
                  <c:v>99.354976072000142</c:v>
                </c:pt>
                <c:pt idx="165">
                  <c:v>81.710791740000388</c:v>
                </c:pt>
                <c:pt idx="166">
                  <c:v>77.973660599999278</c:v>
                </c:pt>
                <c:pt idx="167">
                  <c:v>81.400291526000757</c:v>
                </c:pt>
                <c:pt idx="168">
                  <c:v>81.138783311999532</c:v>
                </c:pt>
                <c:pt idx="169">
                  <c:v>93.616283954000266</c:v>
                </c:pt>
                <c:pt idx="170">
                  <c:v>74.600712667999915</c:v>
                </c:pt>
                <c:pt idx="171">
                  <c:v>60.50250124600025</c:v>
                </c:pt>
                <c:pt idx="172">
                  <c:v>56.853155999999871</c:v>
                </c:pt>
                <c:pt idx="173">
                  <c:v>86.302323279999484</c:v>
                </c:pt>
                <c:pt idx="174">
                  <c:v>93.464488322000363</c:v>
                </c:pt>
                <c:pt idx="175">
                  <c:v>71.189762038000012</c:v>
                </c:pt>
                <c:pt idx="176">
                  <c:v>75.819592997999592</c:v>
                </c:pt>
                <c:pt idx="177">
                  <c:v>73.803920154000323</c:v>
                </c:pt>
                <c:pt idx="178">
                  <c:v>88.085838406000491</c:v>
                </c:pt>
                <c:pt idx="179">
                  <c:v>76.303520011999368</c:v>
                </c:pt>
                <c:pt idx="180">
                  <c:v>74.452592027999998</c:v>
                </c:pt>
                <c:pt idx="181">
                  <c:v>75.976408010000327</c:v>
                </c:pt>
                <c:pt idx="182">
                  <c:v>62.36761392399977</c:v>
                </c:pt>
                <c:pt idx="183">
                  <c:v>65.397373878000082</c:v>
                </c:pt>
                <c:pt idx="184">
                  <c:v>61.320107000000412</c:v>
                </c:pt>
                <c:pt idx="185">
                  <c:v>70.408047835999724</c:v>
                </c:pt>
                <c:pt idx="186">
                  <c:v>60.044947275999668</c:v>
                </c:pt>
                <c:pt idx="187">
                  <c:v>82.093600379999714</c:v>
                </c:pt>
                <c:pt idx="188">
                  <c:v>79.307979846000663</c:v>
                </c:pt>
                <c:pt idx="189">
                  <c:v>78.384310319999443</c:v>
                </c:pt>
                <c:pt idx="190">
                  <c:v>63.714278916000666</c:v>
                </c:pt>
                <c:pt idx="191">
                  <c:v>63.773546533999586</c:v>
                </c:pt>
                <c:pt idx="192">
                  <c:v>69.168721578000103</c:v>
                </c:pt>
                <c:pt idx="193">
                  <c:v>68.617211094000126</c:v>
                </c:pt>
                <c:pt idx="194">
                  <c:v>96.284544532000254</c:v>
                </c:pt>
                <c:pt idx="195">
                  <c:v>69.455795871999698</c:v>
                </c:pt>
                <c:pt idx="196">
                  <c:v>93.814750927999995</c:v>
                </c:pt>
                <c:pt idx="197">
                  <c:v>113.11947389800008</c:v>
                </c:pt>
                <c:pt idx="198">
                  <c:v>132.86094856600002</c:v>
                </c:pt>
                <c:pt idx="199">
                  <c:v>127.98583556600002</c:v>
                </c:pt>
                <c:pt idx="200">
                  <c:v>137.88671529399974</c:v>
                </c:pt>
                <c:pt idx="201">
                  <c:v>132.59916086599983</c:v>
                </c:pt>
                <c:pt idx="202">
                  <c:v>134.07246881600045</c:v>
                </c:pt>
                <c:pt idx="203">
                  <c:v>133.95991540599948</c:v>
                </c:pt>
                <c:pt idx="204">
                  <c:v>117.93145274400037</c:v>
                </c:pt>
                <c:pt idx="205">
                  <c:v>100.07782309400037</c:v>
                </c:pt>
                <c:pt idx="206">
                  <c:v>63.076357363999243</c:v>
                </c:pt>
                <c:pt idx="207">
                  <c:v>95.794510968000537</c:v>
                </c:pt>
                <c:pt idx="208">
                  <c:v>87.302452556000148</c:v>
                </c:pt>
                <c:pt idx="209">
                  <c:v>94.367169517999599</c:v>
                </c:pt>
                <c:pt idx="210">
                  <c:v>72.189071089999842</c:v>
                </c:pt>
                <c:pt idx="211">
                  <c:v>105.34451449199975</c:v>
                </c:pt>
                <c:pt idx="212">
                  <c:v>177.84236484800084</c:v>
                </c:pt>
                <c:pt idx="213">
                  <c:v>201.21331654199966</c:v>
                </c:pt>
                <c:pt idx="214">
                  <c:v>231.2695520580003</c:v>
                </c:pt>
                <c:pt idx="215">
                  <c:v>266.24853154999954</c:v>
                </c:pt>
                <c:pt idx="216">
                  <c:v>280.92749480800012</c:v>
                </c:pt>
                <c:pt idx="217">
                  <c:v>238.41332341399979</c:v>
                </c:pt>
                <c:pt idx="218">
                  <c:v>215.94878561599978</c:v>
                </c:pt>
                <c:pt idx="219">
                  <c:v>181.87081796600015</c:v>
                </c:pt>
                <c:pt idx="220">
                  <c:v>259.52632841599979</c:v>
                </c:pt>
                <c:pt idx="221">
                  <c:v>508.30870281800009</c:v>
                </c:pt>
                <c:pt idx="222">
                  <c:v>449.3443916520007</c:v>
                </c:pt>
                <c:pt idx="223">
                  <c:v>403.96196181799945</c:v>
                </c:pt>
                <c:pt idx="224">
                  <c:v>296.94879119600023</c:v>
                </c:pt>
                <c:pt idx="225">
                  <c:v>477.20425982599983</c:v>
                </c:pt>
                <c:pt idx="226">
                  <c:v>391.25128665199975</c:v>
                </c:pt>
                <c:pt idx="227">
                  <c:v>371.4945364660008</c:v>
                </c:pt>
                <c:pt idx="228">
                  <c:v>365.9887692500003</c:v>
                </c:pt>
                <c:pt idx="229">
                  <c:v>320.52866902999887</c:v>
                </c:pt>
                <c:pt idx="230">
                  <c:v>319.05099580199982</c:v>
                </c:pt>
                <c:pt idx="231">
                  <c:v>243.51388871799972</c:v>
                </c:pt>
                <c:pt idx="232">
                  <c:v>212.09023434800108</c:v>
                </c:pt>
                <c:pt idx="233">
                  <c:v>258.98466436999956</c:v>
                </c:pt>
                <c:pt idx="234">
                  <c:v>223.58447867200002</c:v>
                </c:pt>
                <c:pt idx="235">
                  <c:v>227.46795467600012</c:v>
                </c:pt>
                <c:pt idx="236">
                  <c:v>197.46003954999972</c:v>
                </c:pt>
                <c:pt idx="237">
                  <c:v>175.2711053020009</c:v>
                </c:pt>
                <c:pt idx="238">
                  <c:v>197.21633737199971</c:v>
                </c:pt>
                <c:pt idx="239">
                  <c:v>183.23074393400037</c:v>
                </c:pt>
                <c:pt idx="240">
                  <c:v>190.70274734999958</c:v>
                </c:pt>
                <c:pt idx="241">
                  <c:v>202.95921934199893</c:v>
                </c:pt>
                <c:pt idx="242">
                  <c:v>207.65022919400008</c:v>
                </c:pt>
                <c:pt idx="243">
                  <c:v>180.1779771360001</c:v>
                </c:pt>
                <c:pt idx="244">
                  <c:v>206.09566746400034</c:v>
                </c:pt>
                <c:pt idx="245">
                  <c:v>216.60406777199995</c:v>
                </c:pt>
                <c:pt idx="246">
                  <c:v>250.18848915600012</c:v>
                </c:pt>
                <c:pt idx="247">
                  <c:v>195.87765150199959</c:v>
                </c:pt>
                <c:pt idx="248">
                  <c:v>212.39436045800008</c:v>
                </c:pt>
                <c:pt idx="249">
                  <c:v>220.86361666800002</c:v>
                </c:pt>
                <c:pt idx="250">
                  <c:v>216.13327302600061</c:v>
                </c:pt>
                <c:pt idx="251">
                  <c:v>334.93295785799927</c:v>
                </c:pt>
                <c:pt idx="252">
                  <c:v>294.37602051600055</c:v>
                </c:pt>
                <c:pt idx="253">
                  <c:v>235.15734599800001</c:v>
                </c:pt>
                <c:pt idx="254">
                  <c:v>308.46663389200057</c:v>
                </c:pt>
                <c:pt idx="255">
                  <c:v>282.15263153599909</c:v>
                </c:pt>
                <c:pt idx="256">
                  <c:v>249.16407000800029</c:v>
                </c:pt>
                <c:pt idx="257">
                  <c:v>240.53084356599945</c:v>
                </c:pt>
                <c:pt idx="258">
                  <c:v>294.79101259800137</c:v>
                </c:pt>
                <c:pt idx="259">
                  <c:v>272.17601526600009</c:v>
                </c:pt>
                <c:pt idx="260">
                  <c:v>249.62302130199927</c:v>
                </c:pt>
                <c:pt idx="261">
                  <c:v>265.68243051200056</c:v>
                </c:pt>
                <c:pt idx="262">
                  <c:v>247.99493344799862</c:v>
                </c:pt>
                <c:pt idx="263">
                  <c:v>221.08185609600059</c:v>
                </c:pt>
                <c:pt idx="264">
                  <c:v>211.49666788000064</c:v>
                </c:pt>
                <c:pt idx="265">
                  <c:v>195.82711338799999</c:v>
                </c:pt>
                <c:pt idx="266">
                  <c:v>189.65950698399868</c:v>
                </c:pt>
                <c:pt idx="267">
                  <c:v>188.47121192400013</c:v>
                </c:pt>
                <c:pt idx="268">
                  <c:v>206.04346000400139</c:v>
                </c:pt>
                <c:pt idx="269">
                  <c:v>187.73323937799853</c:v>
                </c:pt>
                <c:pt idx="270">
                  <c:v>172.92096333800154</c:v>
                </c:pt>
                <c:pt idx="271">
                  <c:v>178.40271254399872</c:v>
                </c:pt>
                <c:pt idx="272">
                  <c:v>184.24671902800131</c:v>
                </c:pt>
                <c:pt idx="273">
                  <c:v>162.62139220799986</c:v>
                </c:pt>
                <c:pt idx="274">
                  <c:v>129.33470725199848</c:v>
                </c:pt>
                <c:pt idx="275">
                  <c:v>130.67415226000128</c:v>
                </c:pt>
                <c:pt idx="276">
                  <c:v>133.53077605199883</c:v>
                </c:pt>
                <c:pt idx="277">
                  <c:v>122.01502003200133</c:v>
                </c:pt>
                <c:pt idx="278">
                  <c:v>137.70207570200012</c:v>
                </c:pt>
                <c:pt idx="279">
                  <c:v>104.67893061999892</c:v>
                </c:pt>
                <c:pt idx="280">
                  <c:v>144.64593666000002</c:v>
                </c:pt>
                <c:pt idx="281">
                  <c:v>131.46211709399992</c:v>
                </c:pt>
                <c:pt idx="282">
                  <c:v>120.06027501200124</c:v>
                </c:pt>
                <c:pt idx="283">
                  <c:v>101.69412799999904</c:v>
                </c:pt>
                <c:pt idx="284">
                  <c:v>136.71276595999944</c:v>
                </c:pt>
                <c:pt idx="285">
                  <c:v>128.57641445799976</c:v>
                </c:pt>
                <c:pt idx="286">
                  <c:v>129.40926332800001</c:v>
                </c:pt>
                <c:pt idx="287">
                  <c:v>99.633403692001764</c:v>
                </c:pt>
                <c:pt idx="288">
                  <c:v>89.53252367199832</c:v>
                </c:pt>
                <c:pt idx="289">
                  <c:v>87.690675502001014</c:v>
                </c:pt>
                <c:pt idx="290">
                  <c:v>85.365028687999157</c:v>
                </c:pt>
                <c:pt idx="291">
                  <c:v>106.91501158400048</c:v>
                </c:pt>
                <c:pt idx="292">
                  <c:v>94.498085524000132</c:v>
                </c:pt>
                <c:pt idx="293">
                  <c:v>111.66420437600006</c:v>
                </c:pt>
                <c:pt idx="294">
                  <c:v>105.49031820600081</c:v>
                </c:pt>
                <c:pt idx="295">
                  <c:v>86.771898835999281</c:v>
                </c:pt>
                <c:pt idx="296">
                  <c:v>113.33406326600067</c:v>
                </c:pt>
                <c:pt idx="297">
                  <c:v>105.60525400799881</c:v>
                </c:pt>
                <c:pt idx="298">
                  <c:v>133.78903350000027</c:v>
                </c:pt>
                <c:pt idx="299">
                  <c:v>111.33093025200046</c:v>
                </c:pt>
                <c:pt idx="300">
                  <c:v>131.28679254600058</c:v>
                </c:pt>
                <c:pt idx="301">
                  <c:v>195.54347330799871</c:v>
                </c:pt>
                <c:pt idx="302">
                  <c:v>100.98178129200043</c:v>
                </c:pt>
                <c:pt idx="303">
                  <c:v>133.8371004339995</c:v>
                </c:pt>
                <c:pt idx="304">
                  <c:v>132.96366703799978</c:v>
                </c:pt>
                <c:pt idx="305">
                  <c:v>110.02470957600039</c:v>
                </c:pt>
                <c:pt idx="306">
                  <c:v>132.97998542200034</c:v>
                </c:pt>
                <c:pt idx="307">
                  <c:v>124.64686112600039</c:v>
                </c:pt>
                <c:pt idx="308">
                  <c:v>107.88153764799873</c:v>
                </c:pt>
                <c:pt idx="309">
                  <c:v>151.11151027200125</c:v>
                </c:pt>
                <c:pt idx="310">
                  <c:v>121.60062815199908</c:v>
                </c:pt>
                <c:pt idx="311">
                  <c:v>155.11982997000078</c:v>
                </c:pt>
                <c:pt idx="312">
                  <c:v>156.27977458999919</c:v>
                </c:pt>
                <c:pt idx="313">
                  <c:v>159.36620024999965</c:v>
                </c:pt>
                <c:pt idx="314">
                  <c:v>172.01672285200101</c:v>
                </c:pt>
                <c:pt idx="315">
                  <c:v>141.66421100799982</c:v>
                </c:pt>
                <c:pt idx="316">
                  <c:v>133.43487626200044</c:v>
                </c:pt>
                <c:pt idx="317">
                  <c:v>154.90469182799879</c:v>
                </c:pt>
                <c:pt idx="318">
                  <c:v>126.21470540400162</c:v>
                </c:pt>
                <c:pt idx="319">
                  <c:v>134.77780512799947</c:v>
                </c:pt>
                <c:pt idx="320">
                  <c:v>102.05139265599894</c:v>
                </c:pt>
                <c:pt idx="321">
                  <c:v>132.33437980799994</c:v>
                </c:pt>
                <c:pt idx="322">
                  <c:v>94.171101128000387</c:v>
                </c:pt>
                <c:pt idx="323">
                  <c:v>98.795849891999765</c:v>
                </c:pt>
                <c:pt idx="324">
                  <c:v>94.224907864000983</c:v>
                </c:pt>
                <c:pt idx="325">
                  <c:v>97.469921735998838</c:v>
                </c:pt>
                <c:pt idx="326">
                  <c:v>69.649160008001445</c:v>
                </c:pt>
                <c:pt idx="327">
                  <c:v>80.367859501998751</c:v>
                </c:pt>
                <c:pt idx="328">
                  <c:v>98.901564599999816</c:v>
                </c:pt>
                <c:pt idx="329">
                  <c:v>80.19735024600098</c:v>
                </c:pt>
                <c:pt idx="330">
                  <c:v>70.425872656000195</c:v>
                </c:pt>
                <c:pt idx="331">
                  <c:v>74.987692204000325</c:v>
                </c:pt>
                <c:pt idx="332">
                  <c:v>83.4291574979991</c:v>
                </c:pt>
                <c:pt idx="333">
                  <c:v>93.082309259999334</c:v>
                </c:pt>
                <c:pt idx="334">
                  <c:v>90.131773070001231</c:v>
                </c:pt>
                <c:pt idx="335">
                  <c:v>94.760768355998906</c:v>
                </c:pt>
                <c:pt idx="336">
                  <c:v>93.842297732000432</c:v>
                </c:pt>
                <c:pt idx="337">
                  <c:v>94.149952398000096</c:v>
                </c:pt>
                <c:pt idx="338">
                  <c:v>77.296368566000467</c:v>
                </c:pt>
                <c:pt idx="339">
                  <c:v>92.875753238000357</c:v>
                </c:pt>
                <c:pt idx="340">
                  <c:v>64.261216319999875</c:v>
                </c:pt>
                <c:pt idx="341">
                  <c:v>24.716353867999551</c:v>
                </c:pt>
                <c:pt idx="342">
                  <c:v>46.4146000300004</c:v>
                </c:pt>
                <c:pt idx="343">
                  <c:v>45.172857876000215</c:v>
                </c:pt>
                <c:pt idx="344">
                  <c:v>30.994069144000303</c:v>
                </c:pt>
                <c:pt idx="345">
                  <c:v>40.737201909999783</c:v>
                </c:pt>
                <c:pt idx="346">
                  <c:v>37.329789595998761</c:v>
                </c:pt>
                <c:pt idx="347">
                  <c:v>22.772419530000583</c:v>
                </c:pt>
                <c:pt idx="348">
                  <c:v>6.2785188000008487</c:v>
                </c:pt>
                <c:pt idx="349">
                  <c:v>5.4556000679984056</c:v>
                </c:pt>
                <c:pt idx="350">
                  <c:v>3.9724412060000476</c:v>
                </c:pt>
                <c:pt idx="351">
                  <c:v>3.7361233500001108</c:v>
                </c:pt>
                <c:pt idx="352">
                  <c:v>4.6322311500002078</c:v>
                </c:pt>
                <c:pt idx="353">
                  <c:v>3.2982522739994731</c:v>
                </c:pt>
                <c:pt idx="354">
                  <c:v>2.2836742700016854</c:v>
                </c:pt>
                <c:pt idx="355">
                  <c:v>7.3464206419999352</c:v>
                </c:pt>
                <c:pt idx="356">
                  <c:v>70.860600533999857</c:v>
                </c:pt>
                <c:pt idx="357">
                  <c:v>63.719056888000239</c:v>
                </c:pt>
                <c:pt idx="358">
                  <c:v>57.271601689998739</c:v>
                </c:pt>
                <c:pt idx="359">
                  <c:v>55.740360548000467</c:v>
                </c:pt>
                <c:pt idx="360">
                  <c:v>55.486583313999169</c:v>
                </c:pt>
                <c:pt idx="361">
                  <c:v>49.132368298001701</c:v>
                </c:pt>
                <c:pt idx="362">
                  <c:v>44.772447007999233</c:v>
                </c:pt>
                <c:pt idx="363">
                  <c:v>52.703040232000383</c:v>
                </c:pt>
                <c:pt idx="364">
                  <c:v>42.960769079999324</c:v>
                </c:pt>
                <c:pt idx="365">
                  <c:v>25.035018199496371</c:v>
                </c:pt>
                <c:pt idx="366">
                  <c:v>35.968318199496366</c:v>
                </c:pt>
                <c:pt idx="367">
                  <c:v>52.828618199496368</c:v>
                </c:pt>
                <c:pt idx="368">
                  <c:v>27.271118199496371</c:v>
                </c:pt>
                <c:pt idx="369">
                  <c:v>17.687418199496367</c:v>
                </c:pt>
                <c:pt idx="370">
                  <c:v>32.036118199496372</c:v>
                </c:pt>
                <c:pt idx="371">
                  <c:v>22.094218199496368</c:v>
                </c:pt>
                <c:pt idx="372">
                  <c:v>24.628302061187942</c:v>
                </c:pt>
                <c:pt idx="373">
                  <c:v>20.566302061187933</c:v>
                </c:pt>
                <c:pt idx="374">
                  <c:v>8.0199020611879366</c:v>
                </c:pt>
                <c:pt idx="375">
                  <c:v>17.499902061187935</c:v>
                </c:pt>
                <c:pt idx="376">
                  <c:v>7.5673020611879398</c:v>
                </c:pt>
                <c:pt idx="377">
                  <c:v>13.192602061187936</c:v>
                </c:pt>
                <c:pt idx="378">
                  <c:v>12.919802061187941</c:v>
                </c:pt>
                <c:pt idx="379">
                  <c:v>12.178714814990641</c:v>
                </c:pt>
                <c:pt idx="380">
                  <c:v>23.562814814990649</c:v>
                </c:pt>
                <c:pt idx="381">
                  <c:v>6.7623148149906438</c:v>
                </c:pt>
                <c:pt idx="382">
                  <c:v>6.7385148149906433</c:v>
                </c:pt>
                <c:pt idx="383">
                  <c:v>3.9178148149906398</c:v>
                </c:pt>
                <c:pt idx="384">
                  <c:v>32.815714814990642</c:v>
                </c:pt>
                <c:pt idx="385">
                  <c:v>30.454414814990642</c:v>
                </c:pt>
                <c:pt idx="386">
                  <c:v>31.982784291090635</c:v>
                </c:pt>
                <c:pt idx="387">
                  <c:v>36.040784291090631</c:v>
                </c:pt>
                <c:pt idx="388">
                  <c:v>17.345684291090635</c:v>
                </c:pt>
                <c:pt idx="389">
                  <c:v>7.2198842910905947</c:v>
                </c:pt>
                <c:pt idx="390">
                  <c:v>15.400084291090597</c:v>
                </c:pt>
                <c:pt idx="391">
                  <c:v>15.18108429109059</c:v>
                </c:pt>
                <c:pt idx="392">
                  <c:v>22.626584291090591</c:v>
                </c:pt>
                <c:pt idx="393">
                  <c:v>24.604703775277656</c:v>
                </c:pt>
                <c:pt idx="394">
                  <c:v>32.481503775277645</c:v>
                </c:pt>
                <c:pt idx="395">
                  <c:v>19.045903775277651</c:v>
                </c:pt>
              </c:numCache>
            </c:numRef>
          </c:val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[0]!Prod_Med</c:f>
              <c:numCache>
                <c:formatCode>#,##0.0</c:formatCode>
                <c:ptCount val="396"/>
                <c:pt idx="0">
                  <c:v>18.209588883748388</c:v>
                </c:pt>
                <c:pt idx="1">
                  <c:v>18.209588883748388</c:v>
                </c:pt>
                <c:pt idx="2">
                  <c:v>18.209588883748388</c:v>
                </c:pt>
                <c:pt idx="3">
                  <c:v>18.209588883748388</c:v>
                </c:pt>
                <c:pt idx="4">
                  <c:v>18.209588883748388</c:v>
                </c:pt>
                <c:pt idx="5">
                  <c:v>18.209588883748388</c:v>
                </c:pt>
                <c:pt idx="6">
                  <c:v>18.209588883748388</c:v>
                </c:pt>
                <c:pt idx="7">
                  <c:v>18.209588883748388</c:v>
                </c:pt>
                <c:pt idx="8">
                  <c:v>18.209588883748388</c:v>
                </c:pt>
                <c:pt idx="9">
                  <c:v>18.209588883748388</c:v>
                </c:pt>
                <c:pt idx="10">
                  <c:v>18.209588883748388</c:v>
                </c:pt>
                <c:pt idx="11">
                  <c:v>18.209588883748388</c:v>
                </c:pt>
                <c:pt idx="12">
                  <c:v>18.209588883748388</c:v>
                </c:pt>
                <c:pt idx="13">
                  <c:v>18.209588883748388</c:v>
                </c:pt>
                <c:pt idx="14">
                  <c:v>18.209588883748388</c:v>
                </c:pt>
                <c:pt idx="15">
                  <c:v>18.209588883748388</c:v>
                </c:pt>
                <c:pt idx="16">
                  <c:v>18.209588883748388</c:v>
                </c:pt>
                <c:pt idx="17">
                  <c:v>18.209588883748388</c:v>
                </c:pt>
                <c:pt idx="18">
                  <c:v>18.209588883748388</c:v>
                </c:pt>
                <c:pt idx="19">
                  <c:v>18.209588883748388</c:v>
                </c:pt>
                <c:pt idx="20">
                  <c:v>18.209588883748388</c:v>
                </c:pt>
                <c:pt idx="21">
                  <c:v>18.209588883748388</c:v>
                </c:pt>
                <c:pt idx="22">
                  <c:v>18.209588883748388</c:v>
                </c:pt>
                <c:pt idx="23">
                  <c:v>18.209588883748388</c:v>
                </c:pt>
                <c:pt idx="24">
                  <c:v>18.209588883748388</c:v>
                </c:pt>
                <c:pt idx="25">
                  <c:v>18.209588883748388</c:v>
                </c:pt>
                <c:pt idx="26">
                  <c:v>18.209588883748388</c:v>
                </c:pt>
                <c:pt idx="27">
                  <c:v>18.209588883748388</c:v>
                </c:pt>
                <c:pt idx="28">
                  <c:v>18.209588883748388</c:v>
                </c:pt>
                <c:pt idx="29">
                  <c:v>18.209588883748388</c:v>
                </c:pt>
                <c:pt idx="30">
                  <c:v>18.209588883748388</c:v>
                </c:pt>
                <c:pt idx="31">
                  <c:v>23.816136999456674</c:v>
                </c:pt>
                <c:pt idx="32">
                  <c:v>23.816136999456674</c:v>
                </c:pt>
                <c:pt idx="33">
                  <c:v>23.816136999456674</c:v>
                </c:pt>
                <c:pt idx="34">
                  <c:v>23.816136999456674</c:v>
                </c:pt>
                <c:pt idx="35">
                  <c:v>23.816136999456674</c:v>
                </c:pt>
                <c:pt idx="36">
                  <c:v>23.816136999456674</c:v>
                </c:pt>
                <c:pt idx="37">
                  <c:v>23.816136999456674</c:v>
                </c:pt>
                <c:pt idx="38">
                  <c:v>23.816136999456674</c:v>
                </c:pt>
                <c:pt idx="39">
                  <c:v>23.816136999456674</c:v>
                </c:pt>
                <c:pt idx="40">
                  <c:v>23.816136999456674</c:v>
                </c:pt>
                <c:pt idx="41">
                  <c:v>23.816136999456674</c:v>
                </c:pt>
                <c:pt idx="42">
                  <c:v>23.816136999456674</c:v>
                </c:pt>
                <c:pt idx="43">
                  <c:v>23.816136999456674</c:v>
                </c:pt>
                <c:pt idx="44">
                  <c:v>23.816136999456674</c:v>
                </c:pt>
                <c:pt idx="45">
                  <c:v>23.816136999456674</c:v>
                </c:pt>
                <c:pt idx="46">
                  <c:v>23.816136999456674</c:v>
                </c:pt>
                <c:pt idx="47">
                  <c:v>23.816136999456674</c:v>
                </c:pt>
                <c:pt idx="48">
                  <c:v>23.816136999456674</c:v>
                </c:pt>
                <c:pt idx="49">
                  <c:v>23.816136999456674</c:v>
                </c:pt>
                <c:pt idx="50">
                  <c:v>23.816136999456674</c:v>
                </c:pt>
                <c:pt idx="51">
                  <c:v>23.816136999456674</c:v>
                </c:pt>
                <c:pt idx="52">
                  <c:v>23.816136999456674</c:v>
                </c:pt>
                <c:pt idx="53">
                  <c:v>23.816136999456674</c:v>
                </c:pt>
                <c:pt idx="54">
                  <c:v>23.816136999456674</c:v>
                </c:pt>
                <c:pt idx="55">
                  <c:v>23.816136999456674</c:v>
                </c:pt>
                <c:pt idx="56">
                  <c:v>23.816136999456674</c:v>
                </c:pt>
                <c:pt idx="57">
                  <c:v>23.816136999456674</c:v>
                </c:pt>
                <c:pt idx="58">
                  <c:v>23.816136999456674</c:v>
                </c:pt>
                <c:pt idx="59">
                  <c:v>23.816136999456674</c:v>
                </c:pt>
                <c:pt idx="60">
                  <c:v>23.816136999456674</c:v>
                </c:pt>
                <c:pt idx="61">
                  <c:v>46.965055529077411</c:v>
                </c:pt>
                <c:pt idx="62">
                  <c:v>46.965055529077411</c:v>
                </c:pt>
                <c:pt idx="63">
                  <c:v>46.965055529077411</c:v>
                </c:pt>
                <c:pt idx="64">
                  <c:v>46.965055529077411</c:v>
                </c:pt>
                <c:pt idx="65">
                  <c:v>46.965055529077411</c:v>
                </c:pt>
                <c:pt idx="66">
                  <c:v>46.965055529077411</c:v>
                </c:pt>
                <c:pt idx="67">
                  <c:v>46.965055529077411</c:v>
                </c:pt>
                <c:pt idx="68">
                  <c:v>46.965055529077411</c:v>
                </c:pt>
                <c:pt idx="69">
                  <c:v>46.965055529077411</c:v>
                </c:pt>
                <c:pt idx="70">
                  <c:v>46.965055529077411</c:v>
                </c:pt>
                <c:pt idx="71">
                  <c:v>46.965055529077411</c:v>
                </c:pt>
                <c:pt idx="72">
                  <c:v>46.965055529077411</c:v>
                </c:pt>
                <c:pt idx="73">
                  <c:v>46.965055529077411</c:v>
                </c:pt>
                <c:pt idx="74">
                  <c:v>46.965055529077411</c:v>
                </c:pt>
                <c:pt idx="75">
                  <c:v>46.965055529077411</c:v>
                </c:pt>
                <c:pt idx="76">
                  <c:v>46.965055529077411</c:v>
                </c:pt>
                <c:pt idx="77">
                  <c:v>46.965055529077411</c:v>
                </c:pt>
                <c:pt idx="78">
                  <c:v>46.965055529077411</c:v>
                </c:pt>
                <c:pt idx="79">
                  <c:v>46.965055529077411</c:v>
                </c:pt>
                <c:pt idx="80">
                  <c:v>46.965055529077411</c:v>
                </c:pt>
                <c:pt idx="81">
                  <c:v>46.965055529077411</c:v>
                </c:pt>
                <c:pt idx="82">
                  <c:v>46.965055529077411</c:v>
                </c:pt>
                <c:pt idx="83">
                  <c:v>46.965055529077411</c:v>
                </c:pt>
                <c:pt idx="84">
                  <c:v>46.965055529077411</c:v>
                </c:pt>
                <c:pt idx="85">
                  <c:v>46.965055529077411</c:v>
                </c:pt>
                <c:pt idx="86">
                  <c:v>46.965055529077411</c:v>
                </c:pt>
                <c:pt idx="87">
                  <c:v>46.965055529077411</c:v>
                </c:pt>
                <c:pt idx="88">
                  <c:v>46.965055529077411</c:v>
                </c:pt>
                <c:pt idx="89">
                  <c:v>46.965055529077411</c:v>
                </c:pt>
                <c:pt idx="90">
                  <c:v>46.965055529077411</c:v>
                </c:pt>
                <c:pt idx="91">
                  <c:v>46.965055529077411</c:v>
                </c:pt>
                <c:pt idx="92">
                  <c:v>89.734800765303333</c:v>
                </c:pt>
                <c:pt idx="93">
                  <c:v>89.734800765303333</c:v>
                </c:pt>
                <c:pt idx="94">
                  <c:v>89.734800765303333</c:v>
                </c:pt>
                <c:pt idx="95">
                  <c:v>89.734800765303333</c:v>
                </c:pt>
                <c:pt idx="96">
                  <c:v>89.734800765303333</c:v>
                </c:pt>
                <c:pt idx="97">
                  <c:v>89.734800765303333</c:v>
                </c:pt>
                <c:pt idx="98">
                  <c:v>89.734800765303333</c:v>
                </c:pt>
                <c:pt idx="99">
                  <c:v>89.734800765303333</c:v>
                </c:pt>
                <c:pt idx="100">
                  <c:v>89.734800765303333</c:v>
                </c:pt>
                <c:pt idx="101">
                  <c:v>89.734800765303333</c:v>
                </c:pt>
                <c:pt idx="102">
                  <c:v>89.734800765303333</c:v>
                </c:pt>
                <c:pt idx="103">
                  <c:v>89.734800765303333</c:v>
                </c:pt>
                <c:pt idx="104">
                  <c:v>89.734800765303333</c:v>
                </c:pt>
                <c:pt idx="105">
                  <c:v>89.734800765303333</c:v>
                </c:pt>
                <c:pt idx="106">
                  <c:v>89.734800765303333</c:v>
                </c:pt>
                <c:pt idx="107">
                  <c:v>89.734800765303333</c:v>
                </c:pt>
                <c:pt idx="108">
                  <c:v>89.734800765303333</c:v>
                </c:pt>
                <c:pt idx="109">
                  <c:v>89.734800765303333</c:v>
                </c:pt>
                <c:pt idx="110">
                  <c:v>89.734800765303333</c:v>
                </c:pt>
                <c:pt idx="111">
                  <c:v>89.734800765303333</c:v>
                </c:pt>
                <c:pt idx="112">
                  <c:v>89.734800765303333</c:v>
                </c:pt>
                <c:pt idx="113">
                  <c:v>89.734800765303333</c:v>
                </c:pt>
                <c:pt idx="114">
                  <c:v>89.734800765303333</c:v>
                </c:pt>
                <c:pt idx="115">
                  <c:v>89.734800765303333</c:v>
                </c:pt>
                <c:pt idx="116">
                  <c:v>89.734800765303333</c:v>
                </c:pt>
                <c:pt idx="117">
                  <c:v>89.734800765303333</c:v>
                </c:pt>
                <c:pt idx="118">
                  <c:v>89.734800765303333</c:v>
                </c:pt>
                <c:pt idx="119">
                  <c:v>89.734800765303333</c:v>
                </c:pt>
                <c:pt idx="120">
                  <c:v>89.734800765303333</c:v>
                </c:pt>
                <c:pt idx="121">
                  <c:v>89.734800765303333</c:v>
                </c:pt>
                <c:pt idx="122">
                  <c:v>112.02604617689678</c:v>
                </c:pt>
                <c:pt idx="123">
                  <c:v>112.02604617689678</c:v>
                </c:pt>
                <c:pt idx="124">
                  <c:v>112.02604617689678</c:v>
                </c:pt>
                <c:pt idx="125">
                  <c:v>112.02604617689678</c:v>
                </c:pt>
                <c:pt idx="126">
                  <c:v>112.02604617689678</c:v>
                </c:pt>
                <c:pt idx="127">
                  <c:v>112.02604617689678</c:v>
                </c:pt>
                <c:pt idx="128">
                  <c:v>112.02604617689678</c:v>
                </c:pt>
                <c:pt idx="129">
                  <c:v>112.02604617689678</c:v>
                </c:pt>
                <c:pt idx="130">
                  <c:v>112.02604617689678</c:v>
                </c:pt>
                <c:pt idx="131">
                  <c:v>112.02604617689678</c:v>
                </c:pt>
                <c:pt idx="132">
                  <c:v>112.02604617689678</c:v>
                </c:pt>
                <c:pt idx="133">
                  <c:v>112.02604617689678</c:v>
                </c:pt>
                <c:pt idx="134">
                  <c:v>112.02604617689678</c:v>
                </c:pt>
                <c:pt idx="135">
                  <c:v>112.02604617689678</c:v>
                </c:pt>
                <c:pt idx="136">
                  <c:v>112.02604617689678</c:v>
                </c:pt>
                <c:pt idx="137">
                  <c:v>112.02604617689678</c:v>
                </c:pt>
                <c:pt idx="138">
                  <c:v>112.02604617689678</c:v>
                </c:pt>
                <c:pt idx="139">
                  <c:v>112.02604617689678</c:v>
                </c:pt>
                <c:pt idx="140">
                  <c:v>112.02604617689678</c:v>
                </c:pt>
                <c:pt idx="141">
                  <c:v>112.02604617689678</c:v>
                </c:pt>
                <c:pt idx="142">
                  <c:v>112.02604617689678</c:v>
                </c:pt>
                <c:pt idx="143">
                  <c:v>112.02604617689678</c:v>
                </c:pt>
                <c:pt idx="144">
                  <c:v>112.02604617689678</c:v>
                </c:pt>
                <c:pt idx="145">
                  <c:v>112.02604617689678</c:v>
                </c:pt>
                <c:pt idx="146">
                  <c:v>112.02604617689678</c:v>
                </c:pt>
                <c:pt idx="147">
                  <c:v>112.02604617689678</c:v>
                </c:pt>
                <c:pt idx="148">
                  <c:v>112.02604617689678</c:v>
                </c:pt>
                <c:pt idx="149">
                  <c:v>112.02604617689678</c:v>
                </c:pt>
                <c:pt idx="150">
                  <c:v>112.02604617689678</c:v>
                </c:pt>
                <c:pt idx="151">
                  <c:v>112.02604617689678</c:v>
                </c:pt>
                <c:pt idx="152">
                  <c:v>112.02604617689678</c:v>
                </c:pt>
                <c:pt idx="153">
                  <c:v>124.98280708097418</c:v>
                </c:pt>
                <c:pt idx="154">
                  <c:v>124.98280708097418</c:v>
                </c:pt>
                <c:pt idx="155">
                  <c:v>124.98280708097418</c:v>
                </c:pt>
                <c:pt idx="156">
                  <c:v>124.98280708097418</c:v>
                </c:pt>
                <c:pt idx="157">
                  <c:v>124.98280708097418</c:v>
                </c:pt>
                <c:pt idx="158">
                  <c:v>124.98280708097418</c:v>
                </c:pt>
                <c:pt idx="159">
                  <c:v>124.98280708097418</c:v>
                </c:pt>
                <c:pt idx="160">
                  <c:v>124.98280708097418</c:v>
                </c:pt>
                <c:pt idx="161">
                  <c:v>124.98280708097418</c:v>
                </c:pt>
                <c:pt idx="162">
                  <c:v>124.98280708097418</c:v>
                </c:pt>
                <c:pt idx="163">
                  <c:v>124.98280708097418</c:v>
                </c:pt>
                <c:pt idx="164">
                  <c:v>124.98280708097418</c:v>
                </c:pt>
                <c:pt idx="165">
                  <c:v>124.98280708097418</c:v>
                </c:pt>
                <c:pt idx="166">
                  <c:v>124.98280708097418</c:v>
                </c:pt>
                <c:pt idx="167">
                  <c:v>124.98280708097418</c:v>
                </c:pt>
                <c:pt idx="168">
                  <c:v>124.98280708097418</c:v>
                </c:pt>
                <c:pt idx="169">
                  <c:v>124.98280708097418</c:v>
                </c:pt>
                <c:pt idx="170">
                  <c:v>124.98280708097418</c:v>
                </c:pt>
                <c:pt idx="171">
                  <c:v>124.98280708097418</c:v>
                </c:pt>
                <c:pt idx="172">
                  <c:v>124.98280708097418</c:v>
                </c:pt>
                <c:pt idx="173">
                  <c:v>124.98280708097418</c:v>
                </c:pt>
                <c:pt idx="174">
                  <c:v>124.98280708097418</c:v>
                </c:pt>
                <c:pt idx="175">
                  <c:v>124.98280708097418</c:v>
                </c:pt>
                <c:pt idx="176">
                  <c:v>124.98280708097418</c:v>
                </c:pt>
                <c:pt idx="177">
                  <c:v>124.98280708097418</c:v>
                </c:pt>
                <c:pt idx="178">
                  <c:v>124.98280708097418</c:v>
                </c:pt>
                <c:pt idx="179">
                  <c:v>124.98280708097418</c:v>
                </c:pt>
                <c:pt idx="180">
                  <c:v>124.98280708097418</c:v>
                </c:pt>
                <c:pt idx="181">
                  <c:v>124.98280708097418</c:v>
                </c:pt>
                <c:pt idx="182">
                  <c:v>124.98280708097418</c:v>
                </c:pt>
                <c:pt idx="183">
                  <c:v>124.98280708097418</c:v>
                </c:pt>
                <c:pt idx="184">
                  <c:v>122.23474632144273</c:v>
                </c:pt>
                <c:pt idx="185">
                  <c:v>122.23474632144273</c:v>
                </c:pt>
                <c:pt idx="186">
                  <c:v>122.23474632144273</c:v>
                </c:pt>
                <c:pt idx="187">
                  <c:v>122.23474632144273</c:v>
                </c:pt>
                <c:pt idx="188">
                  <c:v>122.23474632144273</c:v>
                </c:pt>
                <c:pt idx="189">
                  <c:v>122.23474632144273</c:v>
                </c:pt>
                <c:pt idx="190">
                  <c:v>122.23474632144273</c:v>
                </c:pt>
                <c:pt idx="191">
                  <c:v>122.23474632144273</c:v>
                </c:pt>
                <c:pt idx="192">
                  <c:v>122.23474632144273</c:v>
                </c:pt>
                <c:pt idx="193">
                  <c:v>122.23474632144273</c:v>
                </c:pt>
                <c:pt idx="194">
                  <c:v>122.23474632144273</c:v>
                </c:pt>
                <c:pt idx="195">
                  <c:v>122.23474632144273</c:v>
                </c:pt>
                <c:pt idx="196">
                  <c:v>122.23474632144273</c:v>
                </c:pt>
                <c:pt idx="197">
                  <c:v>122.23474632144273</c:v>
                </c:pt>
                <c:pt idx="198">
                  <c:v>122.23474632144273</c:v>
                </c:pt>
                <c:pt idx="199">
                  <c:v>122.23474632144273</c:v>
                </c:pt>
                <c:pt idx="200">
                  <c:v>122.23474632144273</c:v>
                </c:pt>
                <c:pt idx="201">
                  <c:v>122.23474632144273</c:v>
                </c:pt>
                <c:pt idx="202">
                  <c:v>122.23474632144273</c:v>
                </c:pt>
                <c:pt idx="203">
                  <c:v>122.23474632144273</c:v>
                </c:pt>
                <c:pt idx="204">
                  <c:v>122.23474632144273</c:v>
                </c:pt>
                <c:pt idx="205">
                  <c:v>122.23474632144273</c:v>
                </c:pt>
                <c:pt idx="206">
                  <c:v>122.23474632144273</c:v>
                </c:pt>
                <c:pt idx="207">
                  <c:v>122.23474632144273</c:v>
                </c:pt>
                <c:pt idx="208">
                  <c:v>122.23474632144273</c:v>
                </c:pt>
                <c:pt idx="209">
                  <c:v>122.23474632144273</c:v>
                </c:pt>
                <c:pt idx="210">
                  <c:v>122.23474632144273</c:v>
                </c:pt>
                <c:pt idx="211">
                  <c:v>122.23474632144273</c:v>
                </c:pt>
                <c:pt idx="212">
                  <c:v>123.04544911502903</c:v>
                </c:pt>
                <c:pt idx="213">
                  <c:v>123.04544911502903</c:v>
                </c:pt>
                <c:pt idx="214">
                  <c:v>123.04544911502903</c:v>
                </c:pt>
                <c:pt idx="215">
                  <c:v>123.04544911502903</c:v>
                </c:pt>
                <c:pt idx="216">
                  <c:v>123.04544911502903</c:v>
                </c:pt>
                <c:pt idx="217">
                  <c:v>123.04544911502903</c:v>
                </c:pt>
                <c:pt idx="218">
                  <c:v>123.04544911502903</c:v>
                </c:pt>
                <c:pt idx="219">
                  <c:v>123.04544911502903</c:v>
                </c:pt>
                <c:pt idx="220">
                  <c:v>123.04544911502903</c:v>
                </c:pt>
                <c:pt idx="221">
                  <c:v>123.04544911502903</c:v>
                </c:pt>
                <c:pt idx="222">
                  <c:v>123.04544911502903</c:v>
                </c:pt>
                <c:pt idx="223">
                  <c:v>123.04544911502903</c:v>
                </c:pt>
                <c:pt idx="224">
                  <c:v>123.04544911502903</c:v>
                </c:pt>
                <c:pt idx="225">
                  <c:v>123.04544911502903</c:v>
                </c:pt>
                <c:pt idx="226">
                  <c:v>123.04544911502903</c:v>
                </c:pt>
                <c:pt idx="227">
                  <c:v>123.04544911502903</c:v>
                </c:pt>
                <c:pt idx="228">
                  <c:v>123.04544911502903</c:v>
                </c:pt>
                <c:pt idx="229">
                  <c:v>123.04544911502903</c:v>
                </c:pt>
                <c:pt idx="230">
                  <c:v>123.04544911502903</c:v>
                </c:pt>
                <c:pt idx="231">
                  <c:v>123.04544911502903</c:v>
                </c:pt>
                <c:pt idx="232">
                  <c:v>123.04544911502903</c:v>
                </c:pt>
                <c:pt idx="233">
                  <c:v>123.04544911502903</c:v>
                </c:pt>
                <c:pt idx="234">
                  <c:v>123.04544911502903</c:v>
                </c:pt>
                <c:pt idx="235">
                  <c:v>123.04544911502903</c:v>
                </c:pt>
                <c:pt idx="236">
                  <c:v>123.04544911502903</c:v>
                </c:pt>
                <c:pt idx="237">
                  <c:v>123.04544911502903</c:v>
                </c:pt>
                <c:pt idx="238">
                  <c:v>123.04544911502903</c:v>
                </c:pt>
                <c:pt idx="239">
                  <c:v>123.04544911502903</c:v>
                </c:pt>
                <c:pt idx="240">
                  <c:v>123.04544911502903</c:v>
                </c:pt>
                <c:pt idx="241">
                  <c:v>123.04544911502903</c:v>
                </c:pt>
                <c:pt idx="242">
                  <c:v>123.04544911502903</c:v>
                </c:pt>
                <c:pt idx="243">
                  <c:v>124.98173132994</c:v>
                </c:pt>
                <c:pt idx="244">
                  <c:v>124.98173132994</c:v>
                </c:pt>
                <c:pt idx="245">
                  <c:v>124.98173132994</c:v>
                </c:pt>
                <c:pt idx="246">
                  <c:v>124.98173132994</c:v>
                </c:pt>
                <c:pt idx="247">
                  <c:v>124.98173132994</c:v>
                </c:pt>
                <c:pt idx="248">
                  <c:v>124.98173132994</c:v>
                </c:pt>
                <c:pt idx="249">
                  <c:v>124.98173132994</c:v>
                </c:pt>
                <c:pt idx="250">
                  <c:v>124.98173132994</c:v>
                </c:pt>
                <c:pt idx="251">
                  <c:v>124.98173132994</c:v>
                </c:pt>
                <c:pt idx="252">
                  <c:v>124.98173132994</c:v>
                </c:pt>
                <c:pt idx="253">
                  <c:v>124.98173132994</c:v>
                </c:pt>
                <c:pt idx="254">
                  <c:v>124.98173132994</c:v>
                </c:pt>
                <c:pt idx="255">
                  <c:v>124.98173132994</c:v>
                </c:pt>
                <c:pt idx="256">
                  <c:v>124.98173132994</c:v>
                </c:pt>
                <c:pt idx="257">
                  <c:v>124.98173132994</c:v>
                </c:pt>
                <c:pt idx="258">
                  <c:v>124.98173132994</c:v>
                </c:pt>
                <c:pt idx="259">
                  <c:v>124.98173132994</c:v>
                </c:pt>
                <c:pt idx="260">
                  <c:v>124.98173132994</c:v>
                </c:pt>
                <c:pt idx="261">
                  <c:v>124.98173132994</c:v>
                </c:pt>
                <c:pt idx="262">
                  <c:v>124.98173132994</c:v>
                </c:pt>
                <c:pt idx="263">
                  <c:v>124.98173132994</c:v>
                </c:pt>
                <c:pt idx="264">
                  <c:v>124.98173132994</c:v>
                </c:pt>
                <c:pt idx="265">
                  <c:v>124.98173132994</c:v>
                </c:pt>
                <c:pt idx="266">
                  <c:v>124.98173132994</c:v>
                </c:pt>
                <c:pt idx="267">
                  <c:v>124.98173132994</c:v>
                </c:pt>
                <c:pt idx="268">
                  <c:v>124.98173132994</c:v>
                </c:pt>
                <c:pt idx="269">
                  <c:v>124.98173132994</c:v>
                </c:pt>
                <c:pt idx="270">
                  <c:v>124.98173132994</c:v>
                </c:pt>
                <c:pt idx="271">
                  <c:v>124.98173132994</c:v>
                </c:pt>
                <c:pt idx="272">
                  <c:v>124.98173132994</c:v>
                </c:pt>
                <c:pt idx="273">
                  <c:v>106.79032108965163</c:v>
                </c:pt>
                <c:pt idx="274">
                  <c:v>106.79032108965163</c:v>
                </c:pt>
                <c:pt idx="275">
                  <c:v>106.79032108965163</c:v>
                </c:pt>
                <c:pt idx="276">
                  <c:v>106.79032108965163</c:v>
                </c:pt>
                <c:pt idx="277">
                  <c:v>106.79032108965163</c:v>
                </c:pt>
                <c:pt idx="278">
                  <c:v>106.79032108965163</c:v>
                </c:pt>
                <c:pt idx="279">
                  <c:v>106.79032108965163</c:v>
                </c:pt>
                <c:pt idx="280">
                  <c:v>106.79032108965163</c:v>
                </c:pt>
                <c:pt idx="281">
                  <c:v>106.79032108965163</c:v>
                </c:pt>
                <c:pt idx="282">
                  <c:v>106.79032108965163</c:v>
                </c:pt>
                <c:pt idx="283">
                  <c:v>106.79032108965163</c:v>
                </c:pt>
                <c:pt idx="284">
                  <c:v>106.79032108965163</c:v>
                </c:pt>
                <c:pt idx="285">
                  <c:v>106.79032108965163</c:v>
                </c:pt>
                <c:pt idx="286">
                  <c:v>106.79032108965163</c:v>
                </c:pt>
                <c:pt idx="287">
                  <c:v>106.79032108965163</c:v>
                </c:pt>
                <c:pt idx="288">
                  <c:v>106.79032108965163</c:v>
                </c:pt>
                <c:pt idx="289">
                  <c:v>106.79032108965163</c:v>
                </c:pt>
                <c:pt idx="290">
                  <c:v>106.79032108965163</c:v>
                </c:pt>
                <c:pt idx="291">
                  <c:v>106.79032108965163</c:v>
                </c:pt>
                <c:pt idx="292">
                  <c:v>106.79032108965163</c:v>
                </c:pt>
                <c:pt idx="293">
                  <c:v>106.79032108965163</c:v>
                </c:pt>
                <c:pt idx="294">
                  <c:v>106.79032108965163</c:v>
                </c:pt>
                <c:pt idx="295">
                  <c:v>106.79032108965163</c:v>
                </c:pt>
                <c:pt idx="296">
                  <c:v>106.79032108965163</c:v>
                </c:pt>
                <c:pt idx="297">
                  <c:v>106.79032108965163</c:v>
                </c:pt>
                <c:pt idx="298">
                  <c:v>106.79032108965163</c:v>
                </c:pt>
                <c:pt idx="299">
                  <c:v>106.79032108965163</c:v>
                </c:pt>
                <c:pt idx="300">
                  <c:v>106.79032108965163</c:v>
                </c:pt>
                <c:pt idx="301">
                  <c:v>106.79032108965163</c:v>
                </c:pt>
                <c:pt idx="302">
                  <c:v>106.79032108965163</c:v>
                </c:pt>
                <c:pt idx="303">
                  <c:v>106.79032108965163</c:v>
                </c:pt>
                <c:pt idx="304">
                  <c:v>64.364342968573325</c:v>
                </c:pt>
                <c:pt idx="305">
                  <c:v>64.364342968573325</c:v>
                </c:pt>
                <c:pt idx="306">
                  <c:v>64.364342968573325</c:v>
                </c:pt>
                <c:pt idx="307">
                  <c:v>64.364342968573325</c:v>
                </c:pt>
                <c:pt idx="308">
                  <c:v>64.364342968573325</c:v>
                </c:pt>
                <c:pt idx="309">
                  <c:v>64.364342968573325</c:v>
                </c:pt>
                <c:pt idx="310">
                  <c:v>64.364342968573325</c:v>
                </c:pt>
                <c:pt idx="311">
                  <c:v>64.364342968573325</c:v>
                </c:pt>
                <c:pt idx="312">
                  <c:v>64.364342968573325</c:v>
                </c:pt>
                <c:pt idx="313">
                  <c:v>64.364342968573325</c:v>
                </c:pt>
                <c:pt idx="314">
                  <c:v>64.364342968573325</c:v>
                </c:pt>
                <c:pt idx="315">
                  <c:v>64.364342968573325</c:v>
                </c:pt>
                <c:pt idx="316">
                  <c:v>64.364342968573325</c:v>
                </c:pt>
                <c:pt idx="317">
                  <c:v>64.364342968573325</c:v>
                </c:pt>
                <c:pt idx="318">
                  <c:v>64.364342968573325</c:v>
                </c:pt>
                <c:pt idx="319">
                  <c:v>64.364342968573325</c:v>
                </c:pt>
                <c:pt idx="320">
                  <c:v>64.364342968573325</c:v>
                </c:pt>
                <c:pt idx="321">
                  <c:v>64.364342968573325</c:v>
                </c:pt>
                <c:pt idx="322">
                  <c:v>64.364342968573325</c:v>
                </c:pt>
                <c:pt idx="323">
                  <c:v>64.364342968573325</c:v>
                </c:pt>
                <c:pt idx="324">
                  <c:v>64.364342968573325</c:v>
                </c:pt>
                <c:pt idx="325">
                  <c:v>64.364342968573325</c:v>
                </c:pt>
                <c:pt idx="326">
                  <c:v>64.364342968573325</c:v>
                </c:pt>
                <c:pt idx="327">
                  <c:v>64.364342968573325</c:v>
                </c:pt>
                <c:pt idx="328">
                  <c:v>64.364342968573325</c:v>
                </c:pt>
                <c:pt idx="329">
                  <c:v>64.364342968573325</c:v>
                </c:pt>
                <c:pt idx="330">
                  <c:v>64.364342968573325</c:v>
                </c:pt>
                <c:pt idx="331">
                  <c:v>64.364342968573325</c:v>
                </c:pt>
                <c:pt idx="332">
                  <c:v>64.364342968573325</c:v>
                </c:pt>
                <c:pt idx="333">
                  <c:v>64.364342968573325</c:v>
                </c:pt>
                <c:pt idx="334">
                  <c:v>28.016997662909688</c:v>
                </c:pt>
                <c:pt idx="335">
                  <c:v>28.016997662909688</c:v>
                </c:pt>
                <c:pt idx="336">
                  <c:v>28.016997662909688</c:v>
                </c:pt>
                <c:pt idx="337">
                  <c:v>28.016997662909688</c:v>
                </c:pt>
                <c:pt idx="338">
                  <c:v>28.016997662909688</c:v>
                </c:pt>
                <c:pt idx="339">
                  <c:v>28.016997662909688</c:v>
                </c:pt>
                <c:pt idx="340">
                  <c:v>28.016997662909688</c:v>
                </c:pt>
                <c:pt idx="341">
                  <c:v>28.016997662909688</c:v>
                </c:pt>
                <c:pt idx="342">
                  <c:v>28.016997662909688</c:v>
                </c:pt>
                <c:pt idx="343">
                  <c:v>28.016997662909688</c:v>
                </c:pt>
                <c:pt idx="344">
                  <c:v>28.016997662909688</c:v>
                </c:pt>
                <c:pt idx="345">
                  <c:v>28.016997662909688</c:v>
                </c:pt>
                <c:pt idx="346">
                  <c:v>28.016997662909688</c:v>
                </c:pt>
                <c:pt idx="347">
                  <c:v>28.016997662909688</c:v>
                </c:pt>
                <c:pt idx="348">
                  <c:v>28.016997662909688</c:v>
                </c:pt>
                <c:pt idx="349">
                  <c:v>28.016997662909688</c:v>
                </c:pt>
                <c:pt idx="350">
                  <c:v>28.016997662909688</c:v>
                </c:pt>
                <c:pt idx="351">
                  <c:v>28.016997662909688</c:v>
                </c:pt>
                <c:pt idx="352">
                  <c:v>28.016997662909688</c:v>
                </c:pt>
                <c:pt idx="353">
                  <c:v>28.016997662909688</c:v>
                </c:pt>
                <c:pt idx="354">
                  <c:v>28.016997662909688</c:v>
                </c:pt>
                <c:pt idx="355">
                  <c:v>28.016997662909688</c:v>
                </c:pt>
                <c:pt idx="356">
                  <c:v>28.016997662909688</c:v>
                </c:pt>
                <c:pt idx="357">
                  <c:v>28.016997662909688</c:v>
                </c:pt>
                <c:pt idx="358">
                  <c:v>28.016997662909688</c:v>
                </c:pt>
                <c:pt idx="359">
                  <c:v>28.016997662909688</c:v>
                </c:pt>
                <c:pt idx="360">
                  <c:v>28.016997662909688</c:v>
                </c:pt>
                <c:pt idx="361">
                  <c:v>28.016997662909688</c:v>
                </c:pt>
                <c:pt idx="362">
                  <c:v>28.016997662909688</c:v>
                </c:pt>
                <c:pt idx="363">
                  <c:v>28.016997662909688</c:v>
                </c:pt>
                <c:pt idx="364">
                  <c:v>28.016997662909688</c:v>
                </c:pt>
                <c:pt idx="365">
                  <c:v>16.99706947525484</c:v>
                </c:pt>
                <c:pt idx="366">
                  <c:v>16.99706947525484</c:v>
                </c:pt>
                <c:pt idx="367">
                  <c:v>16.99706947525484</c:v>
                </c:pt>
                <c:pt idx="368">
                  <c:v>16.99706947525484</c:v>
                </c:pt>
                <c:pt idx="369">
                  <c:v>16.99706947525484</c:v>
                </c:pt>
                <c:pt idx="370">
                  <c:v>16.99706947525484</c:v>
                </c:pt>
                <c:pt idx="371">
                  <c:v>16.99706947525484</c:v>
                </c:pt>
                <c:pt idx="372">
                  <c:v>16.99706947525484</c:v>
                </c:pt>
                <c:pt idx="373">
                  <c:v>16.99706947525484</c:v>
                </c:pt>
                <c:pt idx="374">
                  <c:v>16.99706947525484</c:v>
                </c:pt>
                <c:pt idx="375">
                  <c:v>16.99706947525484</c:v>
                </c:pt>
                <c:pt idx="376">
                  <c:v>16.99706947525484</c:v>
                </c:pt>
                <c:pt idx="377">
                  <c:v>16.99706947525484</c:v>
                </c:pt>
                <c:pt idx="378">
                  <c:v>16.99706947525484</c:v>
                </c:pt>
                <c:pt idx="379">
                  <c:v>16.99706947525484</c:v>
                </c:pt>
                <c:pt idx="380">
                  <c:v>16.99706947525484</c:v>
                </c:pt>
                <c:pt idx="381">
                  <c:v>16.99706947525484</c:v>
                </c:pt>
                <c:pt idx="382">
                  <c:v>16.99706947525484</c:v>
                </c:pt>
                <c:pt idx="383">
                  <c:v>16.99706947525484</c:v>
                </c:pt>
                <c:pt idx="384">
                  <c:v>16.99706947525484</c:v>
                </c:pt>
                <c:pt idx="385">
                  <c:v>16.99706947525484</c:v>
                </c:pt>
                <c:pt idx="386">
                  <c:v>16.99706947525484</c:v>
                </c:pt>
                <c:pt idx="387">
                  <c:v>16.99706947525484</c:v>
                </c:pt>
                <c:pt idx="388">
                  <c:v>16.99706947525484</c:v>
                </c:pt>
                <c:pt idx="389">
                  <c:v>16.99706947525484</c:v>
                </c:pt>
                <c:pt idx="390">
                  <c:v>16.99706947525484</c:v>
                </c:pt>
                <c:pt idx="391">
                  <c:v>16.99706947525484</c:v>
                </c:pt>
                <c:pt idx="392">
                  <c:v>16.99706947525484</c:v>
                </c:pt>
                <c:pt idx="393">
                  <c:v>16.99706947525484</c:v>
                </c:pt>
                <c:pt idx="394">
                  <c:v>16.99706947525484</c:v>
                </c:pt>
                <c:pt idx="395">
                  <c:v>16.99706947525484</c:v>
                </c:pt>
              </c:numCache>
            </c:numRef>
          </c:val>
        </c:ser>
        <c:ser>
          <c:idx val="1"/>
          <c:order val="2"/>
          <c:spPr>
            <a:solidFill>
              <a:schemeClr val="bg1"/>
            </a:solidFill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[0]!Prod</c:f>
              <c:numCache>
                <c:formatCode>#,##0.0</c:formatCode>
                <c:ptCount val="396"/>
                <c:pt idx="0">
                  <c:v>3.8168256220002226</c:v>
                </c:pt>
                <c:pt idx="1">
                  <c:v>1.4380734259992314</c:v>
                </c:pt>
                <c:pt idx="2">
                  <c:v>2.975847520000082</c:v>
                </c:pt>
                <c:pt idx="3">
                  <c:v>4.1446258560001583</c:v>
                </c:pt>
                <c:pt idx="4">
                  <c:v>14.927450494000192</c:v>
                </c:pt>
                <c:pt idx="5">
                  <c:v>18.209588883748388</c:v>
                </c:pt>
                <c:pt idx="6">
                  <c:v>4.3516992580000657</c:v>
                </c:pt>
                <c:pt idx="7">
                  <c:v>4.9573860239996579</c:v>
                </c:pt>
                <c:pt idx="8">
                  <c:v>7.6060317239999868</c:v>
                </c:pt>
                <c:pt idx="9">
                  <c:v>11.689617402</c:v>
                </c:pt>
                <c:pt idx="10">
                  <c:v>5.4022796820006693</c:v>
                </c:pt>
                <c:pt idx="11">
                  <c:v>16.487690755999655</c:v>
                </c:pt>
                <c:pt idx="12">
                  <c:v>7.0919091539998513</c:v>
                </c:pt>
                <c:pt idx="13">
                  <c:v>3.661566798000119</c:v>
                </c:pt>
                <c:pt idx="14">
                  <c:v>10.475100337999793</c:v>
                </c:pt>
                <c:pt idx="15">
                  <c:v>3.1593870580005476</c:v>
                </c:pt>
                <c:pt idx="16">
                  <c:v>0.45896479200006796</c:v>
                </c:pt>
                <c:pt idx="17">
                  <c:v>9.4797988639998785</c:v>
                </c:pt>
                <c:pt idx="18">
                  <c:v>7.8928468739995994</c:v>
                </c:pt>
                <c:pt idx="19">
                  <c:v>12.568396003999778</c:v>
                </c:pt>
                <c:pt idx="20">
                  <c:v>5.658252427999896</c:v>
                </c:pt>
                <c:pt idx="21">
                  <c:v>4.5894439959999778</c:v>
                </c:pt>
                <c:pt idx="22">
                  <c:v>2.9210418860007135</c:v>
                </c:pt>
                <c:pt idx="23">
                  <c:v>4.626087771999992</c:v>
                </c:pt>
                <c:pt idx="24">
                  <c:v>6.1624998199996499</c:v>
                </c:pt>
                <c:pt idx="25">
                  <c:v>1.9062715880004926</c:v>
                </c:pt>
                <c:pt idx="26">
                  <c:v>18.209588883748388</c:v>
                </c:pt>
                <c:pt idx="27">
                  <c:v>1.9350464739997406</c:v>
                </c:pt>
                <c:pt idx="28">
                  <c:v>18.209588883748388</c:v>
                </c:pt>
                <c:pt idx="29">
                  <c:v>17.370576209999832</c:v>
                </c:pt>
                <c:pt idx="30">
                  <c:v>10.939863956000016</c:v>
                </c:pt>
                <c:pt idx="31">
                  <c:v>8.206970124000323</c:v>
                </c:pt>
                <c:pt idx="32">
                  <c:v>18.052470175999915</c:v>
                </c:pt>
                <c:pt idx="33">
                  <c:v>10.010554954000334</c:v>
                </c:pt>
                <c:pt idx="34">
                  <c:v>12.942998063999433</c:v>
                </c:pt>
                <c:pt idx="35">
                  <c:v>9.2383161040006758</c:v>
                </c:pt>
                <c:pt idx="36">
                  <c:v>5.956177771999533</c:v>
                </c:pt>
                <c:pt idx="37">
                  <c:v>8.1167387440001608</c:v>
                </c:pt>
                <c:pt idx="38">
                  <c:v>12.103987826000184</c:v>
                </c:pt>
                <c:pt idx="39">
                  <c:v>16.91100437399945</c:v>
                </c:pt>
                <c:pt idx="40">
                  <c:v>23.816136999456674</c:v>
                </c:pt>
                <c:pt idx="41">
                  <c:v>9.2367546279999591</c:v>
                </c:pt>
                <c:pt idx="42">
                  <c:v>2.1625062840003837</c:v>
                </c:pt>
                <c:pt idx="43">
                  <c:v>1.5955005419996415</c:v>
                </c:pt>
                <c:pt idx="44">
                  <c:v>1.929082758000388</c:v>
                </c:pt>
                <c:pt idx="45">
                  <c:v>1.4055502099996002</c:v>
                </c:pt>
                <c:pt idx="46">
                  <c:v>0.36852824000048984</c:v>
                </c:pt>
                <c:pt idx="47">
                  <c:v>12.750772416000249</c:v>
                </c:pt>
                <c:pt idx="48">
                  <c:v>13.657197353999779</c:v>
                </c:pt>
                <c:pt idx="49">
                  <c:v>7.8491512639997936</c:v>
                </c:pt>
                <c:pt idx="50">
                  <c:v>5.1132767800000929</c:v>
                </c:pt>
                <c:pt idx="51">
                  <c:v>9.2812838220002014</c:v>
                </c:pt>
                <c:pt idx="52">
                  <c:v>16.838750676000075</c:v>
                </c:pt>
                <c:pt idx="53">
                  <c:v>9.4011935739992651</c:v>
                </c:pt>
                <c:pt idx="54">
                  <c:v>14.334016136000541</c:v>
                </c:pt>
                <c:pt idx="55">
                  <c:v>6.2679970279997912</c:v>
                </c:pt>
                <c:pt idx="56">
                  <c:v>6.1972966640001896</c:v>
                </c:pt>
                <c:pt idx="57">
                  <c:v>2.0169837979996506</c:v>
                </c:pt>
                <c:pt idx="58">
                  <c:v>12.939576510000126</c:v>
                </c:pt>
                <c:pt idx="59">
                  <c:v>4.2383000019998347</c:v>
                </c:pt>
                <c:pt idx="60">
                  <c:v>17.541421690000611</c:v>
                </c:pt>
                <c:pt idx="61">
                  <c:v>18.704515311999913</c:v>
                </c:pt>
                <c:pt idx="62">
                  <c:v>7.9476282499992852</c:v>
                </c:pt>
                <c:pt idx="63">
                  <c:v>20.167072540000685</c:v>
                </c:pt>
                <c:pt idx="64">
                  <c:v>8.2272621300000424</c:v>
                </c:pt>
                <c:pt idx="65">
                  <c:v>4.618792947999232</c:v>
                </c:pt>
                <c:pt idx="66">
                  <c:v>23.979947690000003</c:v>
                </c:pt>
                <c:pt idx="67">
                  <c:v>8.6178349180003195</c:v>
                </c:pt>
                <c:pt idx="68">
                  <c:v>11.772894552000514</c:v>
                </c:pt>
                <c:pt idx="69">
                  <c:v>7.8747849579994647</c:v>
                </c:pt>
                <c:pt idx="70">
                  <c:v>13.134850287999672</c:v>
                </c:pt>
                <c:pt idx="71">
                  <c:v>3.1997314180002765</c:v>
                </c:pt>
                <c:pt idx="72">
                  <c:v>7.489909994000441</c:v>
                </c:pt>
                <c:pt idx="73">
                  <c:v>7.0782381979996591</c:v>
                </c:pt>
                <c:pt idx="74">
                  <c:v>6.2584046580004333</c:v>
                </c:pt>
                <c:pt idx="75">
                  <c:v>16.927156399999777</c:v>
                </c:pt>
                <c:pt idx="76">
                  <c:v>8.1017168120000012</c:v>
                </c:pt>
                <c:pt idx="77">
                  <c:v>5.3093006480000877</c:v>
                </c:pt>
                <c:pt idx="78">
                  <c:v>9.2630509999999404</c:v>
                </c:pt>
                <c:pt idx="79">
                  <c:v>13.121949748000079</c:v>
                </c:pt>
                <c:pt idx="80">
                  <c:v>31.441332551999668</c:v>
                </c:pt>
                <c:pt idx="81">
                  <c:v>28.556591200000469</c:v>
                </c:pt>
                <c:pt idx="82">
                  <c:v>21.152104345999373</c:v>
                </c:pt>
                <c:pt idx="83">
                  <c:v>13.914616522000234</c:v>
                </c:pt>
                <c:pt idx="84">
                  <c:v>16.208384197999635</c:v>
                </c:pt>
                <c:pt idx="85">
                  <c:v>15.650725930000466</c:v>
                </c:pt>
                <c:pt idx="86">
                  <c:v>11.03848122400008</c:v>
                </c:pt>
                <c:pt idx="87">
                  <c:v>13.911933183999464</c:v>
                </c:pt>
                <c:pt idx="88">
                  <c:v>7.4580657020006473</c:v>
                </c:pt>
                <c:pt idx="89">
                  <c:v>31.727150849999934</c:v>
                </c:pt>
                <c:pt idx="90">
                  <c:v>9.2012166319993884</c:v>
                </c:pt>
                <c:pt idx="91">
                  <c:v>8.7855625760004763</c:v>
                </c:pt>
                <c:pt idx="92">
                  <c:v>8.2103473059999565</c:v>
                </c:pt>
                <c:pt idx="93">
                  <c:v>9.3651794860003115</c:v>
                </c:pt>
                <c:pt idx="94">
                  <c:v>14.113379666000116</c:v>
                </c:pt>
                <c:pt idx="95">
                  <c:v>9.9491037799998292</c:v>
                </c:pt>
                <c:pt idx="96">
                  <c:v>28.843987403999993</c:v>
                </c:pt>
                <c:pt idx="97">
                  <c:v>25.576473809999584</c:v>
                </c:pt>
                <c:pt idx="98">
                  <c:v>15.436841493999896</c:v>
                </c:pt>
                <c:pt idx="99">
                  <c:v>2.1950885600001566</c:v>
                </c:pt>
                <c:pt idx="100">
                  <c:v>10.758405394000391</c:v>
                </c:pt>
                <c:pt idx="101">
                  <c:v>27.18471618199926</c:v>
                </c:pt>
                <c:pt idx="102">
                  <c:v>21.372766288000523</c:v>
                </c:pt>
                <c:pt idx="103">
                  <c:v>33.457879177999544</c:v>
                </c:pt>
                <c:pt idx="104">
                  <c:v>32.093920494000201</c:v>
                </c:pt>
                <c:pt idx="105">
                  <c:v>18.139776781999796</c:v>
                </c:pt>
                <c:pt idx="106">
                  <c:v>7.7859623420007376</c:v>
                </c:pt>
                <c:pt idx="107">
                  <c:v>14.535573775999961</c:v>
                </c:pt>
                <c:pt idx="108">
                  <c:v>12.580275401999382</c:v>
                </c:pt>
                <c:pt idx="109">
                  <c:v>33.068154081999971</c:v>
                </c:pt>
                <c:pt idx="110">
                  <c:v>22.931885048000126</c:v>
                </c:pt>
                <c:pt idx="111">
                  <c:v>15.904532910000347</c:v>
                </c:pt>
                <c:pt idx="112">
                  <c:v>13.025878311999739</c:v>
                </c:pt>
                <c:pt idx="113">
                  <c:v>10.57376741600031</c:v>
                </c:pt>
                <c:pt idx="114">
                  <c:v>17.985621332000253</c:v>
                </c:pt>
                <c:pt idx="115">
                  <c:v>17.956019549999681</c:v>
                </c:pt>
                <c:pt idx="116">
                  <c:v>23.836756611999604</c:v>
                </c:pt>
                <c:pt idx="117">
                  <c:v>26.105798189999813</c:v>
                </c:pt>
                <c:pt idx="118">
                  <c:v>8.1135639680006904</c:v>
                </c:pt>
                <c:pt idx="119">
                  <c:v>3.4256280719995829</c:v>
                </c:pt>
                <c:pt idx="120">
                  <c:v>26.152670303999869</c:v>
                </c:pt>
                <c:pt idx="121">
                  <c:v>17.432545392000581</c:v>
                </c:pt>
                <c:pt idx="122">
                  <c:v>8.8544509540000451</c:v>
                </c:pt>
                <c:pt idx="123">
                  <c:v>31.234745385999865</c:v>
                </c:pt>
                <c:pt idx="124">
                  <c:v>27.489775494000138</c:v>
                </c:pt>
                <c:pt idx="125">
                  <c:v>6.640168649999687</c:v>
                </c:pt>
                <c:pt idx="126">
                  <c:v>14.456189891999545</c:v>
                </c:pt>
                <c:pt idx="127">
                  <c:v>14.707701754000245</c:v>
                </c:pt>
                <c:pt idx="128">
                  <c:v>28.234186062000102</c:v>
                </c:pt>
                <c:pt idx="129">
                  <c:v>24.086839598000438</c:v>
                </c:pt>
                <c:pt idx="130">
                  <c:v>37.908427159999526</c:v>
                </c:pt>
                <c:pt idx="131">
                  <c:v>75.787528893999863</c:v>
                </c:pt>
                <c:pt idx="132">
                  <c:v>112.02604617689678</c:v>
                </c:pt>
                <c:pt idx="133">
                  <c:v>106.06486796800039</c:v>
                </c:pt>
                <c:pt idx="134">
                  <c:v>61.569184114000187</c:v>
                </c:pt>
                <c:pt idx="135">
                  <c:v>98.005116379999322</c:v>
                </c:pt>
                <c:pt idx="136">
                  <c:v>101.76139547400032</c:v>
                </c:pt>
                <c:pt idx="137">
                  <c:v>74.413492190000255</c:v>
                </c:pt>
                <c:pt idx="138">
                  <c:v>49.984638545999779</c:v>
                </c:pt>
                <c:pt idx="139">
                  <c:v>61.124411660000057</c:v>
                </c:pt>
                <c:pt idx="140">
                  <c:v>55.687786108000267</c:v>
                </c:pt>
                <c:pt idx="141">
                  <c:v>60.014038807999576</c:v>
                </c:pt>
                <c:pt idx="142">
                  <c:v>43.888313440000069</c:v>
                </c:pt>
                <c:pt idx="143">
                  <c:v>45.149051252000262</c:v>
                </c:pt>
                <c:pt idx="144">
                  <c:v>112.02604617689678</c:v>
                </c:pt>
                <c:pt idx="145">
                  <c:v>36.160617945999505</c:v>
                </c:pt>
                <c:pt idx="146">
                  <c:v>36.19546463200053</c:v>
                </c:pt>
                <c:pt idx="147">
                  <c:v>60.816156899999754</c:v>
                </c:pt>
                <c:pt idx="148">
                  <c:v>66.296639185999865</c:v>
                </c:pt>
                <c:pt idx="149">
                  <c:v>41.25654523999993</c:v>
                </c:pt>
                <c:pt idx="150">
                  <c:v>45.083249121999515</c:v>
                </c:pt>
                <c:pt idx="151">
                  <c:v>89.630860876000924</c:v>
                </c:pt>
                <c:pt idx="152">
                  <c:v>80.858669753999109</c:v>
                </c:pt>
                <c:pt idx="153">
                  <c:v>107.01719805200038</c:v>
                </c:pt>
                <c:pt idx="154">
                  <c:v>106.73138875999985</c:v>
                </c:pt>
                <c:pt idx="155">
                  <c:v>124.19056760000058</c:v>
                </c:pt>
                <c:pt idx="156">
                  <c:v>119.25147284599919</c:v>
                </c:pt>
                <c:pt idx="157">
                  <c:v>120.05119129400025</c:v>
                </c:pt>
                <c:pt idx="158">
                  <c:v>105.57671850599999</c:v>
                </c:pt>
                <c:pt idx="159">
                  <c:v>98.755893232000162</c:v>
                </c:pt>
                <c:pt idx="160">
                  <c:v>99.806716161999802</c:v>
                </c:pt>
                <c:pt idx="161">
                  <c:v>89.057788776000649</c:v>
                </c:pt>
                <c:pt idx="162">
                  <c:v>97.746319657999436</c:v>
                </c:pt>
                <c:pt idx="163">
                  <c:v>91.451193731999965</c:v>
                </c:pt>
                <c:pt idx="164">
                  <c:v>99.354976072000142</c:v>
                </c:pt>
                <c:pt idx="165">
                  <c:v>81.710791740000388</c:v>
                </c:pt>
                <c:pt idx="166">
                  <c:v>77.973660599999278</c:v>
                </c:pt>
                <c:pt idx="167">
                  <c:v>81.400291526000757</c:v>
                </c:pt>
                <c:pt idx="168">
                  <c:v>81.138783311999532</c:v>
                </c:pt>
                <c:pt idx="169">
                  <c:v>93.616283954000266</c:v>
                </c:pt>
                <c:pt idx="170">
                  <c:v>74.600712667999915</c:v>
                </c:pt>
                <c:pt idx="171">
                  <c:v>60.50250124600025</c:v>
                </c:pt>
                <c:pt idx="172">
                  <c:v>56.853155999999871</c:v>
                </c:pt>
                <c:pt idx="173">
                  <c:v>86.302323279999484</c:v>
                </c:pt>
                <c:pt idx="174">
                  <c:v>93.464488322000363</c:v>
                </c:pt>
                <c:pt idx="175">
                  <c:v>71.189762038000012</c:v>
                </c:pt>
                <c:pt idx="176">
                  <c:v>75.819592997999592</c:v>
                </c:pt>
                <c:pt idx="177">
                  <c:v>73.803920154000323</c:v>
                </c:pt>
                <c:pt idx="178">
                  <c:v>88.085838406000491</c:v>
                </c:pt>
                <c:pt idx="179">
                  <c:v>76.303520011999368</c:v>
                </c:pt>
                <c:pt idx="180">
                  <c:v>74.452592027999998</c:v>
                </c:pt>
                <c:pt idx="181">
                  <c:v>75.976408010000327</c:v>
                </c:pt>
                <c:pt idx="182">
                  <c:v>62.36761392399977</c:v>
                </c:pt>
                <c:pt idx="183">
                  <c:v>65.397373878000082</c:v>
                </c:pt>
                <c:pt idx="184">
                  <c:v>61.320107000000412</c:v>
                </c:pt>
                <c:pt idx="185">
                  <c:v>70.408047835999724</c:v>
                </c:pt>
                <c:pt idx="186">
                  <c:v>60.044947275999668</c:v>
                </c:pt>
                <c:pt idx="187">
                  <c:v>82.093600379999714</c:v>
                </c:pt>
                <c:pt idx="188">
                  <c:v>79.307979846000663</c:v>
                </c:pt>
                <c:pt idx="189">
                  <c:v>78.384310319999443</c:v>
                </c:pt>
                <c:pt idx="190">
                  <c:v>63.714278916000666</c:v>
                </c:pt>
                <c:pt idx="191">
                  <c:v>63.773546533999586</c:v>
                </c:pt>
                <c:pt idx="192">
                  <c:v>69.168721578000103</c:v>
                </c:pt>
                <c:pt idx="193">
                  <c:v>68.617211094000126</c:v>
                </c:pt>
                <c:pt idx="194">
                  <c:v>96.284544532000254</c:v>
                </c:pt>
                <c:pt idx="195">
                  <c:v>69.455795871999698</c:v>
                </c:pt>
                <c:pt idx="196">
                  <c:v>93.814750927999995</c:v>
                </c:pt>
                <c:pt idx="197">
                  <c:v>113.11947389800008</c:v>
                </c:pt>
                <c:pt idx="198">
                  <c:v>122.23474632144273</c:v>
                </c:pt>
                <c:pt idx="199">
                  <c:v>122.23474632144273</c:v>
                </c:pt>
                <c:pt idx="200">
                  <c:v>122.23474632144273</c:v>
                </c:pt>
                <c:pt idx="201">
                  <c:v>122.23474632144273</c:v>
                </c:pt>
                <c:pt idx="202">
                  <c:v>122.23474632144273</c:v>
                </c:pt>
                <c:pt idx="203">
                  <c:v>122.23474632144273</c:v>
                </c:pt>
                <c:pt idx="204">
                  <c:v>117.93145274400037</c:v>
                </c:pt>
                <c:pt idx="205">
                  <c:v>100.07782309400037</c:v>
                </c:pt>
                <c:pt idx="206">
                  <c:v>63.076357363999243</c:v>
                </c:pt>
                <c:pt idx="207">
                  <c:v>95.794510968000537</c:v>
                </c:pt>
                <c:pt idx="208">
                  <c:v>87.302452556000148</c:v>
                </c:pt>
                <c:pt idx="209">
                  <c:v>94.367169517999599</c:v>
                </c:pt>
                <c:pt idx="210">
                  <c:v>72.189071089999842</c:v>
                </c:pt>
                <c:pt idx="211">
                  <c:v>105.34451449199975</c:v>
                </c:pt>
                <c:pt idx="212">
                  <c:v>123.04544911502903</c:v>
                </c:pt>
                <c:pt idx="213">
                  <c:v>123.04544911502903</c:v>
                </c:pt>
                <c:pt idx="214">
                  <c:v>123.04544911502903</c:v>
                </c:pt>
                <c:pt idx="215">
                  <c:v>123.04544911502903</c:v>
                </c:pt>
                <c:pt idx="216">
                  <c:v>123.04544911502903</c:v>
                </c:pt>
                <c:pt idx="217">
                  <c:v>123.04544911502903</c:v>
                </c:pt>
                <c:pt idx="218">
                  <c:v>123.04544911502903</c:v>
                </c:pt>
                <c:pt idx="219">
                  <c:v>123.04544911502903</c:v>
                </c:pt>
                <c:pt idx="220">
                  <c:v>123.04544911502903</c:v>
                </c:pt>
                <c:pt idx="221">
                  <c:v>123.04544911502903</c:v>
                </c:pt>
                <c:pt idx="222">
                  <c:v>123.04544911502903</c:v>
                </c:pt>
                <c:pt idx="223">
                  <c:v>123.04544911502903</c:v>
                </c:pt>
                <c:pt idx="224">
                  <c:v>123.04544911502903</c:v>
                </c:pt>
                <c:pt idx="225">
                  <c:v>123.04544911502903</c:v>
                </c:pt>
                <c:pt idx="226">
                  <c:v>123.04544911502903</c:v>
                </c:pt>
                <c:pt idx="227">
                  <c:v>123.04544911502903</c:v>
                </c:pt>
                <c:pt idx="228">
                  <c:v>123.04544911502903</c:v>
                </c:pt>
                <c:pt idx="229">
                  <c:v>123.04544911502903</c:v>
                </c:pt>
                <c:pt idx="230">
                  <c:v>123.04544911502903</c:v>
                </c:pt>
                <c:pt idx="231">
                  <c:v>123.04544911502903</c:v>
                </c:pt>
                <c:pt idx="232">
                  <c:v>123.04544911502903</c:v>
                </c:pt>
                <c:pt idx="233">
                  <c:v>123.04544911502903</c:v>
                </c:pt>
                <c:pt idx="234">
                  <c:v>123.04544911502903</c:v>
                </c:pt>
                <c:pt idx="235">
                  <c:v>123.04544911502903</c:v>
                </c:pt>
                <c:pt idx="236">
                  <c:v>123.04544911502903</c:v>
                </c:pt>
                <c:pt idx="237">
                  <c:v>123.04544911502903</c:v>
                </c:pt>
                <c:pt idx="238">
                  <c:v>123.04544911502903</c:v>
                </c:pt>
                <c:pt idx="239">
                  <c:v>123.04544911502903</c:v>
                </c:pt>
                <c:pt idx="240">
                  <c:v>123.04544911502903</c:v>
                </c:pt>
                <c:pt idx="241">
                  <c:v>123.04544911502903</c:v>
                </c:pt>
                <c:pt idx="242">
                  <c:v>123.04544911502903</c:v>
                </c:pt>
                <c:pt idx="243">
                  <c:v>124.98173132994</c:v>
                </c:pt>
                <c:pt idx="244">
                  <c:v>124.98173132994</c:v>
                </c:pt>
                <c:pt idx="245">
                  <c:v>124.98173132994</c:v>
                </c:pt>
                <c:pt idx="246">
                  <c:v>124.98173132994</c:v>
                </c:pt>
                <c:pt idx="247">
                  <c:v>124.98173132994</c:v>
                </c:pt>
                <c:pt idx="248">
                  <c:v>124.98173132994</c:v>
                </c:pt>
                <c:pt idx="249">
                  <c:v>124.98173132994</c:v>
                </c:pt>
                <c:pt idx="250">
                  <c:v>124.98173132994</c:v>
                </c:pt>
                <c:pt idx="251">
                  <c:v>124.98173132994</c:v>
                </c:pt>
                <c:pt idx="252">
                  <c:v>124.98173132994</c:v>
                </c:pt>
                <c:pt idx="253">
                  <c:v>124.98173132994</c:v>
                </c:pt>
                <c:pt idx="254">
                  <c:v>124.98173132994</c:v>
                </c:pt>
                <c:pt idx="255">
                  <c:v>124.98173132994</c:v>
                </c:pt>
                <c:pt idx="256">
                  <c:v>124.98173132994</c:v>
                </c:pt>
                <c:pt idx="257">
                  <c:v>124.98173132994</c:v>
                </c:pt>
                <c:pt idx="258">
                  <c:v>124.98173132994</c:v>
                </c:pt>
                <c:pt idx="259">
                  <c:v>124.98173132994</c:v>
                </c:pt>
                <c:pt idx="260">
                  <c:v>124.98173132994</c:v>
                </c:pt>
                <c:pt idx="261">
                  <c:v>124.98173132994</c:v>
                </c:pt>
                <c:pt idx="262">
                  <c:v>124.98173132994</c:v>
                </c:pt>
                <c:pt idx="263">
                  <c:v>124.98173132994</c:v>
                </c:pt>
                <c:pt idx="264">
                  <c:v>124.98173132994</c:v>
                </c:pt>
                <c:pt idx="265">
                  <c:v>124.98173132994</c:v>
                </c:pt>
                <c:pt idx="266">
                  <c:v>124.98173132994</c:v>
                </c:pt>
                <c:pt idx="267">
                  <c:v>124.98173132994</c:v>
                </c:pt>
                <c:pt idx="268">
                  <c:v>124.98173132994</c:v>
                </c:pt>
                <c:pt idx="269">
                  <c:v>124.98173132994</c:v>
                </c:pt>
                <c:pt idx="270">
                  <c:v>124.98173132994</c:v>
                </c:pt>
                <c:pt idx="271">
                  <c:v>124.98173132994</c:v>
                </c:pt>
                <c:pt idx="272">
                  <c:v>124.98173132994</c:v>
                </c:pt>
                <c:pt idx="273">
                  <c:v>106.79032108965163</c:v>
                </c:pt>
                <c:pt idx="274">
                  <c:v>106.79032108965163</c:v>
                </c:pt>
                <c:pt idx="275">
                  <c:v>106.79032108965163</c:v>
                </c:pt>
                <c:pt idx="276">
                  <c:v>106.79032108965163</c:v>
                </c:pt>
                <c:pt idx="277">
                  <c:v>106.79032108965163</c:v>
                </c:pt>
                <c:pt idx="278">
                  <c:v>106.79032108965163</c:v>
                </c:pt>
                <c:pt idx="279">
                  <c:v>104.67893061999892</c:v>
                </c:pt>
                <c:pt idx="280">
                  <c:v>106.79032108965163</c:v>
                </c:pt>
                <c:pt idx="281">
                  <c:v>106.79032108965163</c:v>
                </c:pt>
                <c:pt idx="282">
                  <c:v>106.79032108965163</c:v>
                </c:pt>
                <c:pt idx="283">
                  <c:v>101.69412799999904</c:v>
                </c:pt>
                <c:pt idx="284">
                  <c:v>106.79032108965163</c:v>
                </c:pt>
                <c:pt idx="285">
                  <c:v>106.79032108965163</c:v>
                </c:pt>
                <c:pt idx="286">
                  <c:v>106.79032108965163</c:v>
                </c:pt>
                <c:pt idx="287">
                  <c:v>99.633403692001764</c:v>
                </c:pt>
                <c:pt idx="288">
                  <c:v>89.53252367199832</c:v>
                </c:pt>
                <c:pt idx="289">
                  <c:v>87.690675502001014</c:v>
                </c:pt>
                <c:pt idx="290">
                  <c:v>85.365028687999157</c:v>
                </c:pt>
                <c:pt idx="291">
                  <c:v>106.79032108965163</c:v>
                </c:pt>
                <c:pt idx="292">
                  <c:v>94.498085524000132</c:v>
                </c:pt>
                <c:pt idx="293">
                  <c:v>106.79032108965163</c:v>
                </c:pt>
                <c:pt idx="294">
                  <c:v>105.49031820600081</c:v>
                </c:pt>
                <c:pt idx="295">
                  <c:v>86.771898835999281</c:v>
                </c:pt>
                <c:pt idx="296">
                  <c:v>106.79032108965163</c:v>
                </c:pt>
                <c:pt idx="297">
                  <c:v>105.60525400799881</c:v>
                </c:pt>
                <c:pt idx="298">
                  <c:v>106.79032108965163</c:v>
                </c:pt>
                <c:pt idx="299">
                  <c:v>106.79032108965163</c:v>
                </c:pt>
                <c:pt idx="300">
                  <c:v>106.79032108965163</c:v>
                </c:pt>
                <c:pt idx="301">
                  <c:v>106.79032108965163</c:v>
                </c:pt>
                <c:pt idx="302">
                  <c:v>100.98178129200043</c:v>
                </c:pt>
                <c:pt idx="303">
                  <c:v>106.79032108965163</c:v>
                </c:pt>
                <c:pt idx="304">
                  <c:v>64.364342968573325</c:v>
                </c:pt>
                <c:pt idx="305">
                  <c:v>64.364342968573325</c:v>
                </c:pt>
                <c:pt idx="306">
                  <c:v>64.364342968573325</c:v>
                </c:pt>
                <c:pt idx="307">
                  <c:v>64.364342968573325</c:v>
                </c:pt>
                <c:pt idx="308">
                  <c:v>64.364342968573325</c:v>
                </c:pt>
                <c:pt idx="309">
                  <c:v>64.364342968573325</c:v>
                </c:pt>
                <c:pt idx="310">
                  <c:v>64.364342968573325</c:v>
                </c:pt>
                <c:pt idx="311">
                  <c:v>64.364342968573325</c:v>
                </c:pt>
                <c:pt idx="312">
                  <c:v>64.364342968573325</c:v>
                </c:pt>
                <c:pt idx="313">
                  <c:v>64.364342968573325</c:v>
                </c:pt>
                <c:pt idx="314">
                  <c:v>64.364342968573325</c:v>
                </c:pt>
                <c:pt idx="315">
                  <c:v>64.364342968573325</c:v>
                </c:pt>
                <c:pt idx="316">
                  <c:v>64.364342968573325</c:v>
                </c:pt>
                <c:pt idx="317">
                  <c:v>64.364342968573325</c:v>
                </c:pt>
                <c:pt idx="318">
                  <c:v>64.364342968573325</c:v>
                </c:pt>
                <c:pt idx="319">
                  <c:v>64.364342968573325</c:v>
                </c:pt>
                <c:pt idx="320">
                  <c:v>64.364342968573325</c:v>
                </c:pt>
                <c:pt idx="321">
                  <c:v>64.364342968573325</c:v>
                </c:pt>
                <c:pt idx="322">
                  <c:v>64.364342968573325</c:v>
                </c:pt>
                <c:pt idx="323">
                  <c:v>64.364342968573325</c:v>
                </c:pt>
                <c:pt idx="324">
                  <c:v>64.364342968573325</c:v>
                </c:pt>
                <c:pt idx="325">
                  <c:v>64.364342968573325</c:v>
                </c:pt>
                <c:pt idx="326">
                  <c:v>64.364342968573325</c:v>
                </c:pt>
                <c:pt idx="327">
                  <c:v>64.364342968573325</c:v>
                </c:pt>
                <c:pt idx="328">
                  <c:v>64.364342968573325</c:v>
                </c:pt>
                <c:pt idx="329">
                  <c:v>64.364342968573325</c:v>
                </c:pt>
                <c:pt idx="330">
                  <c:v>64.364342968573325</c:v>
                </c:pt>
                <c:pt idx="331">
                  <c:v>64.364342968573325</c:v>
                </c:pt>
                <c:pt idx="332">
                  <c:v>64.364342968573325</c:v>
                </c:pt>
                <c:pt idx="333">
                  <c:v>64.364342968573325</c:v>
                </c:pt>
                <c:pt idx="334">
                  <c:v>28.016997662909688</c:v>
                </c:pt>
                <c:pt idx="335">
                  <c:v>28.016997662909688</c:v>
                </c:pt>
                <c:pt idx="336">
                  <c:v>28.016997662909688</c:v>
                </c:pt>
                <c:pt idx="337">
                  <c:v>28.016997662909688</c:v>
                </c:pt>
                <c:pt idx="338">
                  <c:v>28.016997662909688</c:v>
                </c:pt>
                <c:pt idx="339">
                  <c:v>28.016997662909688</c:v>
                </c:pt>
                <c:pt idx="340">
                  <c:v>28.016997662909688</c:v>
                </c:pt>
                <c:pt idx="341">
                  <c:v>24.716353867999551</c:v>
                </c:pt>
                <c:pt idx="342">
                  <c:v>28.016997662909688</c:v>
                </c:pt>
                <c:pt idx="343">
                  <c:v>28.016997662909688</c:v>
                </c:pt>
                <c:pt idx="344">
                  <c:v>28.016997662909688</c:v>
                </c:pt>
                <c:pt idx="345">
                  <c:v>28.016997662909688</c:v>
                </c:pt>
                <c:pt idx="346">
                  <c:v>28.016997662909688</c:v>
                </c:pt>
                <c:pt idx="347">
                  <c:v>22.772419530000583</c:v>
                </c:pt>
                <c:pt idx="348">
                  <c:v>6.2785188000008487</c:v>
                </c:pt>
                <c:pt idx="349">
                  <c:v>5.4556000679984056</c:v>
                </c:pt>
                <c:pt idx="350">
                  <c:v>3.9724412060000476</c:v>
                </c:pt>
                <c:pt idx="351">
                  <c:v>3.7361233500001108</c:v>
                </c:pt>
                <c:pt idx="352">
                  <c:v>4.6322311500002078</c:v>
                </c:pt>
                <c:pt idx="353">
                  <c:v>3.2982522739994731</c:v>
                </c:pt>
                <c:pt idx="354">
                  <c:v>2.2836742700016854</c:v>
                </c:pt>
                <c:pt idx="355">
                  <c:v>7.3464206419999352</c:v>
                </c:pt>
                <c:pt idx="356">
                  <c:v>28.016997662909688</c:v>
                </c:pt>
                <c:pt idx="357">
                  <c:v>28.016997662909688</c:v>
                </c:pt>
                <c:pt idx="358">
                  <c:v>28.016997662909688</c:v>
                </c:pt>
                <c:pt idx="359">
                  <c:v>28.016997662909688</c:v>
                </c:pt>
                <c:pt idx="360">
                  <c:v>28.016997662909688</c:v>
                </c:pt>
                <c:pt idx="361">
                  <c:v>28.016997662909688</c:v>
                </c:pt>
                <c:pt idx="362">
                  <c:v>28.016997662909688</c:v>
                </c:pt>
                <c:pt idx="363">
                  <c:v>28.016997662909688</c:v>
                </c:pt>
                <c:pt idx="364">
                  <c:v>28.016997662909688</c:v>
                </c:pt>
                <c:pt idx="365">
                  <c:v>16.99706947525484</c:v>
                </c:pt>
                <c:pt idx="366">
                  <c:v>16.99706947525484</c:v>
                </c:pt>
                <c:pt idx="367">
                  <c:v>16.99706947525484</c:v>
                </c:pt>
                <c:pt idx="368">
                  <c:v>16.99706947525484</c:v>
                </c:pt>
                <c:pt idx="369">
                  <c:v>16.99706947525484</c:v>
                </c:pt>
                <c:pt idx="370">
                  <c:v>16.99706947525484</c:v>
                </c:pt>
                <c:pt idx="371">
                  <c:v>16.99706947525484</c:v>
                </c:pt>
                <c:pt idx="372">
                  <c:v>16.99706947525484</c:v>
                </c:pt>
                <c:pt idx="373">
                  <c:v>16.99706947525484</c:v>
                </c:pt>
                <c:pt idx="374">
                  <c:v>8.0199020611879366</c:v>
                </c:pt>
                <c:pt idx="375">
                  <c:v>16.99706947525484</c:v>
                </c:pt>
                <c:pt idx="376">
                  <c:v>7.5673020611879398</c:v>
                </c:pt>
                <c:pt idx="377">
                  <c:v>13.192602061187936</c:v>
                </c:pt>
                <c:pt idx="378">
                  <c:v>12.919802061187941</c:v>
                </c:pt>
                <c:pt idx="379">
                  <c:v>12.178714814990641</c:v>
                </c:pt>
                <c:pt idx="380">
                  <c:v>16.99706947525484</c:v>
                </c:pt>
                <c:pt idx="381">
                  <c:v>6.7623148149906438</c:v>
                </c:pt>
                <c:pt idx="382">
                  <c:v>6.7385148149906433</c:v>
                </c:pt>
                <c:pt idx="383">
                  <c:v>3.9178148149906398</c:v>
                </c:pt>
                <c:pt idx="384">
                  <c:v>16.99706947525484</c:v>
                </c:pt>
                <c:pt idx="385">
                  <c:v>16.99706947525484</c:v>
                </c:pt>
                <c:pt idx="386">
                  <c:v>16.99706947525484</c:v>
                </c:pt>
                <c:pt idx="387">
                  <c:v>16.99706947525484</c:v>
                </c:pt>
                <c:pt idx="388">
                  <c:v>16.99706947525484</c:v>
                </c:pt>
                <c:pt idx="389">
                  <c:v>7.2198842910905947</c:v>
                </c:pt>
                <c:pt idx="390">
                  <c:v>15.400084291090597</c:v>
                </c:pt>
                <c:pt idx="391">
                  <c:v>15.18108429109059</c:v>
                </c:pt>
                <c:pt idx="392">
                  <c:v>16.99706947525484</c:v>
                </c:pt>
                <c:pt idx="393">
                  <c:v>16.99706947525484</c:v>
                </c:pt>
                <c:pt idx="394">
                  <c:v>16.99706947525484</c:v>
                </c:pt>
                <c:pt idx="395">
                  <c:v>16.99706947525484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53055416"/>
        <c:axId val="357222792"/>
      </c:areaChart>
      <c:barChart>
        <c:barDir val="col"/>
        <c:grouping val="clustered"/>
        <c:varyColors val="0"/>
        <c:ser>
          <c:idx val="3"/>
          <c:order val="3"/>
          <c:spPr>
            <a:solidFill>
              <a:schemeClr val="bg1">
                <a:alpha val="0"/>
              </a:schemeClr>
            </a:solidFill>
          </c:spPr>
          <c:invertIfNegative val="0"/>
          <c:dLbls>
            <c:dLbl>
              <c:idx val="226"/>
              <c:layout>
                <c:manualLayout>
                  <c:x val="-3.6182722749887593E-3"/>
                  <c:y val="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7"/>
              <c:layout>
                <c:manualLayout>
                  <c:x val="0"/>
                  <c:y val="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7"/>
              <c:layout>
                <c:manualLayout>
                  <c:x val="0"/>
                  <c:y val="-2.0997375328083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8"/>
              <c:layout>
                <c:manualLayout>
                  <c:x val="-1.3266845081898716E-16"/>
                  <c:y val="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004563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Dat_02!$J$4:$J$400</c:f>
              <c:strCache>
                <c:ptCount val="379"/>
                <c:pt idx="13">
                  <c:v>A</c:v>
                </c:pt>
                <c:pt idx="44">
                  <c:v>S</c:v>
                </c:pt>
                <c:pt idx="74">
                  <c:v>O</c:v>
                </c:pt>
                <c:pt idx="105">
                  <c:v>N</c:v>
                </c:pt>
                <c:pt idx="135">
                  <c:v>D</c:v>
                </c:pt>
                <c:pt idx="166">
                  <c:v>E</c:v>
                </c:pt>
                <c:pt idx="197">
                  <c:v>F</c:v>
                </c:pt>
                <c:pt idx="225">
                  <c:v>M</c:v>
                </c:pt>
                <c:pt idx="256">
                  <c:v>A</c:v>
                </c:pt>
                <c:pt idx="286">
                  <c:v>M</c:v>
                </c:pt>
                <c:pt idx="317">
                  <c:v>J</c:v>
                </c:pt>
                <c:pt idx="347">
                  <c:v>J</c:v>
                </c:pt>
                <c:pt idx="378">
                  <c:v>A</c:v>
                </c:pt>
              </c:strCache>
              <c:extLst xmlns:c15="http://schemas.microsoft.com/office/drawing/2012/chart"/>
            </c:strRef>
          </c:cat>
          <c:val>
            <c:numRef>
              <c:f>[0]!Prod_Inter</c:f>
              <c:numCache>
                <c:formatCode>0</c:formatCode>
                <c:ptCount val="396"/>
                <c:pt idx="14">
                  <c:v>18.209588883748388</c:v>
                </c:pt>
                <c:pt idx="45">
                  <c:v>23.816136999456674</c:v>
                </c:pt>
                <c:pt idx="75">
                  <c:v>46.965055529077411</c:v>
                </c:pt>
                <c:pt idx="106">
                  <c:v>89.734800765303333</c:v>
                </c:pt>
                <c:pt idx="136">
                  <c:v>112.02604617689678</c:v>
                </c:pt>
                <c:pt idx="167">
                  <c:v>124.98280708097418</c:v>
                </c:pt>
                <c:pt idx="198">
                  <c:v>122.23474632144273</c:v>
                </c:pt>
                <c:pt idx="226">
                  <c:v>123.04544911502903</c:v>
                </c:pt>
                <c:pt idx="257">
                  <c:v>124.98173132994</c:v>
                </c:pt>
                <c:pt idx="287">
                  <c:v>106.79032108965163</c:v>
                </c:pt>
                <c:pt idx="318">
                  <c:v>64.364342968573325</c:v>
                </c:pt>
                <c:pt idx="348">
                  <c:v>28.016997662909688</c:v>
                </c:pt>
                <c:pt idx="379">
                  <c:v>16.99706947525484</c:v>
                </c:pt>
              </c:numCache>
              <c:extLst xmlns:c15="http://schemas.microsoft.com/office/drawing/2012/chart"/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53055416"/>
        <c:axId val="357222792"/>
        <c:extLst/>
      </c:barChart>
      <c:catAx>
        <c:axId val="353055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57222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7222792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53055416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ayout>
        <c:manualLayout>
          <c:xMode val="edge"/>
          <c:yMode val="edge"/>
          <c:x val="0.31693273076279305"/>
          <c:y val="1.5748031496062992E-2"/>
          <c:w val="0.33357008799951565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10936.1</c:v>
                </c:pt>
                <c:pt idx="1">
                  <c:v>10089.799999999999</c:v>
                </c:pt>
                <c:pt idx="2">
                  <c:v>9703.2000000000007</c:v>
                </c:pt>
                <c:pt idx="3">
                  <c:v>11121.6</c:v>
                </c:pt>
                <c:pt idx="4">
                  <c:v>13517</c:v>
                </c:pt>
                <c:pt idx="5">
                  <c:v>13015.3</c:v>
                </c:pt>
                <c:pt idx="6">
                  <c:v>13247.7</c:v>
                </c:pt>
                <c:pt idx="7">
                  <c:v>13746</c:v>
                </c:pt>
                <c:pt idx="8">
                  <c:v>13908.5</c:v>
                </c:pt>
                <c:pt idx="9">
                  <c:v>14103.7</c:v>
                </c:pt>
                <c:pt idx="10">
                  <c:v>13746.7</c:v>
                </c:pt>
                <c:pt idx="11">
                  <c:v>12258.4</c:v>
                </c:pt>
                <c:pt idx="12">
                  <c:v>10935.4</c:v>
                </c:pt>
              </c:numCache>
            </c:numRef>
          </c:val>
          <c:extLst/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4856.8999999999996</c:v>
                </c:pt>
                <c:pt idx="1">
                  <c:v>4619.6000000000004</c:v>
                </c:pt>
                <c:pt idx="2">
                  <c:v>4371.6000000000004</c:v>
                </c:pt>
                <c:pt idx="3">
                  <c:v>4788.3</c:v>
                </c:pt>
                <c:pt idx="4">
                  <c:v>5336.3</c:v>
                </c:pt>
                <c:pt idx="5">
                  <c:v>5440.7</c:v>
                </c:pt>
                <c:pt idx="6">
                  <c:v>5524.0950000000003</c:v>
                </c:pt>
                <c:pt idx="7">
                  <c:v>5695.4</c:v>
                </c:pt>
                <c:pt idx="8">
                  <c:v>7002.3</c:v>
                </c:pt>
                <c:pt idx="9">
                  <c:v>6966.1</c:v>
                </c:pt>
                <c:pt idx="10">
                  <c:v>6477.8</c:v>
                </c:pt>
                <c:pt idx="11">
                  <c:v>5616.1</c:v>
                </c:pt>
                <c:pt idx="12">
                  <c:v>4910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223576"/>
        <c:axId val="357223968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8897.1</c:v>
                </c:pt>
                <c:pt idx="1">
                  <c:v>8164.3</c:v>
                </c:pt>
                <c:pt idx="2">
                  <c:v>8040.8</c:v>
                </c:pt>
                <c:pt idx="3">
                  <c:v>8517.9</c:v>
                </c:pt>
                <c:pt idx="4">
                  <c:v>9077</c:v>
                </c:pt>
                <c:pt idx="5">
                  <c:v>9768.7999999999993</c:v>
                </c:pt>
                <c:pt idx="6">
                  <c:v>10246.200000000001</c:v>
                </c:pt>
                <c:pt idx="7">
                  <c:v>10704.1</c:v>
                </c:pt>
                <c:pt idx="8">
                  <c:v>11260.6</c:v>
                </c:pt>
                <c:pt idx="9">
                  <c:v>11479.8</c:v>
                </c:pt>
                <c:pt idx="10">
                  <c:v>10910.4</c:v>
                </c:pt>
                <c:pt idx="11">
                  <c:v>9805.5</c:v>
                </c:pt>
                <c:pt idx="12">
                  <c:v>8722.1</c:v>
                </c:pt>
              </c:numCache>
            </c:numRef>
          </c:val>
          <c:smooth val="0"/>
          <c:extLst/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/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6036.3040380000002</c:v>
                </c:pt>
                <c:pt idx="1">
                  <c:v>5135.5098319999997</c:v>
                </c:pt>
                <c:pt idx="2">
                  <c:v>4708.038114</c:v>
                </c:pt>
                <c:pt idx="3">
                  <c:v>4403.8701209999999</c:v>
                </c:pt>
                <c:pt idx="4">
                  <c:v>4883.4119860000001</c:v>
                </c:pt>
                <c:pt idx="5">
                  <c:v>5398.2220399999997</c:v>
                </c:pt>
                <c:pt idx="6">
                  <c:v>5616.4103269999996</c:v>
                </c:pt>
                <c:pt idx="7">
                  <c:v>9699.4711430000007</c:v>
                </c:pt>
                <c:pt idx="8">
                  <c:v>11897.527652999999</c:v>
                </c:pt>
                <c:pt idx="9">
                  <c:v>12095.723247</c:v>
                </c:pt>
                <c:pt idx="10">
                  <c:v>11876.304858</c:v>
                </c:pt>
                <c:pt idx="11">
                  <c:v>10246.502908</c:v>
                </c:pt>
                <c:pt idx="12">
                  <c:v>8792.0937548931852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223576"/>
        <c:axId val="357223968"/>
      </c:lineChart>
      <c:catAx>
        <c:axId val="357223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572239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572239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57223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9268292682926828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88617886178861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357723577235773"/>
                  <c:y val="9.8039215686274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552845528455281E-2"/>
                  <c:y val="0.1715686274509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5528455284552787E-2"/>
                  <c:y val="0.186274509803921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5284552845528488E-2"/>
                  <c:y val="0.215686274509803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21788617886178863"/>
                  <c:y val="0.107843137254901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6260162601626016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22439024390243903"/>
                  <c:y val="-2.94117647058823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20487804878048779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5284552845528454E-2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17560975609756097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0.2</c:v>
                </c:pt>
                <c:pt idx="1">
                  <c:v>24.4</c:v>
                </c:pt>
                <c:pt idx="2">
                  <c:v>16.7</c:v>
                </c:pt>
                <c:pt idx="3">
                  <c:v>12.8</c:v>
                </c:pt>
                <c:pt idx="4">
                  <c:v>11.375039126529202</c:v>
                </c:pt>
                <c:pt idx="5">
                  <c:v>1</c:v>
                </c:pt>
                <c:pt idx="6">
                  <c:v>0.3</c:v>
                </c:pt>
                <c:pt idx="7">
                  <c:v>14.5</c:v>
                </c:pt>
                <c:pt idx="8">
                  <c:v>10</c:v>
                </c:pt>
                <c:pt idx="9">
                  <c:v>3.7</c:v>
                </c:pt>
                <c:pt idx="10">
                  <c:v>3.5</c:v>
                </c:pt>
                <c:pt idx="11">
                  <c:v>1.5249608734708004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51.562977971417759</c:v>
                </c:pt>
                <c:pt idx="1">
                  <c:v>48.43702202858222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4561426128310665"/>
                  <c:y val="-2.6143790849673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035146691667075"/>
                  <c:y val="7.84313725490195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66.475039126529197</c:v>
                </c:pt>
                <c:pt idx="1">
                  <c:v>33.524960873470803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18/08/2018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2842173996543117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365853658536586"/>
                  <c:y val="-9.411764705882352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2682926829268293"/>
                  <c:y val="9.411764705882352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53.2</c:v>
                </c:pt>
                <c:pt idx="1">
                  <c:v>46.79999999999999</c:v>
                </c:pt>
              </c:numCache>
            </c:numRef>
          </c:val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9593495934959352"/>
                  <c:y val="1.56862745098039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585365853658537"/>
                  <c:y val="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308943089430895"/>
                  <c:y val="-2.6143790849673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6585365853658524"/>
                  <c:y val="1.8300653594771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21788617886178863"/>
                  <c:y val="4.27802995213832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4959349593495935"/>
                  <c:y val="8.17217847769028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6260162601626016"/>
                  <c:y val="8.04273583449126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5447167274822354"/>
                  <c:y val="2.61437908496732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1951219512195122"/>
                  <c:y val="-3.92156862745098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1008130081300813"/>
                  <c:y val="-9.4117647058823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18211382113821126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0.1</c:v>
                </c:pt>
                <c:pt idx="1">
                  <c:v>27.5</c:v>
                </c:pt>
                <c:pt idx="2">
                  <c:v>7.7</c:v>
                </c:pt>
                <c:pt idx="3">
                  <c:v>4.8</c:v>
                </c:pt>
                <c:pt idx="4">
                  <c:v>12</c:v>
                </c:pt>
                <c:pt idx="5">
                  <c:v>1.1000000000000001</c:v>
                </c:pt>
                <c:pt idx="6">
                  <c:v>0.4</c:v>
                </c:pt>
                <c:pt idx="7">
                  <c:v>28.1</c:v>
                </c:pt>
                <c:pt idx="8">
                  <c:v>8.8000000000000007</c:v>
                </c:pt>
                <c:pt idx="9">
                  <c:v>3.8</c:v>
                </c:pt>
                <c:pt idx="10">
                  <c:v>3.9</c:v>
                </c:pt>
                <c:pt idx="11">
                  <c:v>1.8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2357723577235773"/>
                  <c:y val="5.2287581699346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3658536585365855"/>
                  <c:y val="-3.730863053882980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6585365853658537"/>
                  <c:y val="-7.68713910761154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4352653479290686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15284552845528462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7886178861788619E-2"/>
                  <c:y val="-9.6732026143790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</c:v>
                </c:pt>
                <c:pt idx="1">
                  <c:v>17.100000000000001</c:v>
                </c:pt>
                <c:pt idx="2">
                  <c:v>4.2</c:v>
                </c:pt>
                <c:pt idx="3">
                  <c:v>4.2</c:v>
                </c:pt>
                <c:pt idx="4">
                  <c:v>9.4000000000000057</c:v>
                </c:pt>
                <c:pt idx="5">
                  <c:v>0.8</c:v>
                </c:pt>
                <c:pt idx="6">
                  <c:v>0.2</c:v>
                </c:pt>
                <c:pt idx="7">
                  <c:v>38.200000000000003</c:v>
                </c:pt>
                <c:pt idx="8">
                  <c:v>20.100000000000001</c:v>
                </c:pt>
                <c:pt idx="9">
                  <c:v>2.2999999999999998</c:v>
                </c:pt>
                <c:pt idx="10">
                  <c:v>1.3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2.5805982745286459E-2"/>
                  <c:y val="3.457827030880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30.6</c:v>
                </c:pt>
                <c:pt idx="1">
                  <c:v>29.8</c:v>
                </c:pt>
                <c:pt idx="2">
                  <c:v>26.6</c:v>
                </c:pt>
                <c:pt idx="3">
                  <c:v>27.299999999999997</c:v>
                </c:pt>
                <c:pt idx="4">
                  <c:v>34.29999999999999</c:v>
                </c:pt>
                <c:pt idx="5">
                  <c:v>38.499999999999993</c:v>
                </c:pt>
                <c:pt idx="6">
                  <c:v>38.999999999999993</c:v>
                </c:pt>
                <c:pt idx="7">
                  <c:v>57</c:v>
                </c:pt>
                <c:pt idx="8">
                  <c:v>53</c:v>
                </c:pt>
                <c:pt idx="9">
                  <c:v>43.800000000000004</c:v>
                </c:pt>
                <c:pt idx="10">
                  <c:v>42.800000000000004</c:v>
                </c:pt>
                <c:pt idx="11">
                  <c:v>37.299999999999997</c:v>
                </c:pt>
                <c:pt idx="12">
                  <c:v>33.5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2.3999787238702532E-2"/>
                  <c:y val="2.6347817633906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418373758454051E-2"/>
                  <c:y val="-3.538057742782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69.400000000000006</c:v>
                </c:pt>
                <c:pt idx="1">
                  <c:v>70.2</c:v>
                </c:pt>
                <c:pt idx="2">
                  <c:v>73.400000000000006</c:v>
                </c:pt>
                <c:pt idx="3">
                  <c:v>72.7</c:v>
                </c:pt>
                <c:pt idx="4">
                  <c:v>65.700000000000017</c:v>
                </c:pt>
                <c:pt idx="5">
                  <c:v>61.500000000000007</c:v>
                </c:pt>
                <c:pt idx="6">
                  <c:v>61.000000000000007</c:v>
                </c:pt>
                <c:pt idx="7">
                  <c:v>43</c:v>
                </c:pt>
                <c:pt idx="8">
                  <c:v>47</c:v>
                </c:pt>
                <c:pt idx="9">
                  <c:v>56.199999999999996</c:v>
                </c:pt>
                <c:pt idx="10">
                  <c:v>57.199999999999996</c:v>
                </c:pt>
                <c:pt idx="11">
                  <c:v>62.7</c:v>
                </c:pt>
                <c:pt idx="12">
                  <c:v>66.5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3449288"/>
        <c:axId val="353449680"/>
      </c:lineChart>
      <c:catAx>
        <c:axId val="353449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53449680"/>
        <c:crosses val="autoZero"/>
        <c:auto val="1"/>
        <c:lblAlgn val="ctr"/>
        <c:lblOffset val="100"/>
        <c:noMultiLvlLbl val="1"/>
      </c:catAx>
      <c:valAx>
        <c:axId val="3534496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5344928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5436431600802458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4.3867937811124288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9418373758453985E-2"/>
                  <c:y val="3.8813290753516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030764771621576E-2"/>
                  <c:y val="3.4685323777252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224569265037715E-2"/>
                  <c:y val="-4.7874015748031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56.199999999999996</c:v>
                </c:pt>
                <c:pt idx="1">
                  <c:v>55.199999999999996</c:v>
                </c:pt>
                <c:pt idx="2">
                  <c:v>48.599999999999994</c:v>
                </c:pt>
                <c:pt idx="3">
                  <c:v>45</c:v>
                </c:pt>
                <c:pt idx="4">
                  <c:v>57.399999999999991</c:v>
                </c:pt>
                <c:pt idx="5">
                  <c:v>63.3</c:v>
                </c:pt>
                <c:pt idx="6">
                  <c:v>62</c:v>
                </c:pt>
                <c:pt idx="7">
                  <c:v>78</c:v>
                </c:pt>
                <c:pt idx="8">
                  <c:v>74.2</c:v>
                </c:pt>
                <c:pt idx="9">
                  <c:v>64.2</c:v>
                </c:pt>
                <c:pt idx="10">
                  <c:v>62.400000000000006</c:v>
                </c:pt>
                <c:pt idx="11">
                  <c:v>59.3</c:v>
                </c:pt>
                <c:pt idx="12">
                  <c:v>58.099999999999994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4.2061742304540524E-2"/>
                  <c:y val="-3.1362147842974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836960278205306E-2"/>
                  <c:y val="-4.7874015748031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43.800000000000004</c:v>
                </c:pt>
                <c:pt idx="1">
                  <c:v>44.800000000000004</c:v>
                </c:pt>
                <c:pt idx="2">
                  <c:v>51.400000000000006</c:v>
                </c:pt>
                <c:pt idx="3">
                  <c:v>55</c:v>
                </c:pt>
                <c:pt idx="4">
                  <c:v>42.600000000000009</c:v>
                </c:pt>
                <c:pt idx="5">
                  <c:v>36.700000000000003</c:v>
                </c:pt>
                <c:pt idx="6">
                  <c:v>38</c:v>
                </c:pt>
                <c:pt idx="7">
                  <c:v>22</c:v>
                </c:pt>
                <c:pt idx="8">
                  <c:v>25.799999999999997</c:v>
                </c:pt>
                <c:pt idx="9">
                  <c:v>35.799999999999997</c:v>
                </c:pt>
                <c:pt idx="10">
                  <c:v>37.599999999999994</c:v>
                </c:pt>
                <c:pt idx="11">
                  <c:v>40.700000000000003</c:v>
                </c:pt>
                <c:pt idx="12">
                  <c:v>41.900000000000006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3448112"/>
        <c:axId val="353447720"/>
      </c:lineChart>
      <c:catAx>
        <c:axId val="353448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53447720"/>
        <c:crosses val="autoZero"/>
        <c:auto val="1"/>
        <c:lblAlgn val="ctr"/>
        <c:lblOffset val="100"/>
        <c:noMultiLvlLbl val="1"/>
      </c:catAx>
      <c:valAx>
        <c:axId val="35344772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7798256210681472E-2"/>
              <c:y val="0.12697203871187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534481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2.6184962173845916E-2"/>
          <c:w val="0.98794826714740858"/>
          <c:h val="0.11461284057759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1082.4397687339999</c:v>
                </c:pt>
                <c:pt idx="1">
                  <c:v>1147.5808360619999</c:v>
                </c:pt>
                <c:pt idx="2">
                  <c:v>773.35631237799998</c:v>
                </c:pt>
                <c:pt idx="3">
                  <c:v>831.61728853199998</c:v>
                </c:pt>
                <c:pt idx="4">
                  <c:v>1249.93701867</c:v>
                </c:pt>
                <c:pt idx="5">
                  <c:v>2193.9237987860001</c:v>
                </c:pt>
                <c:pt idx="6">
                  <c:v>2387.5167263500002</c:v>
                </c:pt>
                <c:pt idx="7">
                  <c:v>4399.0090775560002</c:v>
                </c:pt>
                <c:pt idx="8">
                  <c:v>4716.4282802460002</c:v>
                </c:pt>
                <c:pt idx="9">
                  <c:v>3520.7950463239999</c:v>
                </c:pt>
                <c:pt idx="10">
                  <c:v>3708.6988255840001</c:v>
                </c:pt>
                <c:pt idx="11">
                  <c:v>3024.3379099859999</c:v>
                </c:pt>
                <c:pt idx="12">
                  <c:v>2110.0834</c:v>
                </c:pt>
              </c:numCache>
            </c:numRef>
          </c:val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3296.3615829999999</c:v>
                </c:pt>
                <c:pt idx="1">
                  <c:v>2817.340224</c:v>
                </c:pt>
                <c:pt idx="2">
                  <c:v>3186.7215689999998</c:v>
                </c:pt>
                <c:pt idx="3">
                  <c:v>3957.8393489999999</c:v>
                </c:pt>
                <c:pt idx="4">
                  <c:v>5753.2710479999996</c:v>
                </c:pt>
                <c:pt idx="5">
                  <c:v>5286.0049170000002</c:v>
                </c:pt>
                <c:pt idx="6">
                  <c:v>4625.0512550000003</c:v>
                </c:pt>
                <c:pt idx="7">
                  <c:v>7650.1390380000003</c:v>
                </c:pt>
                <c:pt idx="8">
                  <c:v>4409.5657819999997</c:v>
                </c:pt>
                <c:pt idx="9">
                  <c:v>3253.8841389999998</c:v>
                </c:pt>
                <c:pt idx="10">
                  <c:v>2577.227746</c:v>
                </c:pt>
                <c:pt idx="11">
                  <c:v>2478.2899400000001</c:v>
                </c:pt>
                <c:pt idx="12">
                  <c:v>3056.7289999999998</c:v>
                </c:pt>
              </c:numCache>
            </c:numRef>
          </c:val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779.85283000000004</c:v>
                </c:pt>
                <c:pt idx="1">
                  <c:v>742.38754800000004</c:v>
                </c:pt>
                <c:pt idx="2">
                  <c:v>652.66983100000004</c:v>
                </c:pt>
                <c:pt idx="3">
                  <c:v>516.57625399999995</c:v>
                </c:pt>
                <c:pt idx="4">
                  <c:v>408.96712500000001</c:v>
                </c:pt>
                <c:pt idx="5">
                  <c:v>418.21396900000002</c:v>
                </c:pt>
                <c:pt idx="6">
                  <c:v>487.24947700000001</c:v>
                </c:pt>
                <c:pt idx="7">
                  <c:v>555.35785499999997</c:v>
                </c:pt>
                <c:pt idx="8">
                  <c:v>664.19763599999999</c:v>
                </c:pt>
                <c:pt idx="9">
                  <c:v>777.59795799999995</c:v>
                </c:pt>
                <c:pt idx="10">
                  <c:v>775.23778600000003</c:v>
                </c:pt>
                <c:pt idx="11">
                  <c:v>886.33224600000005</c:v>
                </c:pt>
                <c:pt idx="12">
                  <c:v>790.10954743100001</c:v>
                </c:pt>
              </c:numCache>
            </c:numRef>
          </c:val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692.43517499999996</c:v>
                </c:pt>
                <c:pt idx="1">
                  <c:v>608.14265499999999</c:v>
                </c:pt>
                <c:pt idx="2">
                  <c:v>398.79322200000001</c:v>
                </c:pt>
                <c:pt idx="3">
                  <c:v>220.652322</c:v>
                </c:pt>
                <c:pt idx="4">
                  <c:v>131.161056</c:v>
                </c:pt>
                <c:pt idx="5">
                  <c:v>112.387517</c:v>
                </c:pt>
                <c:pt idx="6">
                  <c:v>229.80815100000001</c:v>
                </c:pt>
                <c:pt idx="7">
                  <c:v>233.95594299999999</c:v>
                </c:pt>
                <c:pt idx="8">
                  <c:v>325.935092</c:v>
                </c:pt>
                <c:pt idx="9">
                  <c:v>477.20963399999999</c:v>
                </c:pt>
                <c:pt idx="10">
                  <c:v>551.29260299999999</c:v>
                </c:pt>
                <c:pt idx="11">
                  <c:v>858.89464799999996</c:v>
                </c:pt>
                <c:pt idx="12">
                  <c:v>743.08135256900005</c:v>
                </c:pt>
              </c:numCache>
            </c:numRef>
          </c:val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315.27266900000001</c:v>
                </c:pt>
                <c:pt idx="1">
                  <c:v>308.60664700000001</c:v>
                </c:pt>
                <c:pt idx="2">
                  <c:v>308.82652000000002</c:v>
                </c:pt>
                <c:pt idx="3">
                  <c:v>306.82307200000002</c:v>
                </c:pt>
                <c:pt idx="4">
                  <c:v>311.65107799999998</c:v>
                </c:pt>
                <c:pt idx="5">
                  <c:v>295.34965499999998</c:v>
                </c:pt>
                <c:pt idx="6">
                  <c:v>301.51934999999997</c:v>
                </c:pt>
                <c:pt idx="7">
                  <c:v>269.07042999999999</c:v>
                </c:pt>
                <c:pt idx="8">
                  <c:v>237.13678899999999</c:v>
                </c:pt>
                <c:pt idx="9">
                  <c:v>290.867997</c:v>
                </c:pt>
                <c:pt idx="10">
                  <c:v>304.44358</c:v>
                </c:pt>
                <c:pt idx="11">
                  <c:v>323.38886200000002</c:v>
                </c:pt>
                <c:pt idx="12">
                  <c:v>321.39170000000001</c:v>
                </c:pt>
              </c:numCache>
            </c:numRef>
          </c:val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65.701224999999994</c:v>
                </c:pt>
                <c:pt idx="1">
                  <c:v>62.429442000000002</c:v>
                </c:pt>
                <c:pt idx="2">
                  <c:v>66.129401999999999</c:v>
                </c:pt>
                <c:pt idx="3">
                  <c:v>66.557590000000005</c:v>
                </c:pt>
                <c:pt idx="4">
                  <c:v>69.971927500000007</c:v>
                </c:pt>
                <c:pt idx="5">
                  <c:v>69.2635705</c:v>
                </c:pt>
                <c:pt idx="6">
                  <c:v>62.195681999999998</c:v>
                </c:pt>
                <c:pt idx="7">
                  <c:v>65.909200499999997</c:v>
                </c:pt>
                <c:pt idx="8">
                  <c:v>66.929152000000002</c:v>
                </c:pt>
                <c:pt idx="9">
                  <c:v>24.344857999999999</c:v>
                </c:pt>
                <c:pt idx="10">
                  <c:v>50.801109500000003</c:v>
                </c:pt>
                <c:pt idx="11">
                  <c:v>64.813796999999994</c:v>
                </c:pt>
                <c:pt idx="12">
                  <c:v>66.838449999999995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450856"/>
        <c:axId val="353451248"/>
      </c:barChart>
      <c:catAx>
        <c:axId val="353450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53451248"/>
        <c:crosses val="autoZero"/>
        <c:auto val="1"/>
        <c:lblAlgn val="ctr"/>
        <c:lblOffset val="100"/>
        <c:noMultiLvlLbl val="1"/>
      </c:catAx>
      <c:valAx>
        <c:axId val="3534512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53450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0</xdr:rowOff>
    </xdr:from>
    <xdr:to>
      <xdr:col>4</xdr:col>
      <xdr:colOff>4785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0.41062</cdr:x>
      <cdr:y>0.09127</cdr:y>
    </cdr:from>
    <cdr:to>
      <cdr:x>0.4107</cdr:x>
      <cdr:y>0.75391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874676" y="279930"/>
          <a:ext cx="561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0.48707</cdr:x>
      <cdr:y>0.60858</cdr:y>
    </cdr:from>
    <cdr:to>
      <cdr:x>0.61769</cdr:x>
      <cdr:y>0.70334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9918" y="1866553"/>
          <a:ext cx="914454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0.33062</cdr:x>
      <cdr:y>0.18138</cdr:y>
    </cdr:from>
    <cdr:to>
      <cdr:x>0.46921</cdr:x>
      <cdr:y>0.25494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4603" y="556316"/>
          <a:ext cx="970251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/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/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/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/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/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/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/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/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/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/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/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/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/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/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/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/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/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/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/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/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/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/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/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/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9</xdr:row>
      <xdr:rowOff>38100</xdr:rowOff>
    </xdr:from>
    <xdr:to>
      <xdr:col>4</xdr:col>
      <xdr:colOff>511080</xdr:colOff>
      <xdr:row>10</xdr:row>
      <xdr:rowOff>27199</xdr:rowOff>
    </xdr:to>
    <xdr:sp macro="" textlink="'Data 3'!F70">
      <xdr:nvSpPr>
        <xdr:cNvPr id="100" name="Text Box 45"/>
        <xdr:cNvSpPr txBox="1">
          <a:spLocks noChangeArrowheads="1" noTextEdit="1"/>
        </xdr:cNvSpPr>
      </xdr:nvSpPr>
      <xdr:spPr bwMode="auto">
        <a:xfrm>
          <a:off x="2116455" y="1581150"/>
          <a:ext cx="252000" cy="15102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28575</xdr:rowOff>
    </xdr:from>
    <xdr:to>
      <xdr:col>4</xdr:col>
      <xdr:colOff>825405</xdr:colOff>
      <xdr:row>10</xdr:row>
      <xdr:rowOff>35925</xdr:rowOff>
    </xdr:to>
    <xdr:sp macro="" textlink="'Data 3'!H70">
      <xdr:nvSpPr>
        <xdr:cNvPr id="103" name="Text Box 49"/>
        <xdr:cNvSpPr txBox="1">
          <a:spLocks noChangeArrowheads="1" noTextEdit="1"/>
        </xdr:cNvSpPr>
      </xdr:nvSpPr>
      <xdr:spPr bwMode="auto">
        <a:xfrm>
          <a:off x="2430780" y="1571625"/>
          <a:ext cx="252000" cy="1692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47626</xdr:rowOff>
    </xdr:from>
    <xdr:to>
      <xdr:col>4</xdr:col>
      <xdr:colOff>1168889</xdr:colOff>
      <xdr:row>10</xdr:row>
      <xdr:rowOff>38101</xdr:rowOff>
    </xdr:to>
    <xdr:sp macro="" textlink="'Data 3'!J70">
      <xdr:nvSpPr>
        <xdr:cNvPr id="104" name="Text Box 109"/>
        <xdr:cNvSpPr txBox="1">
          <a:spLocks noChangeArrowheads="1" noTextEdit="1"/>
        </xdr:cNvSpPr>
      </xdr:nvSpPr>
      <xdr:spPr bwMode="auto">
        <a:xfrm>
          <a:off x="2748280" y="1590676"/>
          <a:ext cx="277984" cy="1524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/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1.416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/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521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/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1.937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/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/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95249</xdr:rowOff>
    </xdr:from>
    <xdr:to>
      <xdr:col>4</xdr:col>
      <xdr:colOff>1166400</xdr:colOff>
      <xdr:row>13</xdr:row>
      <xdr:rowOff>112791</xdr:rowOff>
    </xdr:to>
    <xdr:sp macro="" textlink="'Data 3'!F71">
      <xdr:nvSpPr>
        <xdr:cNvPr id="111" name="Text Box 99"/>
        <xdr:cNvSpPr txBox="1">
          <a:spLocks noChangeArrowheads="1" noTextEdit="1"/>
        </xdr:cNvSpPr>
      </xdr:nvSpPr>
      <xdr:spPr bwMode="auto">
        <a:xfrm>
          <a:off x="2771775" y="2124074"/>
          <a:ext cx="252000" cy="17946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142875</xdr:rowOff>
    </xdr:from>
    <xdr:to>
      <xdr:col>4</xdr:col>
      <xdr:colOff>1480725</xdr:colOff>
      <xdr:row>13</xdr:row>
      <xdr:rowOff>115912</xdr:rowOff>
    </xdr:to>
    <xdr:sp macro="" textlink="'Data 3'!H71">
      <xdr:nvSpPr>
        <xdr:cNvPr id="112" name="Text Box 104"/>
        <xdr:cNvSpPr txBox="1">
          <a:spLocks noChangeArrowheads="1" noTextEdit="1"/>
        </xdr:cNvSpPr>
      </xdr:nvSpPr>
      <xdr:spPr bwMode="auto">
        <a:xfrm>
          <a:off x="3086100" y="2171700"/>
          <a:ext cx="252000" cy="1349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48,8%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114299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/>
        <xdr:cNvSpPr txBox="1">
          <a:spLocks noChangeArrowheads="1" noTextEdit="1"/>
        </xdr:cNvSpPr>
      </xdr:nvSpPr>
      <xdr:spPr bwMode="auto">
        <a:xfrm>
          <a:off x="3400425" y="2143124"/>
          <a:ext cx="252000" cy="14999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/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/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/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/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964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/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1.523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/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2.488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/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/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1.297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85725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/>
        <xdr:cNvSpPr txBox="1">
          <a:spLocks noChangeArrowheads="1" noTextEdit="1"/>
        </xdr:cNvSpPr>
      </xdr:nvSpPr>
      <xdr:spPr bwMode="auto">
        <a:xfrm>
          <a:off x="4145280" y="1952625"/>
          <a:ext cx="252000" cy="1702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60,8%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/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/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36,2%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95250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/>
        <xdr:cNvSpPr txBox="1">
          <a:spLocks noChangeArrowheads="1" noTextEdit="1"/>
        </xdr:cNvSpPr>
      </xdr:nvSpPr>
      <xdr:spPr bwMode="auto">
        <a:xfrm>
          <a:off x="4764405" y="1962150"/>
          <a:ext cx="252000" cy="16117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58,3%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/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1.386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/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/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/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/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1.058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76200</xdr:rowOff>
    </xdr:from>
    <xdr:to>
      <xdr:col>4</xdr:col>
      <xdr:colOff>2382425</xdr:colOff>
      <xdr:row>17</xdr:row>
      <xdr:rowOff>54481</xdr:rowOff>
    </xdr:to>
    <xdr:sp macro="" textlink="'Data 3'!F72">
      <xdr:nvSpPr>
        <xdr:cNvPr id="131" name="Text Box 64"/>
        <xdr:cNvSpPr txBox="1">
          <a:spLocks noChangeArrowheads="1" noTextEdit="1"/>
        </xdr:cNvSpPr>
      </xdr:nvSpPr>
      <xdr:spPr bwMode="auto">
        <a:xfrm>
          <a:off x="3987800" y="2752725"/>
          <a:ext cx="252000" cy="14020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/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1.063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/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2733675</xdr:colOff>
      <xdr:row>16</xdr:row>
      <xdr:rowOff>104774</xdr:rowOff>
    </xdr:from>
    <xdr:to>
      <xdr:col>4</xdr:col>
      <xdr:colOff>2985675</xdr:colOff>
      <xdr:row>17</xdr:row>
      <xdr:rowOff>58274</xdr:rowOff>
    </xdr:to>
    <xdr:sp macro="" textlink="'Data 3'!J72">
      <xdr:nvSpPr>
        <xdr:cNvPr id="134" name="Text Box 109"/>
        <xdr:cNvSpPr txBox="1">
          <a:spLocks noChangeArrowheads="1" noTextEdit="1"/>
        </xdr:cNvSpPr>
      </xdr:nvSpPr>
      <xdr:spPr bwMode="auto">
        <a:xfrm>
          <a:off x="4591050" y="2781299"/>
          <a:ext cx="252000" cy="115425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34,1%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/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2.122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/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/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/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383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857250</xdr:colOff>
      <xdr:row>19</xdr:row>
      <xdr:rowOff>95250</xdr:rowOff>
    </xdr:from>
    <xdr:to>
      <xdr:col>4</xdr:col>
      <xdr:colOff>1109250</xdr:colOff>
      <xdr:row>20</xdr:row>
      <xdr:rowOff>83055</xdr:rowOff>
    </xdr:to>
    <xdr:sp macro="" textlink="'Data 3'!H73">
      <xdr:nvSpPr>
        <xdr:cNvPr id="139" name="Text Box 148"/>
        <xdr:cNvSpPr txBox="1">
          <a:spLocks noChangeArrowheads="1" noTextEdit="1"/>
        </xdr:cNvSpPr>
      </xdr:nvSpPr>
      <xdr:spPr bwMode="auto">
        <a:xfrm>
          <a:off x="2714625" y="3257550"/>
          <a:ext cx="252000" cy="1497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/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/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/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/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145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1776000</xdr:colOff>
      <xdr:row>20</xdr:row>
      <xdr:rowOff>152294</xdr:rowOff>
    </xdr:to>
    <xdr:sp macro="" textlink="'Data 3'!F74">
      <xdr:nvSpPr>
        <xdr:cNvPr id="144" name="Text Box 74"/>
        <xdr:cNvSpPr txBox="1">
          <a:spLocks noChangeArrowheads="1" noTextEdit="1"/>
        </xdr:cNvSpPr>
      </xdr:nvSpPr>
      <xdr:spPr bwMode="auto">
        <a:xfrm>
          <a:off x="3381375" y="3248025"/>
          <a:ext cx="25200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80,5%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/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332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1828800</xdr:colOff>
      <xdr:row>20</xdr:row>
      <xdr:rowOff>0</xdr:rowOff>
    </xdr:from>
    <xdr:to>
      <xdr:col>4</xdr:col>
      <xdr:colOff>2080800</xdr:colOff>
      <xdr:row>20</xdr:row>
      <xdr:rowOff>148043</xdr:rowOff>
    </xdr:to>
    <xdr:sp macro="" textlink="'Data 3'!H74">
      <xdr:nvSpPr>
        <xdr:cNvPr id="146" name="Text Box 150"/>
        <xdr:cNvSpPr txBox="1">
          <a:spLocks noChangeArrowheads="1" noTextEdit="1"/>
        </xdr:cNvSpPr>
      </xdr:nvSpPr>
      <xdr:spPr bwMode="auto">
        <a:xfrm>
          <a:off x="3686175" y="3324225"/>
          <a:ext cx="252000" cy="1480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49,5%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2385600</xdr:colOff>
      <xdr:row>20</xdr:row>
      <xdr:rowOff>152070</xdr:rowOff>
    </xdr:to>
    <xdr:sp macro="" textlink="'Data 3'!J74">
      <xdr:nvSpPr>
        <xdr:cNvPr id="147" name="Text Box 109"/>
        <xdr:cNvSpPr txBox="1">
          <a:spLocks noChangeArrowheads="1" noTextEdit="1"/>
        </xdr:cNvSpPr>
      </xdr:nvSpPr>
      <xdr:spPr bwMode="auto">
        <a:xfrm>
          <a:off x="3990975" y="3305175"/>
          <a:ext cx="252000" cy="17112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/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477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/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/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/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3.911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76199</xdr:rowOff>
    </xdr:from>
    <xdr:to>
      <xdr:col>4</xdr:col>
      <xdr:colOff>3441700</xdr:colOff>
      <xdr:row>26</xdr:row>
      <xdr:rowOff>59877</xdr:rowOff>
    </xdr:to>
    <xdr:sp macro="" textlink="'Data 3'!H76">
      <xdr:nvSpPr>
        <xdr:cNvPr id="152" name="Text Box 89"/>
        <xdr:cNvSpPr txBox="1">
          <a:spLocks noChangeArrowheads="1" noTextEdit="1"/>
        </xdr:cNvSpPr>
      </xdr:nvSpPr>
      <xdr:spPr bwMode="auto">
        <a:xfrm>
          <a:off x="4975225" y="4210049"/>
          <a:ext cx="323850" cy="14560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/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4.882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57150</xdr:rowOff>
    </xdr:from>
    <xdr:to>
      <xdr:col>4</xdr:col>
      <xdr:colOff>2952750</xdr:colOff>
      <xdr:row>26</xdr:row>
      <xdr:rowOff>60013</xdr:rowOff>
    </xdr:to>
    <xdr:sp macro="" textlink="'Data 3'!F76">
      <xdr:nvSpPr>
        <xdr:cNvPr id="154" name="Text Box 94"/>
        <xdr:cNvSpPr txBox="1">
          <a:spLocks noChangeArrowheads="1" noTextEdit="1"/>
        </xdr:cNvSpPr>
      </xdr:nvSpPr>
      <xdr:spPr bwMode="auto">
        <a:xfrm>
          <a:off x="4486275" y="4191000"/>
          <a:ext cx="323850" cy="16478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54,4%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/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8.792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3594100</xdr:colOff>
      <xdr:row>25</xdr:row>
      <xdr:rowOff>57150</xdr:rowOff>
    </xdr:from>
    <xdr:to>
      <xdr:col>4</xdr:col>
      <xdr:colOff>3917950</xdr:colOff>
      <xdr:row>26</xdr:row>
      <xdr:rowOff>55059</xdr:rowOff>
    </xdr:to>
    <xdr:sp macro="" textlink="'Data 3'!J76">
      <xdr:nvSpPr>
        <xdr:cNvPr id="156" name="Text Box 109"/>
        <xdr:cNvSpPr txBox="1">
          <a:spLocks noChangeArrowheads="1" noTextEdit="1"/>
        </xdr:cNvSpPr>
      </xdr:nvSpPr>
      <xdr:spPr bwMode="auto">
        <a:xfrm>
          <a:off x="5451475" y="4191000"/>
          <a:ext cx="323850" cy="15983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47,4%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H14" sqref="H14"/>
    </sheetView>
  </sheetViews>
  <sheetFormatPr baseColWidth="10" defaultColWidth="11.42578125" defaultRowHeight="12.75"/>
  <cols>
    <col min="1" max="1" width="0.140625" style="143" customWidth="1"/>
    <col min="2" max="2" width="2.7109375" style="143" customWidth="1"/>
    <col min="3" max="3" width="16.42578125" style="143" customWidth="1"/>
    <col min="4" max="4" width="4.7109375" style="143" customWidth="1"/>
    <col min="5" max="5" width="95.7109375" style="143" customWidth="1"/>
    <col min="6" max="16384" width="11.42578125" style="143"/>
  </cols>
  <sheetData>
    <row r="1" spans="2:15" ht="0.75" customHeight="1"/>
    <row r="2" spans="2:15" ht="21" customHeight="1">
      <c r="B2" s="143" t="s">
        <v>66</v>
      </c>
      <c r="C2" s="144"/>
      <c r="D2" s="144"/>
      <c r="E2" s="106" t="s">
        <v>1</v>
      </c>
    </row>
    <row r="3" spans="2:15" ht="15" customHeight="1">
      <c r="C3" s="144"/>
      <c r="D3" s="144"/>
      <c r="E3" s="107" t="str">
        <f>Dat_01!A2</f>
        <v>Agosto 2018</v>
      </c>
    </row>
    <row r="4" spans="2:15" s="146" customFormat="1" ht="20.25" customHeight="1">
      <c r="B4" s="145"/>
      <c r="C4" s="105" t="s">
        <v>69</v>
      </c>
    </row>
    <row r="5" spans="2:15" s="146" customFormat="1" ht="8.25" customHeight="1">
      <c r="B5" s="145"/>
      <c r="C5" s="147"/>
    </row>
    <row r="6" spans="2:15" s="146" customFormat="1" ht="3" customHeight="1">
      <c r="B6" s="145"/>
      <c r="C6" s="147"/>
    </row>
    <row r="7" spans="2:15" s="146" customFormat="1" ht="7.5" customHeight="1">
      <c r="B7" s="145"/>
      <c r="C7" s="148"/>
      <c r="D7" s="149"/>
      <c r="E7" s="149"/>
    </row>
    <row r="8" spans="2:15" ht="12.6" customHeight="1">
      <c r="D8" s="150" t="s">
        <v>67</v>
      </c>
      <c r="E8" s="151" t="s">
        <v>80</v>
      </c>
    </row>
    <row r="9" spans="2:15" s="146" customFormat="1" ht="12.6" customHeight="1">
      <c r="B9" s="145"/>
      <c r="C9" s="152"/>
      <c r="D9" s="150" t="s">
        <v>67</v>
      </c>
      <c r="E9" s="151" t="str">
        <f>'P2'!C7</f>
        <v>Estructura de potencia instalada peninsular</v>
      </c>
      <c r="F9" s="153"/>
      <c r="G9" s="153"/>
      <c r="H9" s="153"/>
      <c r="I9" s="153"/>
      <c r="J9" s="153"/>
      <c r="K9" s="153"/>
      <c r="L9" s="153"/>
      <c r="M9" s="153"/>
      <c r="N9" s="153"/>
      <c r="O9" s="153"/>
    </row>
    <row r="10" spans="2:15" s="146" customFormat="1" ht="12.6" customHeight="1">
      <c r="B10" s="145"/>
      <c r="C10" s="152"/>
      <c r="D10" s="150" t="s">
        <v>67</v>
      </c>
      <c r="E10" s="151" t="str">
        <f>'P2'!C23</f>
        <v>Estructura de generación mensual peninsular</v>
      </c>
      <c r="F10" s="143"/>
      <c r="G10" s="153"/>
      <c r="H10" s="153"/>
      <c r="I10" s="153"/>
      <c r="J10" s="153"/>
      <c r="K10" s="153"/>
      <c r="L10" s="153"/>
      <c r="M10" s="153"/>
      <c r="N10" s="153"/>
      <c r="O10" s="153"/>
    </row>
    <row r="11" spans="2:15" ht="12.6" customHeight="1">
      <c r="D11" s="150" t="s">
        <v>67</v>
      </c>
      <c r="E11" s="151" t="str">
        <f>'P3'!C7</f>
        <v xml:space="preserve">Estructura de generación diaria del día de máxima generación de energía renovable peninsular
</v>
      </c>
      <c r="F11" s="153"/>
    </row>
    <row r="12" spans="2:15" ht="12.6" customHeight="1">
      <c r="D12" s="150" t="s">
        <v>67</v>
      </c>
      <c r="E12" s="151" t="str">
        <f>'P4'!C7</f>
        <v>Evolución del peso de la generación renovable y no renovable peninsular</v>
      </c>
    </row>
    <row r="13" spans="2:15" ht="12.6" customHeight="1">
      <c r="D13" s="150" t="s">
        <v>67</v>
      </c>
      <c r="E13" s="151" t="str">
        <f>'P5'!C7</f>
        <v>Evolución de la generación sin/con emisiones de CO2 peninsular</v>
      </c>
      <c r="F13" s="153"/>
    </row>
    <row r="14" spans="2:15" ht="12.6" customHeight="1">
      <c r="D14" s="150" t="s">
        <v>67</v>
      </c>
      <c r="E14" s="151" t="str">
        <f>'P6'!C7</f>
        <v xml:space="preserve">Evolución de la generación renovable peninsular </v>
      </c>
      <c r="F14" s="153"/>
    </row>
    <row r="15" spans="2:15" ht="12.6" customHeight="1">
      <c r="D15" s="150" t="s">
        <v>67</v>
      </c>
      <c r="E15" s="151" t="str">
        <f>'P7'!C7</f>
        <v xml:space="preserve">Evolución de la generación no renovable peninsular </v>
      </c>
      <c r="F15" s="153"/>
    </row>
    <row r="16" spans="2:15" ht="12.6" customHeight="1">
      <c r="D16" s="150" t="s">
        <v>67</v>
      </c>
      <c r="E16" s="151" t="str">
        <f>'P8'!C7</f>
        <v>Generación eólica diaria peninsular</v>
      </c>
      <c r="F16" s="153"/>
    </row>
    <row r="17" spans="2:6" ht="12.6" customHeight="1">
      <c r="D17" s="150" t="s">
        <v>67</v>
      </c>
      <c r="E17" s="151" t="str">
        <f>'P9'!C7</f>
        <v>Máximos de generación de energía eólica peninsular</v>
      </c>
      <c r="F17" s="153"/>
    </row>
    <row r="18" spans="2:6" ht="12.6" customHeight="1">
      <c r="D18" s="150" t="s">
        <v>67</v>
      </c>
      <c r="E18" s="151" t="str">
        <f>'P10'!C7</f>
        <v xml:space="preserve">Generación horaria el día de máxima generación de energía eólica peninsular
</v>
      </c>
      <c r="F18" s="153"/>
    </row>
    <row r="19" spans="2:6" ht="12.6" customHeight="1">
      <c r="D19" s="150" t="s">
        <v>67</v>
      </c>
      <c r="E19" s="151" t="str">
        <f>'P11'!B7</f>
        <v>Energía producible hidráulica diaria comparada con el producible medio histórico</v>
      </c>
      <c r="F19" s="153"/>
    </row>
    <row r="20" spans="2:6" ht="12.6" customHeight="1">
      <c r="D20" s="150" t="s">
        <v>67</v>
      </c>
      <c r="E20" s="151" t="str">
        <f>'P12'!B7</f>
        <v>Reservas hidroeléctricas</v>
      </c>
      <c r="F20" s="153"/>
    </row>
    <row r="21" spans="2:6" ht="12.6" customHeight="1">
      <c r="D21" s="150" t="s">
        <v>67</v>
      </c>
      <c r="E21" s="151" t="str">
        <f>'P13'!C7</f>
        <v>Reservas hidroeléctricas a finales de mes por cuencas hidrográficas</v>
      </c>
      <c r="F21" s="153"/>
    </row>
    <row r="22" spans="2:6" s="146" customFormat="1" ht="7.5" customHeight="1">
      <c r="B22" s="145"/>
      <c r="C22" s="148"/>
      <c r="D22" s="149"/>
      <c r="E22" s="149"/>
    </row>
  </sheetData>
  <hyperlinks>
    <hyperlink ref="E10" location="'P2'!A1" display="'P2'!A1"/>
    <hyperlink ref="E12" location="'P4'!A1" display="'P4'!A1"/>
    <hyperlink ref="E11" location="'P3'!A1" display="'P3'!A1"/>
    <hyperlink ref="E9" location="'P2'!A1" display="'P2'!A1"/>
    <hyperlink ref="E8" location="'P1'!A1" display="'P1'!A1"/>
    <hyperlink ref="E13" location="'P5'!A1" display="'P5'!A1"/>
    <hyperlink ref="E14" location="'P6 '!A1" display="'P6 '!A1"/>
    <hyperlink ref="E15" location="'P7'!A1" display="'P7'!A1"/>
    <hyperlink ref="E16" location="'P8'!A1" display="'P8'!A1"/>
    <hyperlink ref="E17" location="'P9'!A1" display="'P9'!A1"/>
    <hyperlink ref="E18" location="'P10'!A1" display="'P10'!A1"/>
    <hyperlink ref="E19" location="'P11'!A1" display="'P11'!A1"/>
    <hyperlink ref="E20" location="'P12'!A1" display="'P12'!A1"/>
    <hyperlink ref="E21" location="'P13'!A1" display="'P1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1:AA39"/>
  <sheetViews>
    <sheetView showGridLines="0" showRowColHeaders="0" topLeftCell="A2" zoomScaleNormal="100" workbookViewId="0">
      <selection activeCell="L22" sqref="L2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6" t="s">
        <v>1</v>
      </c>
    </row>
    <row r="3" spans="3:27" ht="15" customHeight="1">
      <c r="E3" s="115" t="str">
        <f>Indice!E3</f>
        <v>Agosto 2018</v>
      </c>
    </row>
    <row r="4" spans="3:27" ht="19.899999999999999" customHeight="1">
      <c r="C4" s="105" t="s">
        <v>69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297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297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23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6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1:AF40"/>
  <sheetViews>
    <sheetView showGridLines="0" showRowColHeaders="0" topLeftCell="A2" zoomScaleNormal="100" workbookViewId="0"/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6" t="s">
        <v>1</v>
      </c>
    </row>
    <row r="3" spans="3:32" ht="15" customHeight="1">
      <c r="I3" s="115" t="str">
        <f>Indice!E3</f>
        <v>Agosto 2018</v>
      </c>
    </row>
    <row r="4" spans="3:32" ht="19.899999999999999" customHeight="1">
      <c r="C4" s="105" t="s">
        <v>69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297" t="s">
        <v>25</v>
      </c>
      <c r="E7" s="117"/>
      <c r="F7" s="298" t="s">
        <v>434</v>
      </c>
      <c r="G7" s="299"/>
      <c r="H7" s="300" t="s">
        <v>27</v>
      </c>
      <c r="I7" s="300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297"/>
      <c r="E8" s="118" t="s">
        <v>28</v>
      </c>
      <c r="F8" s="189">
        <v>9867</v>
      </c>
      <c r="G8" s="192" t="s">
        <v>558</v>
      </c>
      <c r="H8" s="119">
        <v>17553</v>
      </c>
      <c r="I8" s="120" t="s">
        <v>94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23"/>
      <c r="E9" s="121" t="s">
        <v>29</v>
      </c>
      <c r="F9" s="190">
        <v>38</v>
      </c>
      <c r="G9" s="193" t="s">
        <v>559</v>
      </c>
      <c r="H9" s="154">
        <v>70.400000000000006</v>
      </c>
      <c r="I9" s="122" t="s">
        <v>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C1:AH30"/>
  <sheetViews>
    <sheetView showGridLines="0" showRowColHeaders="0" topLeftCell="A2" zoomScaleNormal="100" workbookViewId="0">
      <selection activeCell="E37" sqref="E3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6" t="s">
        <v>1</v>
      </c>
    </row>
    <row r="3" spans="3:34" ht="15" customHeight="1">
      <c r="E3" s="115" t="str">
        <f>Indice!E3</f>
        <v>Agosto 2018</v>
      </c>
    </row>
    <row r="4" spans="3:34" ht="19.899999999999999" customHeight="1">
      <c r="C4" s="105" t="s">
        <v>69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297" t="s">
        <v>68</v>
      </c>
      <c r="E7" s="4"/>
    </row>
    <row r="8" spans="3:34">
      <c r="C8" s="297"/>
      <c r="E8" s="4"/>
    </row>
    <row r="9" spans="3:34">
      <c r="C9" s="297"/>
      <c r="E9" s="4"/>
    </row>
    <row r="10" spans="3:34">
      <c r="C10" s="226">
        <f>DATE(MID(Dat_01!B215,7,4),MID(Dat_01!B215,4,2),MID(Dat_01!B215,1,2))</f>
        <v>43330</v>
      </c>
      <c r="E10" s="4"/>
    </row>
    <row r="11" spans="3:34">
      <c r="E11" s="4"/>
    </row>
    <row r="12" spans="3:34">
      <c r="C12" s="123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23"/>
    </row>
    <row r="25" spans="3:32">
      <c r="C25" s="123"/>
      <c r="E25" s="116"/>
    </row>
    <row r="26" spans="3:32">
      <c r="C26" s="12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2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23"/>
    </row>
    <row r="29" spans="3:32">
      <c r="C29" s="123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A910"/>
  <sheetViews>
    <sheetView showGridLines="0" showRowColHeaders="0" zoomScaleNormal="100" workbookViewId="0">
      <selection activeCell="H25" sqref="H25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10" width="16.5703125" style="50" customWidth="1"/>
    <col min="11" max="11" width="11.7109375" style="50" bestFit="1" customWidth="1"/>
    <col min="12" max="12" width="4" style="52" customWidth="1"/>
    <col min="13" max="13" width="7.28515625" style="52" bestFit="1" customWidth="1"/>
    <col min="14" max="14" width="4.5703125" style="50" customWidth="1"/>
    <col min="15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>
      <c r="F1" s="51"/>
    </row>
    <row r="2" spans="2:22">
      <c r="D2" s="106" t="s">
        <v>1</v>
      </c>
    </row>
    <row r="3" spans="2:22">
      <c r="D3" s="115" t="str">
        <f>Indice!E3</f>
        <v>Agosto 2018</v>
      </c>
    </row>
    <row r="4" spans="2:22" ht="20.100000000000001" customHeight="1">
      <c r="B4" s="105" t="s">
        <v>69</v>
      </c>
      <c r="V4" s="55"/>
    </row>
    <row r="5" spans="2:22">
      <c r="V5" s="55"/>
    </row>
    <row r="6" spans="2:22">
      <c r="V6" s="55"/>
    </row>
    <row r="7" spans="2:22">
      <c r="B7" s="297" t="s">
        <v>26</v>
      </c>
      <c r="V7" s="55"/>
    </row>
    <row r="8" spans="2:22">
      <c r="B8" s="297"/>
      <c r="O8" s="56"/>
      <c r="V8" s="55"/>
    </row>
    <row r="9" spans="2:22">
      <c r="B9" s="297"/>
      <c r="O9" s="56"/>
      <c r="V9" s="55"/>
    </row>
    <row r="10" spans="2:22">
      <c r="D10" s="4"/>
      <c r="O10" s="56"/>
      <c r="V10" s="55"/>
    </row>
    <row r="11" spans="2:22">
      <c r="D11" s="4"/>
      <c r="O11" s="56"/>
      <c r="V11" s="55"/>
    </row>
    <row r="12" spans="2:22">
      <c r="D12" s="4"/>
      <c r="O12" s="56"/>
      <c r="V12" s="55"/>
    </row>
    <row r="13" spans="2:22">
      <c r="D13" s="4"/>
      <c r="O13" s="56"/>
      <c r="V13" s="55"/>
    </row>
    <row r="14" spans="2:22">
      <c r="D14" s="4"/>
      <c r="O14" s="56"/>
      <c r="V14" s="55"/>
    </row>
    <row r="15" spans="2:22">
      <c r="D15" s="4"/>
      <c r="O15" s="56"/>
      <c r="V15" s="55"/>
    </row>
    <row r="16" spans="2:22">
      <c r="D16" s="4"/>
      <c r="O16" s="56"/>
      <c r="V16" s="55"/>
    </row>
    <row r="17" spans="1:27">
      <c r="D17" s="4"/>
      <c r="O17" s="56"/>
      <c r="V17" s="55"/>
    </row>
    <row r="18" spans="1:27">
      <c r="D18" s="4"/>
      <c r="O18" s="56"/>
      <c r="V18" s="55"/>
    </row>
    <row r="19" spans="1:27">
      <c r="D19" s="4"/>
      <c r="O19" s="56"/>
      <c r="V19" s="55"/>
    </row>
    <row r="20" spans="1:27" s="57" customFormat="1">
      <c r="A20"/>
      <c r="B20"/>
      <c r="C20"/>
      <c r="D20" s="4"/>
      <c r="O20" s="56"/>
      <c r="P20" s="50"/>
      <c r="V20" s="55"/>
    </row>
    <row r="21" spans="1:27" s="57" customFormat="1">
      <c r="A21"/>
      <c r="B21"/>
      <c r="C21"/>
      <c r="D21" s="4"/>
      <c r="O21" s="56"/>
      <c r="P21" s="50"/>
      <c r="V21" s="55"/>
    </row>
    <row r="22" spans="1:27">
      <c r="D22" s="41"/>
      <c r="O22" s="56"/>
      <c r="V22" s="55"/>
    </row>
    <row r="23" spans="1:27">
      <c r="O23" s="56"/>
      <c r="V23" s="55"/>
    </row>
    <row r="24" spans="1:27">
      <c r="O24" s="56"/>
      <c r="V24" s="55"/>
    </row>
    <row r="25" spans="1:27">
      <c r="O25" s="56"/>
      <c r="V25" s="55"/>
    </row>
    <row r="26" spans="1:27">
      <c r="O26" s="56"/>
      <c r="V26" s="55"/>
    </row>
    <row r="27" spans="1:27">
      <c r="O27" s="56"/>
      <c r="V27" s="55"/>
    </row>
    <row r="28" spans="1:27">
      <c r="O28" s="56"/>
      <c r="V28" s="55"/>
    </row>
    <row r="29" spans="1:27">
      <c r="O29" s="56"/>
      <c r="V29" s="55"/>
    </row>
    <row r="30" spans="1:27">
      <c r="O30" s="56"/>
      <c r="V30" s="55"/>
    </row>
    <row r="31" spans="1:27">
      <c r="O31" s="56"/>
      <c r="V31" s="55"/>
      <c r="Y31" s="58"/>
      <c r="Z31" s="58"/>
      <c r="AA31" s="59"/>
    </row>
    <row r="32" spans="1:27">
      <c r="O32" s="56"/>
      <c r="V32" s="55"/>
      <c r="Y32" s="58"/>
      <c r="Z32" s="58"/>
      <c r="AA32" s="59"/>
    </row>
    <row r="33" spans="15:27">
      <c r="O33" s="56"/>
      <c r="V33" s="55"/>
      <c r="Y33" s="58"/>
      <c r="Z33" s="58"/>
      <c r="AA33" s="59"/>
    </row>
    <row r="34" spans="15:27">
      <c r="O34" s="56"/>
      <c r="V34" s="55"/>
      <c r="Y34" s="58"/>
      <c r="Z34" s="58"/>
      <c r="AA34" s="59"/>
    </row>
    <row r="35" spans="15:27">
      <c r="O35" s="56"/>
      <c r="V35" s="55"/>
      <c r="Y35" s="58"/>
      <c r="Z35" s="58"/>
      <c r="AA35" s="59"/>
    </row>
    <row r="36" spans="15:27">
      <c r="O36" s="56"/>
      <c r="V36" s="55"/>
      <c r="Y36" s="58"/>
      <c r="Z36" s="58"/>
      <c r="AA36" s="59"/>
    </row>
    <row r="37" spans="15:27">
      <c r="O37" s="56"/>
      <c r="V37" s="55"/>
      <c r="Y37" s="58"/>
      <c r="Z37" s="58"/>
      <c r="AA37" s="59"/>
    </row>
    <row r="38" spans="15:27">
      <c r="O38" s="56"/>
      <c r="V38" s="55"/>
      <c r="Y38" s="58"/>
      <c r="Z38" s="58"/>
      <c r="AA38" s="59"/>
    </row>
    <row r="39" spans="15:27">
      <c r="O39" s="56"/>
      <c r="V39" s="55"/>
      <c r="Y39" s="58"/>
      <c r="Z39" s="58"/>
      <c r="AA39" s="59"/>
    </row>
    <row r="40" spans="15:27">
      <c r="O40" s="56"/>
      <c r="V40" s="55"/>
      <c r="Y40" s="58"/>
      <c r="Z40" s="58"/>
      <c r="AA40" s="59"/>
    </row>
    <row r="41" spans="15:27">
      <c r="O41" s="56"/>
      <c r="V41" s="55"/>
      <c r="Y41" s="58"/>
      <c r="Z41" s="58"/>
      <c r="AA41" s="59"/>
    </row>
    <row r="42" spans="15:27">
      <c r="O42" s="56"/>
      <c r="V42" s="55"/>
      <c r="Y42" s="58"/>
      <c r="Z42" s="58"/>
      <c r="AA42" s="59"/>
    </row>
    <row r="43" spans="15:27">
      <c r="O43" s="56"/>
      <c r="V43" s="55"/>
      <c r="Y43" s="58"/>
      <c r="Z43" s="58"/>
      <c r="AA43" s="59"/>
    </row>
    <row r="44" spans="15:27">
      <c r="O44" s="56"/>
      <c r="V44" s="55"/>
      <c r="Y44" s="58"/>
      <c r="Z44" s="58"/>
      <c r="AA44" s="59"/>
    </row>
    <row r="45" spans="15:27">
      <c r="O45" s="56"/>
      <c r="V45" s="55"/>
      <c r="Y45" s="58"/>
      <c r="Z45" s="58"/>
      <c r="AA45" s="59"/>
    </row>
    <row r="46" spans="15:27">
      <c r="O46" s="56"/>
      <c r="V46" s="55"/>
      <c r="Y46" s="58"/>
      <c r="Z46" s="58"/>
      <c r="AA46" s="59"/>
    </row>
    <row r="47" spans="15:27">
      <c r="O47" s="56"/>
      <c r="V47" s="55"/>
      <c r="Y47" s="58"/>
      <c r="Z47" s="58"/>
      <c r="AA47" s="59"/>
    </row>
    <row r="48" spans="15:27">
      <c r="O48" s="56"/>
      <c r="V48" s="55"/>
      <c r="Y48" s="58"/>
      <c r="Z48" s="58"/>
      <c r="AA48" s="59"/>
    </row>
    <row r="49" spans="15:27">
      <c r="O49" s="56"/>
      <c r="V49" s="55"/>
      <c r="Y49" s="58"/>
      <c r="Z49" s="58"/>
      <c r="AA49" s="59"/>
    </row>
    <row r="50" spans="15:27">
      <c r="O50" s="56"/>
      <c r="V50" s="55"/>
      <c r="Y50" s="58"/>
      <c r="Z50" s="58"/>
      <c r="AA50" s="59"/>
    </row>
    <row r="51" spans="15:27">
      <c r="O51" s="56"/>
      <c r="V51" s="55"/>
      <c r="Y51" s="58"/>
      <c r="Z51" s="58"/>
      <c r="AA51" s="59"/>
    </row>
    <row r="52" spans="15:27">
      <c r="O52" s="56"/>
      <c r="V52" s="55"/>
      <c r="Y52" s="58"/>
      <c r="Z52" s="58"/>
      <c r="AA52" s="59"/>
    </row>
    <row r="53" spans="15:27">
      <c r="O53" s="56"/>
      <c r="V53" s="55"/>
      <c r="Y53" s="58"/>
      <c r="Z53" s="58"/>
      <c r="AA53" s="59"/>
    </row>
    <row r="54" spans="15:27">
      <c r="O54" s="56"/>
      <c r="V54" s="55"/>
      <c r="Y54" s="58"/>
      <c r="Z54" s="58"/>
      <c r="AA54" s="59"/>
    </row>
    <row r="55" spans="15:27">
      <c r="O55" s="56"/>
      <c r="V55" s="55"/>
      <c r="Y55" s="58"/>
      <c r="Z55" s="58"/>
      <c r="AA55" s="59"/>
    </row>
    <row r="56" spans="15:27">
      <c r="O56" s="56"/>
      <c r="V56" s="55"/>
      <c r="Y56" s="58"/>
      <c r="Z56" s="58"/>
      <c r="AA56" s="59"/>
    </row>
    <row r="57" spans="15:27">
      <c r="O57" s="56"/>
      <c r="V57" s="55"/>
      <c r="Y57" s="58"/>
      <c r="Z57" s="58"/>
      <c r="AA57" s="59"/>
    </row>
    <row r="58" spans="15:27">
      <c r="O58" s="56"/>
      <c r="V58" s="55"/>
      <c r="Y58" s="58"/>
      <c r="Z58" s="58"/>
      <c r="AA58" s="59"/>
    </row>
    <row r="59" spans="15:27">
      <c r="O59" s="56"/>
      <c r="V59" s="55"/>
      <c r="Y59" s="58"/>
      <c r="Z59" s="58"/>
      <c r="AA59" s="59"/>
    </row>
    <row r="60" spans="15:27">
      <c r="O60" s="56"/>
      <c r="V60" s="55"/>
      <c r="Y60" s="58"/>
      <c r="Z60" s="58"/>
      <c r="AA60" s="59"/>
    </row>
    <row r="61" spans="15:27">
      <c r="O61" s="56"/>
      <c r="V61" s="55"/>
      <c r="Y61" s="58"/>
      <c r="Z61" s="58"/>
      <c r="AA61" s="59"/>
    </row>
    <row r="62" spans="15:27">
      <c r="O62" s="56"/>
      <c r="V62" s="55"/>
      <c r="Y62" s="58"/>
      <c r="Z62" s="58"/>
      <c r="AA62" s="59"/>
    </row>
    <row r="63" spans="15:27">
      <c r="O63" s="56"/>
      <c r="V63" s="55"/>
      <c r="Y63" s="58"/>
      <c r="Z63" s="58"/>
      <c r="AA63" s="59"/>
    </row>
    <row r="64" spans="15:27">
      <c r="O64" s="56"/>
      <c r="V64" s="55"/>
      <c r="Y64" s="58"/>
      <c r="Z64" s="58"/>
      <c r="AA64" s="59"/>
    </row>
    <row r="65" spans="15:27">
      <c r="O65" s="56"/>
      <c r="V65" s="55"/>
      <c r="Y65" s="58"/>
      <c r="Z65" s="58"/>
      <c r="AA65" s="59"/>
    </row>
    <row r="66" spans="15:27">
      <c r="O66" s="56"/>
      <c r="V66" s="55"/>
      <c r="Y66" s="58"/>
      <c r="Z66" s="58"/>
      <c r="AA66" s="59"/>
    </row>
    <row r="67" spans="15:27">
      <c r="O67" s="56"/>
      <c r="V67" s="55"/>
      <c r="Y67" s="58"/>
      <c r="Z67" s="58"/>
      <c r="AA67" s="59"/>
    </row>
    <row r="68" spans="15:27">
      <c r="O68" s="56"/>
      <c r="V68" s="55"/>
      <c r="Y68" s="58"/>
      <c r="Z68" s="58"/>
      <c r="AA68" s="59"/>
    </row>
    <row r="69" spans="15:27">
      <c r="O69" s="56"/>
      <c r="V69" s="55"/>
      <c r="Y69" s="58"/>
      <c r="Z69" s="58"/>
      <c r="AA69" s="59"/>
    </row>
    <row r="70" spans="15:27">
      <c r="O70" s="56"/>
      <c r="V70" s="55"/>
      <c r="Y70" s="58"/>
      <c r="Z70" s="58"/>
      <c r="AA70" s="59"/>
    </row>
    <row r="71" spans="15:27">
      <c r="O71" s="56"/>
      <c r="V71" s="55"/>
      <c r="Y71" s="58"/>
      <c r="Z71" s="58"/>
      <c r="AA71" s="59"/>
    </row>
    <row r="72" spans="15:27">
      <c r="O72" s="56"/>
      <c r="V72" s="55"/>
      <c r="Y72" s="58"/>
      <c r="Z72" s="58"/>
      <c r="AA72" s="59"/>
    </row>
    <row r="73" spans="15:27">
      <c r="O73" s="56"/>
      <c r="V73" s="55"/>
      <c r="Y73" s="58"/>
      <c r="Z73" s="58"/>
      <c r="AA73" s="59"/>
    </row>
    <row r="74" spans="15:27">
      <c r="O74" s="56"/>
      <c r="V74" s="55"/>
      <c r="Y74" s="58"/>
      <c r="Z74" s="58"/>
      <c r="AA74" s="59"/>
    </row>
    <row r="75" spans="15:27">
      <c r="O75" s="56"/>
      <c r="V75" s="55"/>
      <c r="Y75" s="58"/>
      <c r="Z75" s="58"/>
      <c r="AA75" s="59"/>
    </row>
    <row r="76" spans="15:27">
      <c r="O76" s="56"/>
      <c r="V76" s="55"/>
      <c r="Y76" s="58"/>
      <c r="Z76" s="58"/>
      <c r="AA76" s="59"/>
    </row>
    <row r="77" spans="15:27">
      <c r="O77" s="56"/>
      <c r="V77" s="55"/>
      <c r="Y77" s="58"/>
      <c r="Z77" s="58"/>
      <c r="AA77" s="59"/>
    </row>
    <row r="78" spans="15:27">
      <c r="O78" s="56"/>
      <c r="V78" s="55"/>
      <c r="Y78" s="58"/>
      <c r="Z78" s="58"/>
      <c r="AA78" s="59"/>
    </row>
    <row r="79" spans="15:27">
      <c r="O79" s="56"/>
      <c r="V79" s="55"/>
      <c r="Y79" s="58"/>
      <c r="Z79" s="58"/>
      <c r="AA79" s="59"/>
    </row>
    <row r="80" spans="15:27">
      <c r="O80" s="56"/>
      <c r="V80" s="55"/>
      <c r="Y80" s="58"/>
      <c r="Z80" s="58"/>
      <c r="AA80" s="59"/>
    </row>
    <row r="81" spans="15:27">
      <c r="O81" s="56"/>
      <c r="V81" s="55"/>
      <c r="Y81" s="58"/>
      <c r="Z81" s="58"/>
      <c r="AA81" s="59"/>
    </row>
    <row r="82" spans="15:27">
      <c r="O82" s="56"/>
      <c r="V82" s="55"/>
      <c r="Y82" s="58"/>
      <c r="Z82" s="58"/>
      <c r="AA82" s="59"/>
    </row>
    <row r="83" spans="15:27">
      <c r="O83" s="56"/>
      <c r="V83" s="55"/>
      <c r="Y83" s="58"/>
      <c r="Z83" s="58"/>
      <c r="AA83" s="59"/>
    </row>
    <row r="84" spans="15:27">
      <c r="O84" s="56"/>
      <c r="V84" s="55"/>
      <c r="Y84" s="58"/>
      <c r="Z84" s="58"/>
      <c r="AA84" s="59"/>
    </row>
    <row r="85" spans="15:27">
      <c r="O85" s="56"/>
      <c r="V85" s="55"/>
      <c r="Y85" s="58"/>
      <c r="Z85" s="58"/>
      <c r="AA85" s="59"/>
    </row>
    <row r="86" spans="15:27">
      <c r="O86" s="56"/>
      <c r="V86" s="55"/>
      <c r="Y86" s="58"/>
      <c r="Z86" s="58"/>
      <c r="AA86" s="59"/>
    </row>
    <row r="87" spans="15:27">
      <c r="O87" s="56"/>
      <c r="V87" s="55"/>
      <c r="Y87" s="58"/>
      <c r="Z87" s="58"/>
      <c r="AA87" s="59"/>
    </row>
    <row r="88" spans="15:27">
      <c r="O88" s="56"/>
      <c r="V88" s="55"/>
      <c r="Y88" s="58"/>
      <c r="Z88" s="58"/>
      <c r="AA88" s="59"/>
    </row>
    <row r="89" spans="15:27">
      <c r="O89" s="56"/>
      <c r="V89" s="55"/>
      <c r="Y89" s="58"/>
      <c r="Z89" s="58"/>
      <c r="AA89" s="59"/>
    </row>
    <row r="90" spans="15:27">
      <c r="O90" s="56"/>
      <c r="V90" s="55"/>
      <c r="Y90" s="58"/>
      <c r="Z90" s="58"/>
      <c r="AA90" s="59"/>
    </row>
    <row r="91" spans="15:27">
      <c r="O91" s="56"/>
      <c r="V91" s="55"/>
      <c r="Y91" s="58"/>
      <c r="Z91" s="58"/>
      <c r="AA91" s="59"/>
    </row>
    <row r="92" spans="15:27">
      <c r="O92" s="56"/>
      <c r="V92" s="55"/>
      <c r="Y92" s="58"/>
      <c r="Z92" s="58"/>
      <c r="AA92" s="59"/>
    </row>
    <row r="93" spans="15:27">
      <c r="O93" s="56"/>
      <c r="V93" s="55"/>
      <c r="Y93" s="58"/>
      <c r="Z93" s="58"/>
      <c r="AA93" s="59"/>
    </row>
    <row r="94" spans="15:27">
      <c r="O94" s="56"/>
      <c r="V94" s="55"/>
      <c r="Y94" s="58"/>
      <c r="Z94" s="58"/>
      <c r="AA94" s="59"/>
    </row>
    <row r="95" spans="15:27">
      <c r="O95" s="56"/>
      <c r="V95" s="55"/>
      <c r="Y95" s="58"/>
      <c r="Z95" s="58"/>
      <c r="AA95" s="59"/>
    </row>
    <row r="96" spans="15:27">
      <c r="O96" s="56"/>
      <c r="V96" s="55"/>
      <c r="Y96" s="58"/>
      <c r="Z96" s="58"/>
      <c r="AA96" s="59"/>
    </row>
    <row r="97" spans="15:27">
      <c r="O97" s="56"/>
      <c r="V97" s="55"/>
      <c r="Y97" s="58"/>
      <c r="Z97" s="58"/>
      <c r="AA97" s="59"/>
    </row>
    <row r="98" spans="15:27">
      <c r="O98" s="56"/>
      <c r="V98" s="55"/>
      <c r="Y98" s="58"/>
      <c r="Z98" s="58"/>
      <c r="AA98" s="59"/>
    </row>
    <row r="99" spans="15:27">
      <c r="O99" s="56"/>
      <c r="V99" s="55"/>
      <c r="Y99" s="58"/>
      <c r="Z99" s="58"/>
      <c r="AA99" s="59"/>
    </row>
    <row r="100" spans="15:27">
      <c r="O100" s="56"/>
      <c r="V100" s="55"/>
      <c r="Y100" s="58"/>
      <c r="Z100" s="58"/>
      <c r="AA100" s="59"/>
    </row>
    <row r="101" spans="15:27">
      <c r="O101" s="56"/>
      <c r="V101" s="55"/>
      <c r="Y101" s="58"/>
      <c r="Z101" s="58"/>
      <c r="AA101" s="59"/>
    </row>
    <row r="102" spans="15:27">
      <c r="O102" s="56"/>
      <c r="V102" s="55"/>
      <c r="Y102" s="58"/>
      <c r="Z102" s="58"/>
      <c r="AA102" s="59"/>
    </row>
    <row r="103" spans="15:27">
      <c r="O103" s="56"/>
      <c r="V103" s="55"/>
      <c r="Y103" s="58"/>
      <c r="Z103" s="58"/>
      <c r="AA103" s="59"/>
    </row>
    <row r="104" spans="15:27">
      <c r="O104" s="56"/>
      <c r="V104" s="55"/>
      <c r="Y104" s="58"/>
      <c r="Z104" s="58"/>
      <c r="AA104" s="59"/>
    </row>
    <row r="105" spans="15:27">
      <c r="O105" s="56"/>
      <c r="V105" s="55"/>
      <c r="Y105" s="58"/>
      <c r="Z105" s="58"/>
      <c r="AA105" s="59"/>
    </row>
    <row r="106" spans="15:27">
      <c r="O106" s="56"/>
      <c r="V106" s="55"/>
      <c r="Y106" s="58"/>
      <c r="Z106" s="58"/>
      <c r="AA106" s="59"/>
    </row>
    <row r="107" spans="15:27">
      <c r="O107" s="56"/>
      <c r="V107" s="55"/>
      <c r="Y107" s="58"/>
      <c r="Z107" s="58"/>
      <c r="AA107" s="59"/>
    </row>
    <row r="108" spans="15:27">
      <c r="O108" s="56"/>
      <c r="V108" s="55"/>
      <c r="Y108" s="58"/>
      <c r="Z108" s="58"/>
      <c r="AA108" s="59"/>
    </row>
    <row r="109" spans="15:27">
      <c r="O109" s="56"/>
      <c r="V109" s="55"/>
      <c r="Y109" s="58"/>
      <c r="Z109" s="58"/>
      <c r="AA109" s="59"/>
    </row>
    <row r="110" spans="15:27">
      <c r="O110" s="56"/>
      <c r="V110" s="55"/>
      <c r="Y110" s="58"/>
      <c r="Z110" s="58"/>
      <c r="AA110" s="59"/>
    </row>
    <row r="111" spans="15:27">
      <c r="O111" s="56"/>
      <c r="V111" s="55"/>
      <c r="Y111" s="58"/>
      <c r="Z111" s="58"/>
      <c r="AA111" s="59"/>
    </row>
    <row r="112" spans="15:27">
      <c r="O112" s="56"/>
      <c r="V112" s="55"/>
      <c r="Y112" s="58"/>
      <c r="Z112" s="58"/>
      <c r="AA112" s="59"/>
    </row>
    <row r="113" spans="15:27">
      <c r="O113" s="56"/>
      <c r="V113" s="55"/>
      <c r="Y113" s="58"/>
      <c r="Z113" s="58"/>
      <c r="AA113" s="59"/>
    </row>
    <row r="114" spans="15:27">
      <c r="O114" s="56"/>
      <c r="V114" s="55"/>
      <c r="Y114" s="58"/>
      <c r="Z114" s="58"/>
      <c r="AA114" s="59"/>
    </row>
    <row r="115" spans="15:27">
      <c r="O115" s="56"/>
      <c r="V115" s="55"/>
      <c r="Y115" s="58"/>
      <c r="Z115" s="58"/>
      <c r="AA115" s="59"/>
    </row>
    <row r="116" spans="15:27">
      <c r="O116" s="56"/>
      <c r="V116" s="55"/>
      <c r="Y116" s="58"/>
      <c r="Z116" s="58"/>
      <c r="AA116" s="59"/>
    </row>
    <row r="117" spans="15:27">
      <c r="O117" s="56"/>
      <c r="V117" s="55"/>
      <c r="Y117" s="58"/>
      <c r="Z117" s="58"/>
      <c r="AA117" s="59"/>
    </row>
    <row r="118" spans="15:27">
      <c r="O118" s="56"/>
      <c r="V118" s="55"/>
      <c r="Y118" s="58"/>
      <c r="Z118" s="58"/>
      <c r="AA118" s="59"/>
    </row>
    <row r="119" spans="15:27">
      <c r="O119" s="56"/>
      <c r="V119" s="55"/>
      <c r="Y119" s="58"/>
      <c r="Z119" s="58"/>
      <c r="AA119" s="59"/>
    </row>
    <row r="120" spans="15:27">
      <c r="O120" s="56"/>
      <c r="V120" s="55"/>
      <c r="Y120" s="58"/>
      <c r="Z120" s="58"/>
      <c r="AA120" s="59"/>
    </row>
    <row r="121" spans="15:27">
      <c r="O121" s="56"/>
      <c r="V121" s="55"/>
      <c r="Y121" s="58"/>
      <c r="Z121" s="58"/>
      <c r="AA121" s="59"/>
    </row>
    <row r="122" spans="15:27">
      <c r="O122" s="56"/>
      <c r="V122" s="55"/>
      <c r="Y122" s="58"/>
      <c r="Z122" s="58"/>
      <c r="AA122" s="59"/>
    </row>
    <row r="123" spans="15:27">
      <c r="O123" s="56"/>
      <c r="V123" s="55"/>
      <c r="Y123" s="58"/>
      <c r="Z123" s="58"/>
      <c r="AA123" s="59"/>
    </row>
    <row r="124" spans="15:27">
      <c r="O124" s="56"/>
      <c r="V124" s="55"/>
      <c r="Y124" s="58"/>
      <c r="Z124" s="58"/>
      <c r="AA124" s="59"/>
    </row>
    <row r="125" spans="15:27">
      <c r="O125" s="56"/>
      <c r="V125" s="55"/>
      <c r="Y125" s="58"/>
      <c r="Z125" s="58"/>
      <c r="AA125" s="59"/>
    </row>
    <row r="126" spans="15:27">
      <c r="O126" s="56"/>
      <c r="V126" s="55"/>
      <c r="Y126" s="58"/>
      <c r="Z126" s="58"/>
      <c r="AA126" s="59"/>
    </row>
    <row r="127" spans="15:27">
      <c r="O127" s="56"/>
      <c r="V127" s="55"/>
      <c r="Y127" s="58"/>
      <c r="Z127" s="58"/>
      <c r="AA127" s="59"/>
    </row>
    <row r="128" spans="15:27">
      <c r="O128" s="56"/>
      <c r="V128" s="55"/>
      <c r="Y128" s="58"/>
      <c r="Z128" s="58"/>
      <c r="AA128" s="59"/>
    </row>
    <row r="129" spans="15:27">
      <c r="O129" s="56"/>
      <c r="V129" s="55"/>
      <c r="Y129" s="58"/>
      <c r="Z129" s="58"/>
      <c r="AA129" s="59"/>
    </row>
    <row r="130" spans="15:27">
      <c r="O130" s="56"/>
      <c r="V130" s="55"/>
      <c r="Y130" s="58"/>
      <c r="Z130" s="58"/>
      <c r="AA130" s="59"/>
    </row>
    <row r="131" spans="15:27">
      <c r="O131" s="56"/>
      <c r="V131" s="55"/>
      <c r="Y131" s="58"/>
      <c r="Z131" s="58"/>
      <c r="AA131" s="59"/>
    </row>
    <row r="132" spans="15:27">
      <c r="O132" s="56"/>
      <c r="V132" s="55"/>
      <c r="Y132" s="58"/>
      <c r="Z132" s="58"/>
      <c r="AA132" s="59"/>
    </row>
    <row r="133" spans="15:27">
      <c r="O133" s="56"/>
      <c r="V133" s="55"/>
      <c r="Y133" s="58"/>
      <c r="Z133" s="58"/>
      <c r="AA133" s="59"/>
    </row>
    <row r="134" spans="15:27">
      <c r="O134" s="56"/>
      <c r="V134" s="55"/>
      <c r="Y134" s="58"/>
      <c r="Z134" s="58"/>
      <c r="AA134" s="59"/>
    </row>
    <row r="135" spans="15:27">
      <c r="O135" s="56"/>
      <c r="V135" s="55"/>
      <c r="Y135" s="58"/>
      <c r="Z135" s="58"/>
      <c r="AA135" s="59"/>
    </row>
    <row r="136" spans="15:27">
      <c r="O136" s="56"/>
      <c r="V136" s="55"/>
      <c r="Y136" s="58"/>
      <c r="Z136" s="58"/>
      <c r="AA136" s="59"/>
    </row>
    <row r="137" spans="15:27">
      <c r="O137" s="56"/>
      <c r="V137" s="55"/>
      <c r="Y137" s="58"/>
      <c r="Z137" s="58"/>
      <c r="AA137" s="59"/>
    </row>
    <row r="138" spans="15:27">
      <c r="O138" s="56"/>
      <c r="V138" s="55"/>
      <c r="Y138" s="58"/>
      <c r="Z138" s="58"/>
      <c r="AA138" s="59"/>
    </row>
    <row r="139" spans="15:27">
      <c r="O139" s="56"/>
      <c r="V139" s="55"/>
      <c r="Y139" s="58"/>
      <c r="Z139" s="58"/>
      <c r="AA139" s="59"/>
    </row>
    <row r="140" spans="15:27">
      <c r="O140" s="56"/>
      <c r="V140" s="55"/>
      <c r="Y140" s="58"/>
      <c r="Z140" s="58"/>
      <c r="AA140" s="59"/>
    </row>
    <row r="141" spans="15:27">
      <c r="O141" s="56"/>
      <c r="V141" s="55"/>
      <c r="Y141" s="58"/>
      <c r="Z141" s="58"/>
      <c r="AA141" s="59"/>
    </row>
    <row r="142" spans="15:27">
      <c r="O142" s="56"/>
      <c r="V142" s="55"/>
      <c r="Y142" s="58"/>
      <c r="Z142" s="58"/>
      <c r="AA142" s="59"/>
    </row>
    <row r="143" spans="15:27">
      <c r="O143" s="56"/>
      <c r="V143" s="55"/>
      <c r="Y143" s="58"/>
      <c r="Z143" s="58"/>
      <c r="AA143" s="59"/>
    </row>
    <row r="144" spans="15:27">
      <c r="O144" s="56"/>
      <c r="V144" s="55"/>
      <c r="Y144" s="58"/>
      <c r="Z144" s="58"/>
      <c r="AA144" s="59"/>
    </row>
    <row r="145" spans="15:27">
      <c r="O145" s="56"/>
      <c r="V145" s="55"/>
      <c r="Y145" s="58"/>
      <c r="Z145" s="58"/>
      <c r="AA145" s="59"/>
    </row>
    <row r="146" spans="15:27">
      <c r="O146" s="56"/>
      <c r="V146" s="55"/>
      <c r="Y146" s="58"/>
      <c r="Z146" s="58"/>
      <c r="AA146" s="59"/>
    </row>
    <row r="147" spans="15:27">
      <c r="O147" s="56"/>
      <c r="V147" s="55"/>
      <c r="Y147" s="58"/>
      <c r="Z147" s="58"/>
      <c r="AA147" s="59"/>
    </row>
    <row r="148" spans="15:27">
      <c r="O148" s="56"/>
      <c r="V148" s="55"/>
      <c r="Y148" s="58"/>
      <c r="Z148" s="58"/>
      <c r="AA148" s="59"/>
    </row>
    <row r="149" spans="15:27">
      <c r="O149" s="56"/>
      <c r="V149" s="55"/>
      <c r="Y149" s="58"/>
      <c r="Z149" s="58"/>
      <c r="AA149" s="59"/>
    </row>
    <row r="150" spans="15:27">
      <c r="O150" s="56"/>
      <c r="V150" s="55"/>
      <c r="Y150" s="58"/>
      <c r="Z150" s="58"/>
      <c r="AA150" s="59"/>
    </row>
    <row r="151" spans="15:27">
      <c r="O151" s="56"/>
      <c r="V151" s="55"/>
      <c r="Y151" s="58"/>
      <c r="Z151" s="58"/>
      <c r="AA151" s="59"/>
    </row>
    <row r="152" spans="15:27">
      <c r="O152" s="56"/>
      <c r="V152" s="55"/>
      <c r="Y152" s="58"/>
      <c r="Z152" s="58"/>
      <c r="AA152" s="59"/>
    </row>
    <row r="153" spans="15:27">
      <c r="O153" s="56"/>
      <c r="V153" s="55"/>
      <c r="Y153" s="58"/>
      <c r="Z153" s="58"/>
      <c r="AA153" s="59"/>
    </row>
    <row r="154" spans="15:27">
      <c r="O154" s="56"/>
      <c r="V154" s="55"/>
      <c r="Y154" s="58"/>
      <c r="Z154" s="58"/>
      <c r="AA154" s="59"/>
    </row>
    <row r="155" spans="15:27">
      <c r="O155" s="56"/>
      <c r="V155" s="55"/>
      <c r="Y155" s="58"/>
      <c r="Z155" s="58"/>
      <c r="AA155" s="59"/>
    </row>
    <row r="156" spans="15:27">
      <c r="O156" s="56"/>
      <c r="V156" s="55"/>
      <c r="Y156" s="58"/>
      <c r="Z156" s="58"/>
      <c r="AA156" s="59"/>
    </row>
    <row r="157" spans="15:27">
      <c r="O157" s="56"/>
      <c r="V157" s="55"/>
      <c r="Y157" s="58"/>
      <c r="Z157" s="58"/>
      <c r="AA157" s="59"/>
    </row>
    <row r="158" spans="15:27">
      <c r="O158" s="56"/>
      <c r="V158" s="55"/>
      <c r="Y158" s="58"/>
      <c r="Z158" s="58"/>
      <c r="AA158" s="59"/>
    </row>
    <row r="159" spans="15:27">
      <c r="O159" s="56"/>
      <c r="V159" s="55"/>
      <c r="Y159" s="58"/>
      <c r="Z159" s="58"/>
      <c r="AA159" s="59"/>
    </row>
    <row r="160" spans="15:27">
      <c r="O160" s="56"/>
      <c r="V160" s="55"/>
      <c r="Y160" s="58"/>
      <c r="Z160" s="58"/>
      <c r="AA160" s="59"/>
    </row>
    <row r="161" spans="15:27">
      <c r="O161" s="56"/>
      <c r="V161" s="55"/>
      <c r="Y161" s="58"/>
      <c r="Z161" s="58"/>
      <c r="AA161" s="59"/>
    </row>
    <row r="162" spans="15:27">
      <c r="O162" s="56"/>
      <c r="V162" s="55"/>
      <c r="Y162" s="58"/>
      <c r="Z162" s="58"/>
      <c r="AA162" s="59"/>
    </row>
    <row r="163" spans="15:27">
      <c r="O163" s="56"/>
      <c r="V163" s="55"/>
      <c r="Y163" s="58"/>
      <c r="Z163" s="58"/>
      <c r="AA163" s="59"/>
    </row>
    <row r="164" spans="15:27">
      <c r="O164" s="56"/>
      <c r="V164" s="55"/>
      <c r="Y164" s="58"/>
      <c r="Z164" s="58"/>
      <c r="AA164" s="59"/>
    </row>
    <row r="165" spans="15:27">
      <c r="O165" s="56"/>
      <c r="V165" s="55"/>
      <c r="Y165" s="58"/>
      <c r="Z165" s="58"/>
      <c r="AA165" s="59"/>
    </row>
    <row r="166" spans="15:27">
      <c r="O166" s="56"/>
      <c r="V166" s="55"/>
      <c r="Y166" s="58"/>
      <c r="Z166" s="58"/>
      <c r="AA166" s="59"/>
    </row>
    <row r="167" spans="15:27">
      <c r="O167" s="56"/>
      <c r="V167" s="55"/>
      <c r="Y167" s="58"/>
      <c r="Z167" s="58"/>
      <c r="AA167" s="59"/>
    </row>
    <row r="168" spans="15:27">
      <c r="O168" s="56"/>
      <c r="V168" s="55"/>
      <c r="Y168" s="58"/>
      <c r="Z168" s="58"/>
      <c r="AA168" s="59"/>
    </row>
    <row r="169" spans="15:27">
      <c r="O169" s="56"/>
      <c r="V169" s="55"/>
      <c r="Y169" s="58"/>
      <c r="Z169" s="58"/>
      <c r="AA169" s="59"/>
    </row>
    <row r="170" spans="15:27">
      <c r="O170" s="56"/>
      <c r="V170" s="55"/>
      <c r="Y170" s="58"/>
      <c r="Z170" s="58"/>
      <c r="AA170" s="59"/>
    </row>
    <row r="171" spans="15:27">
      <c r="O171" s="56"/>
      <c r="V171" s="55"/>
      <c r="Y171" s="58"/>
      <c r="Z171" s="58"/>
      <c r="AA171" s="59"/>
    </row>
    <row r="172" spans="15:27">
      <c r="O172" s="56"/>
      <c r="V172" s="55"/>
      <c r="Y172" s="58"/>
      <c r="Z172" s="58"/>
      <c r="AA172" s="59"/>
    </row>
    <row r="173" spans="15:27">
      <c r="O173" s="56"/>
      <c r="V173" s="55"/>
      <c r="Y173" s="58"/>
      <c r="Z173" s="58"/>
      <c r="AA173" s="59"/>
    </row>
    <row r="174" spans="15:27">
      <c r="O174" s="56"/>
      <c r="V174" s="55"/>
      <c r="Y174" s="58"/>
      <c r="Z174" s="58"/>
      <c r="AA174" s="59"/>
    </row>
    <row r="175" spans="15:27">
      <c r="O175" s="56"/>
      <c r="V175" s="55"/>
      <c r="Y175" s="58"/>
      <c r="Z175" s="58"/>
      <c r="AA175" s="59"/>
    </row>
    <row r="176" spans="15:27">
      <c r="O176" s="56"/>
      <c r="V176" s="55"/>
      <c r="Y176" s="58"/>
      <c r="Z176" s="58"/>
      <c r="AA176" s="59"/>
    </row>
    <row r="177" spans="15:27">
      <c r="O177" s="56"/>
      <c r="V177" s="55"/>
      <c r="Y177" s="58"/>
      <c r="Z177" s="58"/>
      <c r="AA177" s="59"/>
    </row>
    <row r="178" spans="15:27">
      <c r="O178" s="56"/>
      <c r="V178" s="55"/>
      <c r="Y178" s="58"/>
      <c r="Z178" s="58"/>
      <c r="AA178" s="59"/>
    </row>
    <row r="179" spans="15:27">
      <c r="O179" s="56"/>
      <c r="V179" s="55"/>
      <c r="Y179" s="58"/>
      <c r="Z179" s="58"/>
      <c r="AA179" s="59"/>
    </row>
    <row r="180" spans="15:27">
      <c r="O180" s="56"/>
      <c r="V180" s="55"/>
      <c r="Y180" s="58"/>
      <c r="Z180" s="58"/>
      <c r="AA180" s="59"/>
    </row>
    <row r="181" spans="15:27">
      <c r="O181" s="56"/>
      <c r="V181" s="55"/>
      <c r="Y181" s="58"/>
      <c r="Z181" s="58"/>
      <c r="AA181" s="59"/>
    </row>
    <row r="182" spans="15:27">
      <c r="O182" s="56"/>
      <c r="V182" s="55"/>
      <c r="Y182" s="58"/>
      <c r="Z182" s="58"/>
      <c r="AA182" s="59"/>
    </row>
    <row r="183" spans="15:27">
      <c r="O183" s="56"/>
      <c r="V183" s="55"/>
      <c r="Y183" s="58"/>
      <c r="Z183" s="58"/>
      <c r="AA183" s="59"/>
    </row>
    <row r="184" spans="15:27">
      <c r="O184" s="56"/>
      <c r="V184" s="55"/>
      <c r="Y184" s="58"/>
      <c r="Z184" s="58"/>
      <c r="AA184" s="59"/>
    </row>
    <row r="185" spans="15:27">
      <c r="O185" s="56"/>
      <c r="V185" s="55"/>
      <c r="Y185" s="58"/>
      <c r="Z185" s="58"/>
      <c r="AA185" s="59"/>
    </row>
    <row r="186" spans="15:27">
      <c r="O186" s="56"/>
      <c r="V186" s="55"/>
      <c r="Y186" s="58"/>
      <c r="Z186" s="58"/>
      <c r="AA186" s="59"/>
    </row>
    <row r="187" spans="15:27">
      <c r="O187" s="56"/>
      <c r="V187" s="55"/>
      <c r="Y187" s="58"/>
      <c r="Z187" s="58"/>
      <c r="AA187" s="59"/>
    </row>
    <row r="188" spans="15:27">
      <c r="O188" s="56"/>
      <c r="V188" s="55"/>
      <c r="Y188" s="58"/>
      <c r="Z188" s="58"/>
      <c r="AA188" s="59"/>
    </row>
    <row r="189" spans="15:27">
      <c r="O189" s="56"/>
      <c r="V189" s="55"/>
      <c r="Y189" s="58"/>
      <c r="Z189" s="58"/>
      <c r="AA189" s="59"/>
    </row>
    <row r="190" spans="15:27">
      <c r="O190" s="56"/>
      <c r="V190" s="55"/>
      <c r="Y190" s="58"/>
      <c r="Z190" s="58"/>
      <c r="AA190" s="59"/>
    </row>
    <row r="191" spans="15:27">
      <c r="O191" s="56"/>
      <c r="V191" s="55"/>
      <c r="Y191" s="58"/>
      <c r="Z191" s="58"/>
      <c r="AA191" s="59"/>
    </row>
    <row r="192" spans="15:27">
      <c r="O192" s="56"/>
      <c r="V192" s="55"/>
      <c r="Y192" s="58"/>
      <c r="Z192" s="58"/>
      <c r="AA192" s="59"/>
    </row>
    <row r="193" spans="15:27">
      <c r="O193" s="56"/>
      <c r="V193" s="55"/>
      <c r="Y193" s="58"/>
      <c r="Z193" s="58"/>
      <c r="AA193" s="59"/>
    </row>
    <row r="194" spans="15:27">
      <c r="O194" s="56"/>
      <c r="V194" s="55"/>
      <c r="Y194" s="58"/>
      <c r="Z194" s="58"/>
      <c r="AA194" s="59"/>
    </row>
    <row r="195" spans="15:27">
      <c r="O195" s="56"/>
      <c r="V195" s="55"/>
      <c r="Y195" s="58"/>
      <c r="Z195" s="58"/>
      <c r="AA195" s="59"/>
    </row>
    <row r="196" spans="15:27">
      <c r="O196" s="56"/>
      <c r="V196" s="55"/>
      <c r="Y196" s="58"/>
      <c r="Z196" s="58"/>
      <c r="AA196" s="59"/>
    </row>
    <row r="197" spans="15:27">
      <c r="O197" s="56"/>
      <c r="V197" s="55"/>
      <c r="Y197" s="58"/>
      <c r="Z197" s="58"/>
      <c r="AA197" s="59"/>
    </row>
    <row r="198" spans="15:27">
      <c r="O198" s="56"/>
      <c r="V198" s="55"/>
      <c r="Y198" s="58"/>
      <c r="Z198" s="58"/>
      <c r="AA198" s="59"/>
    </row>
    <row r="199" spans="15:27">
      <c r="O199" s="56"/>
      <c r="V199" s="55"/>
      <c r="Y199" s="58"/>
      <c r="Z199" s="58"/>
      <c r="AA199" s="59"/>
    </row>
    <row r="200" spans="15:27">
      <c r="O200" s="56"/>
      <c r="V200" s="55"/>
      <c r="Y200" s="58"/>
      <c r="Z200" s="58"/>
      <c r="AA200" s="59"/>
    </row>
    <row r="201" spans="15:27">
      <c r="O201" s="56"/>
      <c r="V201" s="55"/>
      <c r="Y201" s="58"/>
      <c r="Z201" s="58"/>
      <c r="AA201" s="59"/>
    </row>
    <row r="202" spans="15:27">
      <c r="O202" s="56"/>
      <c r="V202" s="55"/>
      <c r="Y202" s="58"/>
      <c r="Z202" s="58"/>
      <c r="AA202" s="59"/>
    </row>
    <row r="203" spans="15:27">
      <c r="O203" s="56"/>
      <c r="V203" s="55"/>
      <c r="Y203" s="58"/>
      <c r="Z203" s="58"/>
      <c r="AA203" s="59"/>
    </row>
    <row r="204" spans="15:27">
      <c r="O204" s="56"/>
      <c r="V204" s="55"/>
      <c r="Y204" s="58"/>
      <c r="Z204" s="58"/>
      <c r="AA204" s="59"/>
    </row>
    <row r="205" spans="15:27">
      <c r="O205" s="56"/>
      <c r="V205" s="55"/>
      <c r="Y205" s="58"/>
      <c r="Z205" s="58"/>
      <c r="AA205" s="59"/>
    </row>
    <row r="206" spans="15:27">
      <c r="O206" s="56"/>
      <c r="V206" s="55"/>
      <c r="Y206" s="58"/>
      <c r="Z206" s="58"/>
      <c r="AA206" s="59"/>
    </row>
    <row r="207" spans="15:27">
      <c r="O207" s="56"/>
      <c r="V207" s="55"/>
      <c r="Y207" s="58"/>
      <c r="Z207" s="58"/>
      <c r="AA207" s="59"/>
    </row>
    <row r="208" spans="15:27">
      <c r="O208" s="56"/>
      <c r="V208" s="55"/>
      <c r="Y208" s="58"/>
      <c r="Z208" s="58"/>
      <c r="AA208" s="59"/>
    </row>
    <row r="209" spans="15:27">
      <c r="O209" s="56"/>
      <c r="V209" s="55"/>
      <c r="Y209" s="58"/>
      <c r="Z209" s="58"/>
      <c r="AA209" s="59"/>
    </row>
    <row r="210" spans="15:27">
      <c r="O210" s="56"/>
      <c r="V210" s="55"/>
      <c r="Y210" s="58"/>
      <c r="Z210" s="58"/>
      <c r="AA210" s="59"/>
    </row>
    <row r="211" spans="15:27">
      <c r="O211" s="56"/>
      <c r="V211" s="55"/>
      <c r="Y211" s="58"/>
      <c r="Z211" s="58"/>
      <c r="AA211" s="59"/>
    </row>
    <row r="212" spans="15:27">
      <c r="O212" s="56"/>
      <c r="V212" s="55"/>
      <c r="Y212" s="58"/>
      <c r="Z212" s="58"/>
      <c r="AA212" s="59"/>
    </row>
    <row r="213" spans="15:27">
      <c r="O213" s="56"/>
      <c r="V213" s="55"/>
      <c r="Y213" s="58"/>
      <c r="Z213" s="58"/>
      <c r="AA213" s="59"/>
    </row>
    <row r="214" spans="15:27">
      <c r="O214" s="56"/>
      <c r="V214" s="55"/>
      <c r="Y214" s="58"/>
      <c r="Z214" s="58"/>
      <c r="AA214" s="59"/>
    </row>
    <row r="215" spans="15:27">
      <c r="O215" s="56"/>
      <c r="V215" s="55"/>
      <c r="Y215" s="58"/>
      <c r="Z215" s="58"/>
      <c r="AA215" s="59"/>
    </row>
    <row r="216" spans="15:27">
      <c r="O216" s="56"/>
      <c r="V216" s="55"/>
      <c r="Y216" s="58"/>
      <c r="Z216" s="58"/>
      <c r="AA216" s="59"/>
    </row>
    <row r="217" spans="15:27">
      <c r="O217" s="56"/>
      <c r="V217" s="55"/>
      <c r="Y217" s="58"/>
      <c r="Z217" s="58"/>
      <c r="AA217" s="59"/>
    </row>
    <row r="218" spans="15:27">
      <c r="O218" s="56"/>
      <c r="V218" s="55"/>
      <c r="Y218" s="58"/>
      <c r="Z218" s="58"/>
      <c r="AA218" s="59"/>
    </row>
    <row r="219" spans="15:27">
      <c r="O219" s="56"/>
      <c r="V219" s="55"/>
      <c r="Y219" s="58"/>
      <c r="Z219" s="58"/>
      <c r="AA219" s="59"/>
    </row>
    <row r="220" spans="15:27">
      <c r="O220" s="56"/>
      <c r="V220" s="55"/>
      <c r="Y220" s="58"/>
      <c r="Z220" s="58"/>
      <c r="AA220" s="59"/>
    </row>
    <row r="221" spans="15:27">
      <c r="O221" s="56"/>
      <c r="V221" s="55"/>
      <c r="Y221" s="58"/>
      <c r="Z221" s="58"/>
      <c r="AA221" s="59"/>
    </row>
    <row r="222" spans="15:27">
      <c r="O222" s="56"/>
      <c r="V222" s="55"/>
      <c r="Y222" s="58"/>
      <c r="Z222" s="58"/>
      <c r="AA222" s="59"/>
    </row>
    <row r="223" spans="15:27">
      <c r="O223" s="56"/>
      <c r="V223" s="55"/>
      <c r="Y223" s="58"/>
      <c r="Z223" s="58"/>
      <c r="AA223" s="59"/>
    </row>
    <row r="224" spans="15:27">
      <c r="O224" s="56"/>
      <c r="V224" s="55"/>
      <c r="Y224" s="58"/>
      <c r="Z224" s="58"/>
      <c r="AA224" s="59"/>
    </row>
    <row r="225" spans="15:27">
      <c r="O225" s="56"/>
      <c r="V225" s="55"/>
      <c r="Y225" s="58"/>
      <c r="Z225" s="58"/>
      <c r="AA225" s="59"/>
    </row>
    <row r="226" spans="15:27">
      <c r="O226" s="56"/>
      <c r="V226" s="55"/>
      <c r="Y226" s="58"/>
      <c r="Z226" s="58"/>
      <c r="AA226" s="59"/>
    </row>
    <row r="227" spans="15:27">
      <c r="O227" s="56"/>
      <c r="V227" s="55"/>
      <c r="Y227" s="58"/>
      <c r="Z227" s="58"/>
      <c r="AA227" s="59"/>
    </row>
    <row r="228" spans="15:27">
      <c r="O228" s="56"/>
      <c r="V228" s="55"/>
      <c r="Y228" s="58"/>
      <c r="Z228" s="58"/>
      <c r="AA228" s="59"/>
    </row>
    <row r="229" spans="15:27">
      <c r="O229" s="56"/>
      <c r="V229" s="55"/>
      <c r="Y229" s="58"/>
      <c r="Z229" s="58"/>
      <c r="AA229" s="59"/>
    </row>
    <row r="230" spans="15:27">
      <c r="O230" s="56"/>
      <c r="V230" s="55"/>
      <c r="Y230" s="58"/>
      <c r="Z230" s="58"/>
      <c r="AA230" s="59"/>
    </row>
    <row r="231" spans="15:27">
      <c r="O231" s="56"/>
      <c r="V231" s="55"/>
      <c r="Y231" s="58"/>
      <c r="Z231" s="58"/>
      <c r="AA231" s="59"/>
    </row>
    <row r="232" spans="15:27">
      <c r="O232" s="56"/>
      <c r="V232" s="55"/>
      <c r="Y232" s="58"/>
      <c r="Z232" s="58"/>
      <c r="AA232" s="59"/>
    </row>
    <row r="233" spans="15:27">
      <c r="O233" s="56"/>
      <c r="V233" s="55"/>
      <c r="Y233" s="58"/>
      <c r="Z233" s="58"/>
      <c r="AA233" s="59"/>
    </row>
    <row r="234" spans="15:27">
      <c r="O234" s="56"/>
      <c r="V234" s="55"/>
      <c r="Y234" s="58"/>
      <c r="Z234" s="58"/>
      <c r="AA234" s="59"/>
    </row>
    <row r="235" spans="15:27">
      <c r="O235" s="56"/>
      <c r="V235" s="55"/>
      <c r="Y235" s="58"/>
      <c r="Z235" s="58"/>
      <c r="AA235" s="59"/>
    </row>
    <row r="236" spans="15:27">
      <c r="O236" s="56"/>
      <c r="V236" s="55"/>
      <c r="Y236" s="58"/>
      <c r="Z236" s="58"/>
      <c r="AA236" s="59"/>
    </row>
    <row r="237" spans="15:27">
      <c r="O237" s="56"/>
      <c r="V237" s="55"/>
      <c r="Y237" s="58"/>
      <c r="Z237" s="58"/>
      <c r="AA237" s="59"/>
    </row>
    <row r="238" spans="15:27">
      <c r="O238" s="56"/>
      <c r="V238" s="55"/>
      <c r="Y238" s="58"/>
      <c r="Z238" s="58"/>
      <c r="AA238" s="59"/>
    </row>
    <row r="239" spans="15:27">
      <c r="O239" s="56"/>
      <c r="V239" s="55"/>
      <c r="Y239" s="58"/>
      <c r="Z239" s="58"/>
      <c r="AA239" s="59"/>
    </row>
    <row r="240" spans="15:27">
      <c r="O240" s="56"/>
      <c r="V240" s="55"/>
      <c r="Y240" s="58"/>
      <c r="Z240" s="58"/>
      <c r="AA240" s="59"/>
    </row>
    <row r="241" spans="15:27">
      <c r="O241" s="56"/>
      <c r="V241" s="55"/>
      <c r="Y241" s="58"/>
      <c r="Z241" s="58"/>
      <c r="AA241" s="59"/>
    </row>
    <row r="242" spans="15:27">
      <c r="O242" s="56"/>
      <c r="V242" s="55"/>
      <c r="Y242" s="58"/>
      <c r="Z242" s="58"/>
      <c r="AA242" s="59"/>
    </row>
    <row r="243" spans="15:27">
      <c r="O243" s="56"/>
      <c r="V243" s="55"/>
      <c r="Y243" s="58"/>
      <c r="Z243" s="58"/>
      <c r="AA243" s="59"/>
    </row>
    <row r="244" spans="15:27">
      <c r="O244" s="56"/>
      <c r="V244" s="55"/>
      <c r="Y244" s="58"/>
      <c r="Z244" s="58"/>
      <c r="AA244" s="59"/>
    </row>
    <row r="245" spans="15:27">
      <c r="O245" s="56"/>
      <c r="V245" s="55"/>
      <c r="Y245" s="58"/>
      <c r="Z245" s="58"/>
      <c r="AA245" s="59"/>
    </row>
    <row r="246" spans="15:27">
      <c r="O246" s="56"/>
      <c r="V246" s="55"/>
      <c r="Y246" s="58"/>
      <c r="Z246" s="58"/>
      <c r="AA246" s="59"/>
    </row>
    <row r="247" spans="15:27">
      <c r="O247" s="56"/>
      <c r="V247" s="55"/>
      <c r="Y247" s="58"/>
      <c r="Z247" s="58"/>
      <c r="AA247" s="59"/>
    </row>
    <row r="248" spans="15:27">
      <c r="O248" s="56"/>
      <c r="V248" s="55"/>
      <c r="Y248" s="58"/>
      <c r="Z248" s="58"/>
      <c r="AA248" s="59"/>
    </row>
    <row r="249" spans="15:27">
      <c r="O249" s="56"/>
      <c r="V249" s="55"/>
      <c r="Y249" s="58"/>
      <c r="Z249" s="58"/>
      <c r="AA249" s="59"/>
    </row>
    <row r="250" spans="15:27">
      <c r="O250" s="56"/>
      <c r="V250" s="55"/>
      <c r="Y250" s="58"/>
      <c r="Z250" s="58"/>
      <c r="AA250" s="59"/>
    </row>
    <row r="251" spans="15:27">
      <c r="O251" s="56"/>
      <c r="V251" s="55"/>
      <c r="Y251" s="58"/>
      <c r="Z251" s="58"/>
      <c r="AA251" s="59"/>
    </row>
    <row r="252" spans="15:27">
      <c r="O252" s="56"/>
      <c r="V252" s="55"/>
      <c r="Y252" s="58"/>
      <c r="Z252" s="58"/>
      <c r="AA252" s="59"/>
    </row>
    <row r="253" spans="15:27">
      <c r="O253" s="56"/>
      <c r="V253" s="55"/>
      <c r="Y253" s="58"/>
      <c r="Z253" s="58"/>
      <c r="AA253" s="59"/>
    </row>
    <row r="254" spans="15:27">
      <c r="O254" s="56"/>
      <c r="V254" s="55"/>
      <c r="Y254" s="58"/>
      <c r="Z254" s="58"/>
      <c r="AA254" s="59"/>
    </row>
    <row r="255" spans="15:27">
      <c r="O255" s="56"/>
      <c r="V255" s="55"/>
      <c r="Y255" s="58"/>
      <c r="Z255" s="58"/>
      <c r="AA255" s="59"/>
    </row>
    <row r="256" spans="15:27">
      <c r="O256" s="56"/>
      <c r="V256" s="55"/>
      <c r="Y256" s="58"/>
      <c r="Z256" s="58"/>
      <c r="AA256" s="59"/>
    </row>
    <row r="257" spans="15:27">
      <c r="O257" s="56"/>
      <c r="V257" s="55"/>
      <c r="Y257" s="58"/>
      <c r="Z257" s="58"/>
      <c r="AA257" s="59"/>
    </row>
    <row r="258" spans="15:27">
      <c r="O258" s="56"/>
      <c r="V258" s="55"/>
      <c r="Y258" s="58"/>
      <c r="Z258" s="58"/>
      <c r="AA258" s="59"/>
    </row>
    <row r="259" spans="15:27">
      <c r="O259" s="56"/>
      <c r="V259" s="55"/>
      <c r="Y259" s="58"/>
      <c r="Z259" s="58"/>
      <c r="AA259" s="59"/>
    </row>
    <row r="260" spans="15:27">
      <c r="O260" s="56"/>
      <c r="V260" s="55"/>
      <c r="Y260" s="58"/>
      <c r="Z260" s="58"/>
      <c r="AA260" s="59"/>
    </row>
    <row r="261" spans="15:27">
      <c r="O261" s="56"/>
      <c r="V261" s="55"/>
      <c r="Y261" s="58"/>
      <c r="Z261" s="58"/>
      <c r="AA261" s="59"/>
    </row>
    <row r="262" spans="15:27">
      <c r="O262" s="56"/>
      <c r="V262" s="55"/>
      <c r="Y262" s="58"/>
      <c r="Z262" s="58"/>
      <c r="AA262" s="59"/>
    </row>
    <row r="263" spans="15:27">
      <c r="O263" s="56"/>
      <c r="V263" s="55"/>
      <c r="Y263" s="58"/>
      <c r="Z263" s="58"/>
      <c r="AA263" s="59"/>
    </row>
    <row r="264" spans="15:27">
      <c r="O264" s="56"/>
      <c r="V264" s="55"/>
      <c r="Y264" s="58"/>
      <c r="Z264" s="58"/>
      <c r="AA264" s="59"/>
    </row>
    <row r="265" spans="15:27">
      <c r="O265" s="56"/>
      <c r="V265" s="55"/>
      <c r="Y265" s="58"/>
      <c r="Z265" s="58"/>
      <c r="AA265" s="59"/>
    </row>
    <row r="266" spans="15:27">
      <c r="O266" s="56"/>
      <c r="V266" s="55"/>
      <c r="Y266" s="58"/>
      <c r="Z266" s="58"/>
      <c r="AA266" s="59"/>
    </row>
    <row r="267" spans="15:27">
      <c r="O267" s="56"/>
      <c r="V267" s="55"/>
      <c r="Y267" s="58"/>
      <c r="Z267" s="58"/>
      <c r="AA267" s="59"/>
    </row>
    <row r="268" spans="15:27">
      <c r="O268" s="56"/>
      <c r="V268" s="55"/>
      <c r="Y268" s="58"/>
      <c r="Z268" s="58"/>
      <c r="AA268" s="59"/>
    </row>
    <row r="269" spans="15:27">
      <c r="O269" s="56"/>
      <c r="V269" s="55"/>
      <c r="Y269" s="58"/>
      <c r="Z269" s="58"/>
      <c r="AA269" s="59"/>
    </row>
    <row r="270" spans="15:27">
      <c r="O270" s="56"/>
      <c r="V270" s="55"/>
      <c r="Y270" s="58"/>
      <c r="Z270" s="58"/>
      <c r="AA270" s="59"/>
    </row>
    <row r="271" spans="15:27">
      <c r="O271" s="56"/>
      <c r="V271" s="55"/>
      <c r="Y271" s="58"/>
      <c r="Z271" s="58"/>
      <c r="AA271" s="59"/>
    </row>
    <row r="272" spans="15:27">
      <c r="O272" s="56"/>
      <c r="V272" s="55"/>
      <c r="Y272" s="58"/>
      <c r="Z272" s="58"/>
      <c r="AA272" s="59"/>
    </row>
    <row r="273" spans="15:27">
      <c r="O273" s="56"/>
      <c r="V273" s="55"/>
      <c r="Y273" s="58"/>
      <c r="Z273" s="58"/>
      <c r="AA273" s="59"/>
    </row>
    <row r="274" spans="15:27">
      <c r="O274" s="56"/>
      <c r="V274" s="55"/>
      <c r="Y274" s="58"/>
      <c r="Z274" s="58"/>
      <c r="AA274" s="59"/>
    </row>
    <row r="275" spans="15:27">
      <c r="O275" s="56"/>
      <c r="V275" s="55"/>
      <c r="Y275" s="58"/>
      <c r="Z275" s="58"/>
      <c r="AA275" s="59"/>
    </row>
    <row r="276" spans="15:27">
      <c r="O276" s="56"/>
      <c r="V276" s="55"/>
      <c r="Y276" s="58"/>
      <c r="Z276" s="58"/>
      <c r="AA276" s="59"/>
    </row>
    <row r="277" spans="15:27">
      <c r="O277" s="56"/>
      <c r="V277" s="55"/>
      <c r="Y277" s="58"/>
      <c r="Z277" s="58"/>
      <c r="AA277" s="59"/>
    </row>
    <row r="278" spans="15:27">
      <c r="O278" s="56"/>
      <c r="V278" s="55"/>
      <c r="Y278" s="58"/>
      <c r="Z278" s="58"/>
      <c r="AA278" s="59"/>
    </row>
    <row r="279" spans="15:27">
      <c r="O279" s="56"/>
      <c r="V279" s="55"/>
      <c r="Y279" s="58"/>
      <c r="Z279" s="58"/>
      <c r="AA279" s="59"/>
    </row>
    <row r="280" spans="15:27">
      <c r="O280" s="56"/>
      <c r="V280" s="55"/>
      <c r="Y280" s="58"/>
      <c r="Z280" s="58"/>
      <c r="AA280" s="59"/>
    </row>
    <row r="281" spans="15:27">
      <c r="O281" s="56"/>
      <c r="V281" s="55"/>
      <c r="Y281" s="58"/>
      <c r="Z281" s="58"/>
      <c r="AA281" s="59"/>
    </row>
    <row r="282" spans="15:27">
      <c r="O282" s="56"/>
      <c r="V282" s="55"/>
      <c r="Y282" s="58"/>
      <c r="Z282" s="58"/>
      <c r="AA282" s="59"/>
    </row>
    <row r="283" spans="15:27">
      <c r="O283" s="56"/>
      <c r="V283" s="55"/>
      <c r="Y283" s="58"/>
      <c r="Z283" s="58"/>
      <c r="AA283" s="59"/>
    </row>
    <row r="284" spans="15:27">
      <c r="O284" s="56"/>
      <c r="V284" s="55"/>
      <c r="Y284" s="58"/>
      <c r="Z284" s="58"/>
      <c r="AA284" s="59"/>
    </row>
    <row r="285" spans="15:27">
      <c r="O285" s="56"/>
      <c r="V285" s="55"/>
      <c r="Y285" s="58"/>
      <c r="Z285" s="58"/>
      <c r="AA285" s="59"/>
    </row>
    <row r="286" spans="15:27">
      <c r="O286" s="56"/>
      <c r="V286" s="55"/>
      <c r="Y286" s="58"/>
      <c r="Z286" s="58"/>
      <c r="AA286" s="59"/>
    </row>
    <row r="287" spans="15:27">
      <c r="O287" s="56"/>
      <c r="V287" s="55"/>
      <c r="Y287" s="58"/>
      <c r="Z287" s="58"/>
      <c r="AA287" s="59"/>
    </row>
    <row r="288" spans="15:27">
      <c r="O288" s="56"/>
      <c r="V288" s="55"/>
      <c r="Y288" s="58"/>
      <c r="Z288" s="58"/>
      <c r="AA288" s="59"/>
    </row>
    <row r="289" spans="15:27">
      <c r="O289" s="56"/>
      <c r="V289" s="55"/>
      <c r="Y289" s="58"/>
      <c r="Z289" s="58"/>
      <c r="AA289" s="59"/>
    </row>
    <row r="290" spans="15:27">
      <c r="O290" s="56"/>
      <c r="V290" s="55"/>
      <c r="Y290" s="58"/>
      <c r="Z290" s="58"/>
      <c r="AA290" s="59"/>
    </row>
    <row r="291" spans="15:27">
      <c r="O291" s="56"/>
      <c r="V291" s="55"/>
      <c r="Y291" s="58"/>
      <c r="Z291" s="58"/>
      <c r="AA291" s="59"/>
    </row>
    <row r="292" spans="15:27">
      <c r="O292" s="56"/>
      <c r="V292" s="55"/>
      <c r="Y292" s="58"/>
      <c r="Z292" s="58"/>
      <c r="AA292" s="59"/>
    </row>
    <row r="293" spans="15:27">
      <c r="O293" s="56"/>
      <c r="V293" s="55"/>
      <c r="Y293" s="58"/>
      <c r="Z293" s="58"/>
      <c r="AA293" s="59"/>
    </row>
    <row r="294" spans="15:27">
      <c r="O294" s="56"/>
      <c r="V294" s="55"/>
      <c r="Y294" s="58"/>
      <c r="Z294" s="58"/>
      <c r="AA294" s="59"/>
    </row>
    <row r="295" spans="15:27">
      <c r="O295" s="56"/>
      <c r="V295" s="55"/>
      <c r="Y295" s="58"/>
      <c r="Z295" s="58"/>
      <c r="AA295" s="59"/>
    </row>
    <row r="296" spans="15:27">
      <c r="O296" s="56"/>
      <c r="V296" s="55"/>
      <c r="Y296" s="58"/>
      <c r="Z296" s="58"/>
      <c r="AA296" s="59"/>
    </row>
    <row r="297" spans="15:27">
      <c r="O297" s="56"/>
      <c r="V297" s="55"/>
      <c r="Y297" s="58"/>
      <c r="Z297" s="58"/>
      <c r="AA297" s="59"/>
    </row>
    <row r="298" spans="15:27">
      <c r="O298" s="56"/>
      <c r="V298" s="55"/>
      <c r="Y298" s="58"/>
      <c r="Z298" s="58"/>
      <c r="AA298" s="59"/>
    </row>
    <row r="299" spans="15:27">
      <c r="O299" s="56"/>
      <c r="V299" s="55"/>
      <c r="Y299" s="58"/>
      <c r="Z299" s="58"/>
      <c r="AA299" s="59"/>
    </row>
    <row r="300" spans="15:27">
      <c r="O300" s="56"/>
      <c r="V300" s="55"/>
      <c r="Y300" s="58"/>
      <c r="Z300" s="58"/>
      <c r="AA300" s="59"/>
    </row>
    <row r="301" spans="15:27">
      <c r="O301" s="56"/>
      <c r="V301" s="55"/>
      <c r="Y301" s="58"/>
      <c r="Z301" s="58"/>
      <c r="AA301" s="59"/>
    </row>
    <row r="302" spans="15:27">
      <c r="O302" s="56"/>
      <c r="V302" s="55"/>
      <c r="Y302" s="58"/>
      <c r="Z302" s="58"/>
      <c r="AA302" s="59"/>
    </row>
    <row r="303" spans="15:27">
      <c r="O303" s="56"/>
      <c r="V303" s="55"/>
      <c r="Y303" s="58"/>
      <c r="Z303" s="58"/>
      <c r="AA303" s="59"/>
    </row>
    <row r="304" spans="15:27">
      <c r="O304" s="56"/>
      <c r="V304" s="55"/>
      <c r="Y304" s="58"/>
      <c r="Z304" s="58"/>
      <c r="AA304" s="59"/>
    </row>
    <row r="305" spans="15:27">
      <c r="O305" s="56"/>
      <c r="V305" s="55"/>
      <c r="Y305" s="58"/>
      <c r="Z305" s="58"/>
      <c r="AA305" s="59"/>
    </row>
    <row r="306" spans="15:27">
      <c r="O306" s="56"/>
      <c r="V306" s="55"/>
      <c r="Y306" s="58"/>
      <c r="Z306" s="58"/>
      <c r="AA306" s="59"/>
    </row>
    <row r="307" spans="15:27">
      <c r="O307" s="56"/>
      <c r="V307" s="55"/>
      <c r="Y307" s="58"/>
      <c r="Z307" s="58"/>
      <c r="AA307" s="59"/>
    </row>
    <row r="308" spans="15:27">
      <c r="O308" s="56"/>
      <c r="V308" s="55"/>
      <c r="Y308" s="58"/>
      <c r="Z308" s="58"/>
      <c r="AA308" s="59"/>
    </row>
    <row r="309" spans="15:27">
      <c r="O309" s="56"/>
      <c r="V309" s="55"/>
      <c r="Y309" s="58"/>
      <c r="Z309" s="58"/>
      <c r="AA309" s="59"/>
    </row>
    <row r="310" spans="15:27">
      <c r="O310" s="56"/>
      <c r="V310" s="55"/>
      <c r="Y310" s="58"/>
      <c r="Z310" s="58"/>
      <c r="AA310" s="59"/>
    </row>
    <row r="311" spans="15:27">
      <c r="O311" s="56"/>
      <c r="V311" s="55"/>
      <c r="Y311" s="58"/>
      <c r="Z311" s="58"/>
      <c r="AA311" s="59"/>
    </row>
    <row r="312" spans="15:27">
      <c r="O312" s="56"/>
      <c r="V312" s="55"/>
      <c r="Y312" s="58"/>
      <c r="Z312" s="58"/>
      <c r="AA312" s="59"/>
    </row>
    <row r="313" spans="15:27">
      <c r="O313" s="56"/>
      <c r="V313" s="55"/>
      <c r="Y313" s="58"/>
      <c r="Z313" s="58"/>
      <c r="AA313" s="59"/>
    </row>
    <row r="314" spans="15:27">
      <c r="O314" s="56"/>
      <c r="V314" s="55"/>
      <c r="Y314" s="58"/>
      <c r="Z314" s="58"/>
      <c r="AA314" s="59"/>
    </row>
    <row r="315" spans="15:27">
      <c r="O315" s="56"/>
      <c r="V315" s="55"/>
      <c r="Y315" s="58"/>
      <c r="Z315" s="58"/>
      <c r="AA315" s="59"/>
    </row>
    <row r="316" spans="15:27">
      <c r="O316" s="56"/>
      <c r="V316" s="55"/>
      <c r="Y316" s="58"/>
      <c r="Z316" s="58"/>
      <c r="AA316" s="59"/>
    </row>
    <row r="317" spans="15:27">
      <c r="O317" s="56"/>
      <c r="V317" s="55"/>
      <c r="Y317" s="58"/>
      <c r="Z317" s="58"/>
      <c r="AA317" s="59"/>
    </row>
    <row r="318" spans="15:27">
      <c r="O318" s="56"/>
      <c r="V318" s="55"/>
      <c r="Y318" s="58"/>
      <c r="Z318" s="58"/>
      <c r="AA318" s="59"/>
    </row>
    <row r="319" spans="15:27">
      <c r="O319" s="56"/>
      <c r="V319" s="55"/>
      <c r="Y319" s="58"/>
      <c r="Z319" s="58"/>
      <c r="AA319" s="59"/>
    </row>
    <row r="320" spans="15:27">
      <c r="O320" s="56"/>
      <c r="V320" s="55"/>
      <c r="Y320" s="58"/>
      <c r="Z320" s="58"/>
      <c r="AA320" s="59"/>
    </row>
    <row r="321" spans="15:27">
      <c r="O321" s="56"/>
      <c r="V321" s="55"/>
      <c r="Y321" s="58"/>
      <c r="Z321" s="58"/>
      <c r="AA321" s="59"/>
    </row>
    <row r="322" spans="15:27">
      <c r="O322" s="56"/>
      <c r="V322" s="55"/>
      <c r="Y322" s="58"/>
      <c r="Z322" s="58"/>
      <c r="AA322" s="59"/>
    </row>
    <row r="323" spans="15:27">
      <c r="O323" s="56"/>
      <c r="V323" s="55"/>
      <c r="Y323" s="58"/>
      <c r="Z323" s="58"/>
      <c r="AA323" s="59"/>
    </row>
    <row r="324" spans="15:27">
      <c r="O324" s="56"/>
      <c r="V324" s="55"/>
      <c r="Y324" s="58"/>
      <c r="Z324" s="58"/>
      <c r="AA324" s="59"/>
    </row>
    <row r="325" spans="15:27">
      <c r="O325" s="56"/>
      <c r="V325" s="55"/>
      <c r="Y325" s="58"/>
      <c r="Z325" s="58"/>
      <c r="AA325" s="59"/>
    </row>
    <row r="326" spans="15:27">
      <c r="O326" s="56"/>
      <c r="V326" s="55"/>
      <c r="Y326" s="58"/>
      <c r="Z326" s="58"/>
      <c r="AA326" s="59"/>
    </row>
    <row r="327" spans="15:27">
      <c r="O327" s="56"/>
      <c r="V327" s="55"/>
      <c r="Y327" s="58"/>
      <c r="Z327" s="58"/>
      <c r="AA327" s="59"/>
    </row>
    <row r="328" spans="15:27">
      <c r="O328" s="56"/>
      <c r="V328" s="55"/>
      <c r="Y328" s="58"/>
      <c r="Z328" s="58"/>
      <c r="AA328" s="59"/>
    </row>
    <row r="329" spans="15:27">
      <c r="O329" s="56"/>
      <c r="V329" s="55"/>
      <c r="Y329" s="58"/>
      <c r="Z329" s="58"/>
      <c r="AA329" s="59"/>
    </row>
    <row r="330" spans="15:27">
      <c r="O330" s="56"/>
      <c r="V330" s="55"/>
      <c r="Y330" s="58"/>
      <c r="Z330" s="58"/>
      <c r="AA330" s="59"/>
    </row>
    <row r="331" spans="15:27">
      <c r="O331" s="56"/>
      <c r="V331" s="55"/>
      <c r="Y331" s="58"/>
      <c r="Z331" s="58"/>
      <c r="AA331" s="59"/>
    </row>
    <row r="332" spans="15:27">
      <c r="O332" s="56"/>
      <c r="V332" s="55"/>
      <c r="Y332" s="58"/>
      <c r="Z332" s="58"/>
      <c r="AA332" s="59"/>
    </row>
    <row r="333" spans="15:27">
      <c r="O333" s="56"/>
      <c r="V333" s="55"/>
      <c r="Y333" s="58"/>
      <c r="Z333" s="58"/>
      <c r="AA333" s="59"/>
    </row>
    <row r="334" spans="15:27">
      <c r="O334" s="60"/>
      <c r="V334" s="55"/>
      <c r="Y334" s="58"/>
      <c r="Z334" s="58"/>
      <c r="AA334" s="59"/>
    </row>
    <row r="335" spans="15:27">
      <c r="O335" s="60"/>
      <c r="V335" s="55"/>
      <c r="Y335" s="58"/>
      <c r="Z335" s="58"/>
      <c r="AA335" s="59"/>
    </row>
    <row r="336" spans="15:27">
      <c r="O336" s="60"/>
      <c r="V336" s="55"/>
      <c r="Y336" s="58"/>
      <c r="Z336" s="58"/>
      <c r="AA336" s="59"/>
    </row>
    <row r="337" spans="15:27">
      <c r="O337" s="60"/>
      <c r="V337" s="55"/>
      <c r="Y337" s="58"/>
      <c r="Z337" s="58"/>
      <c r="AA337" s="59"/>
    </row>
    <row r="338" spans="15:27">
      <c r="O338" s="60"/>
      <c r="V338" s="55"/>
      <c r="Y338" s="58"/>
      <c r="Z338" s="58"/>
      <c r="AA338" s="59"/>
    </row>
    <row r="339" spans="15:27">
      <c r="O339" s="60"/>
      <c r="V339" s="55"/>
      <c r="Y339" s="58"/>
      <c r="Z339" s="58"/>
      <c r="AA339" s="59"/>
    </row>
    <row r="340" spans="15:27">
      <c r="O340" s="60"/>
      <c r="V340" s="55"/>
      <c r="Y340" s="58"/>
      <c r="Z340" s="58"/>
      <c r="AA340" s="59"/>
    </row>
    <row r="341" spans="15:27">
      <c r="O341" s="60"/>
      <c r="V341" s="55"/>
      <c r="Y341" s="58"/>
      <c r="Z341" s="58"/>
      <c r="AA341" s="59"/>
    </row>
    <row r="342" spans="15:27">
      <c r="O342" s="60"/>
      <c r="V342" s="55"/>
      <c r="Y342" s="58"/>
      <c r="Z342" s="58"/>
      <c r="AA342" s="59"/>
    </row>
    <row r="343" spans="15:27">
      <c r="O343" s="60"/>
      <c r="V343" s="55"/>
      <c r="Y343" s="58"/>
      <c r="Z343" s="58"/>
      <c r="AA343" s="59"/>
    </row>
    <row r="344" spans="15:27">
      <c r="O344" s="60"/>
      <c r="V344" s="55"/>
      <c r="Y344" s="58"/>
      <c r="Z344" s="58"/>
      <c r="AA344" s="59"/>
    </row>
    <row r="345" spans="15:27">
      <c r="O345" s="60"/>
      <c r="V345" s="55"/>
      <c r="Y345" s="58"/>
      <c r="Z345" s="58"/>
      <c r="AA345" s="59"/>
    </row>
    <row r="346" spans="15:27">
      <c r="O346" s="60"/>
      <c r="V346" s="55"/>
      <c r="Y346" s="58"/>
      <c r="Z346" s="58"/>
      <c r="AA346" s="59"/>
    </row>
    <row r="347" spans="15:27">
      <c r="O347" s="60"/>
      <c r="V347" s="55"/>
      <c r="Y347" s="58"/>
      <c r="Z347" s="58"/>
      <c r="AA347" s="59"/>
    </row>
    <row r="348" spans="15:27">
      <c r="O348" s="60"/>
      <c r="V348" s="55"/>
      <c r="Y348" s="58"/>
      <c r="Z348" s="58"/>
      <c r="AA348" s="59"/>
    </row>
    <row r="349" spans="15:27">
      <c r="O349" s="60"/>
      <c r="V349" s="55"/>
      <c r="Y349" s="58"/>
      <c r="Z349" s="58"/>
      <c r="AA349" s="59"/>
    </row>
    <row r="350" spans="15:27">
      <c r="O350" s="60"/>
      <c r="V350" s="55"/>
      <c r="Y350" s="58"/>
      <c r="Z350" s="58"/>
      <c r="AA350" s="59"/>
    </row>
    <row r="351" spans="15:27">
      <c r="O351" s="60"/>
      <c r="V351" s="55"/>
      <c r="Y351" s="58"/>
      <c r="Z351" s="58"/>
      <c r="AA351" s="59"/>
    </row>
    <row r="352" spans="15:27">
      <c r="O352" s="60"/>
      <c r="V352" s="55"/>
      <c r="Y352" s="58"/>
      <c r="Z352" s="58"/>
      <c r="AA352" s="59"/>
    </row>
    <row r="353" spans="15:27">
      <c r="O353" s="60"/>
      <c r="V353" s="55"/>
      <c r="Y353" s="58"/>
      <c r="Z353" s="58"/>
      <c r="AA353" s="59"/>
    </row>
    <row r="354" spans="15:27">
      <c r="O354" s="60"/>
      <c r="V354" s="55"/>
      <c r="Y354" s="58"/>
      <c r="Z354" s="58"/>
      <c r="AA354" s="59"/>
    </row>
    <row r="355" spans="15:27">
      <c r="O355" s="60"/>
      <c r="V355" s="55"/>
      <c r="Y355" s="58"/>
      <c r="Z355" s="58"/>
      <c r="AA355" s="59"/>
    </row>
    <row r="356" spans="15:27">
      <c r="O356" s="60"/>
      <c r="V356" s="55"/>
      <c r="Y356" s="58"/>
      <c r="Z356" s="58"/>
      <c r="AA356" s="59"/>
    </row>
    <row r="357" spans="15:27">
      <c r="O357" s="60"/>
      <c r="V357" s="55"/>
      <c r="Y357" s="58"/>
      <c r="Z357" s="58"/>
      <c r="AA357" s="59"/>
    </row>
    <row r="358" spans="15:27">
      <c r="O358" s="60"/>
      <c r="V358" s="55"/>
      <c r="Y358" s="58"/>
      <c r="Z358" s="58"/>
      <c r="AA358" s="59"/>
    </row>
    <row r="359" spans="15:27">
      <c r="O359" s="60"/>
      <c r="V359" s="55"/>
      <c r="Y359" s="58"/>
      <c r="Z359" s="58"/>
      <c r="AA359" s="59"/>
    </row>
    <row r="360" spans="15:27">
      <c r="O360" s="60"/>
      <c r="V360" s="55"/>
      <c r="Y360" s="58"/>
      <c r="Z360" s="58"/>
      <c r="AA360" s="59"/>
    </row>
    <row r="361" spans="15:27">
      <c r="O361" s="60"/>
      <c r="V361" s="55"/>
      <c r="Y361" s="58"/>
      <c r="Z361" s="58"/>
      <c r="AA361" s="59"/>
    </row>
    <row r="362" spans="15:27">
      <c r="O362" s="60"/>
      <c r="V362" s="55"/>
      <c r="Y362" s="58"/>
      <c r="Z362" s="58"/>
      <c r="AA362" s="59"/>
    </row>
    <row r="363" spans="15:27">
      <c r="O363" s="60"/>
      <c r="V363" s="55"/>
      <c r="Y363" s="58"/>
      <c r="Z363" s="58"/>
      <c r="AA363" s="59"/>
    </row>
    <row r="364" spans="15:27">
      <c r="O364" s="60"/>
      <c r="V364" s="55"/>
      <c r="Y364" s="58"/>
      <c r="Z364" s="58"/>
      <c r="AA364" s="59"/>
    </row>
    <row r="365" spans="15:27">
      <c r="O365" s="60"/>
      <c r="V365" s="55"/>
      <c r="Y365" s="58"/>
      <c r="Z365" s="58"/>
      <c r="AA365" s="59"/>
    </row>
    <row r="366" spans="15:27">
      <c r="O366" s="60"/>
      <c r="V366" s="55"/>
      <c r="Y366" s="58"/>
      <c r="Z366" s="58"/>
      <c r="AA366" s="59"/>
    </row>
    <row r="367" spans="15:27">
      <c r="O367" s="60"/>
      <c r="V367" s="55"/>
      <c r="Y367" s="58"/>
      <c r="Z367" s="58"/>
      <c r="AA367" s="59"/>
    </row>
    <row r="368" spans="15:27">
      <c r="O368" s="60"/>
      <c r="V368" s="55"/>
      <c r="Y368" s="58"/>
      <c r="Z368" s="58"/>
      <c r="AA368" s="59"/>
    </row>
    <row r="369" spans="15:27">
      <c r="O369" s="60"/>
      <c r="V369" s="55"/>
      <c r="Y369" s="58"/>
      <c r="Z369" s="58"/>
      <c r="AA369" s="59"/>
    </row>
    <row r="370" spans="15:27">
      <c r="O370" s="60"/>
      <c r="V370" s="55"/>
      <c r="Y370" s="58"/>
      <c r="Z370" s="58"/>
      <c r="AA370" s="59"/>
    </row>
    <row r="371" spans="15:27">
      <c r="O371" s="60"/>
      <c r="V371" s="55"/>
      <c r="Y371" s="58"/>
      <c r="Z371" s="58"/>
      <c r="AA371" s="59"/>
    </row>
    <row r="372" spans="15:27">
      <c r="O372" s="60"/>
      <c r="V372" s="55"/>
      <c r="Y372" s="58"/>
      <c r="Z372" s="58"/>
      <c r="AA372" s="59"/>
    </row>
    <row r="373" spans="15:27">
      <c r="O373" s="60"/>
      <c r="V373" s="55"/>
      <c r="Y373" s="58"/>
      <c r="Z373" s="58"/>
      <c r="AA373" s="59"/>
    </row>
    <row r="374" spans="15:27">
      <c r="O374" s="60"/>
      <c r="V374" s="55"/>
      <c r="Y374" s="58"/>
      <c r="Z374" s="58"/>
      <c r="AA374" s="59"/>
    </row>
    <row r="375" spans="15:27">
      <c r="O375" s="60"/>
      <c r="V375" s="55"/>
      <c r="Y375" s="58"/>
      <c r="Z375" s="58"/>
      <c r="AA375" s="59"/>
    </row>
    <row r="376" spans="15:27">
      <c r="O376" s="60"/>
      <c r="V376" s="55"/>
      <c r="Y376" s="58"/>
      <c r="Z376" s="58"/>
      <c r="AA376" s="59"/>
    </row>
    <row r="377" spans="15:27">
      <c r="O377" s="60"/>
      <c r="V377" s="55"/>
      <c r="Y377" s="58"/>
      <c r="Z377" s="58"/>
      <c r="AA377" s="59"/>
    </row>
    <row r="378" spans="15:27">
      <c r="O378" s="60"/>
      <c r="V378" s="55"/>
      <c r="Y378" s="58"/>
      <c r="Z378" s="58"/>
      <c r="AA378" s="59"/>
    </row>
    <row r="379" spans="15:27">
      <c r="O379" s="60"/>
      <c r="V379" s="55"/>
      <c r="Y379" s="58"/>
      <c r="Z379" s="58"/>
      <c r="AA379" s="59"/>
    </row>
    <row r="380" spans="15:27">
      <c r="O380" s="60"/>
      <c r="V380" s="55"/>
      <c r="Y380" s="58"/>
      <c r="Z380" s="58"/>
      <c r="AA380" s="59"/>
    </row>
    <row r="381" spans="15:27">
      <c r="O381" s="60"/>
      <c r="V381" s="55"/>
      <c r="Y381" s="58"/>
      <c r="Z381" s="58"/>
      <c r="AA381" s="59"/>
    </row>
    <row r="382" spans="15:27">
      <c r="O382" s="60"/>
      <c r="V382" s="55"/>
      <c r="Y382" s="58"/>
      <c r="Z382" s="58"/>
      <c r="AA382" s="59"/>
    </row>
    <row r="383" spans="15:27">
      <c r="O383" s="60"/>
      <c r="V383" s="55"/>
      <c r="Y383" s="58"/>
      <c r="Z383" s="58"/>
      <c r="AA383" s="59"/>
    </row>
    <row r="384" spans="15:27">
      <c r="O384" s="60"/>
      <c r="V384" s="55"/>
      <c r="Y384" s="58"/>
      <c r="Z384" s="58"/>
      <c r="AA384" s="59"/>
    </row>
    <row r="385" spans="15:27">
      <c r="O385" s="60"/>
      <c r="V385" s="55"/>
      <c r="Y385" s="58"/>
      <c r="Z385" s="58"/>
      <c r="AA385" s="59"/>
    </row>
    <row r="386" spans="15:27">
      <c r="O386" s="60"/>
      <c r="V386" s="55"/>
      <c r="Y386" s="58"/>
      <c r="Z386" s="58"/>
      <c r="AA386" s="59"/>
    </row>
    <row r="387" spans="15:27">
      <c r="O387" s="60"/>
      <c r="V387" s="55"/>
      <c r="Y387" s="58"/>
      <c r="Z387" s="58"/>
      <c r="AA387" s="59"/>
    </row>
    <row r="388" spans="15:27">
      <c r="O388" s="60"/>
      <c r="V388" s="55"/>
      <c r="Y388" s="58"/>
      <c r="Z388" s="58"/>
      <c r="AA388" s="59"/>
    </row>
    <row r="389" spans="15:27">
      <c r="O389" s="60"/>
      <c r="V389" s="55"/>
      <c r="Y389" s="58"/>
      <c r="Z389" s="58"/>
      <c r="AA389" s="59"/>
    </row>
    <row r="390" spans="15:27">
      <c r="O390" s="60"/>
      <c r="V390" s="55"/>
      <c r="Y390" s="58"/>
      <c r="Z390" s="58"/>
      <c r="AA390" s="59"/>
    </row>
    <row r="391" spans="15:27">
      <c r="O391" s="60"/>
      <c r="V391" s="55"/>
      <c r="Y391" s="58"/>
      <c r="Z391" s="58"/>
      <c r="AA391" s="59"/>
    </row>
    <row r="392" spans="15:27">
      <c r="O392" s="60"/>
      <c r="V392" s="55"/>
      <c r="Y392" s="58"/>
      <c r="Z392" s="58"/>
      <c r="AA392" s="59"/>
    </row>
    <row r="393" spans="15:27">
      <c r="O393" s="60"/>
      <c r="V393" s="55"/>
      <c r="Y393" s="58"/>
      <c r="Z393" s="58"/>
      <c r="AA393" s="59"/>
    </row>
    <row r="394" spans="15:27">
      <c r="O394" s="60"/>
      <c r="V394" s="55"/>
      <c r="Y394" s="58"/>
      <c r="Z394" s="58"/>
      <c r="AA394" s="59"/>
    </row>
    <row r="395" spans="15:27">
      <c r="O395" s="60"/>
      <c r="V395" s="55"/>
      <c r="Y395" s="58"/>
      <c r="Z395" s="58"/>
      <c r="AA395" s="59"/>
    </row>
    <row r="396" spans="15:27">
      <c r="O396" s="60"/>
      <c r="V396" s="55"/>
      <c r="Y396" s="58"/>
      <c r="Z396" s="58"/>
      <c r="AA396" s="59"/>
    </row>
    <row r="397" spans="15:27">
      <c r="O397" s="60"/>
      <c r="V397" s="55"/>
      <c r="Y397" s="58"/>
      <c r="Z397" s="58"/>
      <c r="AA397" s="59"/>
    </row>
    <row r="398" spans="15:27">
      <c r="O398" s="60"/>
      <c r="V398" s="55"/>
      <c r="Y398" s="58"/>
      <c r="Z398" s="58"/>
      <c r="AA398" s="59"/>
    </row>
    <row r="399" spans="15:27">
      <c r="O399" s="60"/>
      <c r="V399" s="55"/>
      <c r="Y399" s="58"/>
      <c r="Z399" s="58"/>
      <c r="AA399" s="59"/>
    </row>
    <row r="400" spans="15:27">
      <c r="O400" s="60"/>
      <c r="V400" s="55"/>
      <c r="Y400" s="58"/>
      <c r="Z400" s="58"/>
      <c r="AA400" s="59"/>
    </row>
    <row r="401" spans="15:16">
      <c r="O401" s="60"/>
    </row>
    <row r="402" spans="15:16">
      <c r="O402" s="60"/>
    </row>
    <row r="403" spans="15:16">
      <c r="O403" s="60"/>
    </row>
    <row r="404" spans="15:16">
      <c r="O404" s="60"/>
    </row>
    <row r="405" spans="15:16">
      <c r="P405" s="61"/>
    </row>
    <row r="406" spans="15:16">
      <c r="P406" s="61"/>
    </row>
    <row r="407" spans="15:16">
      <c r="P407" s="61"/>
    </row>
    <row r="408" spans="15:16">
      <c r="P408" s="61"/>
    </row>
    <row r="409" spans="15:16">
      <c r="P409" s="61"/>
    </row>
    <row r="410" spans="15:16">
      <c r="P410" s="61"/>
    </row>
    <row r="411" spans="15:16">
      <c r="P411" s="61"/>
    </row>
    <row r="412" spans="15:16">
      <c r="P412" s="61"/>
    </row>
    <row r="413" spans="15:16">
      <c r="P413" s="61"/>
    </row>
    <row r="414" spans="15:16">
      <c r="P414" s="61"/>
    </row>
    <row r="415" spans="15:16">
      <c r="P415" s="61"/>
    </row>
    <row r="416" spans="15:16">
      <c r="P416" s="61"/>
    </row>
    <row r="417" spans="16:16">
      <c r="P417" s="61"/>
    </row>
    <row r="418" spans="16:16">
      <c r="P418" s="61"/>
    </row>
    <row r="419" spans="16:16">
      <c r="P419" s="61"/>
    </row>
    <row r="420" spans="16:16">
      <c r="P420" s="61"/>
    </row>
    <row r="421" spans="16:16">
      <c r="P421" s="61"/>
    </row>
    <row r="422" spans="16:16">
      <c r="P422" s="61"/>
    </row>
    <row r="423" spans="16:16">
      <c r="P423" s="61"/>
    </row>
    <row r="424" spans="16:16">
      <c r="P424" s="61"/>
    </row>
    <row r="425" spans="16:16">
      <c r="P425" s="61"/>
    </row>
    <row r="426" spans="16:16">
      <c r="P426" s="61"/>
    </row>
    <row r="427" spans="16:16">
      <c r="P427" s="61"/>
    </row>
    <row r="436" spans="13:13">
      <c r="M436" s="155"/>
    </row>
    <row r="437" spans="13:13">
      <c r="M437" s="155"/>
    </row>
    <row r="438" spans="13:13">
      <c r="M438" s="155"/>
    </row>
    <row r="439" spans="13:13">
      <c r="M439" s="155"/>
    </row>
    <row r="440" spans="13:13">
      <c r="M440" s="155"/>
    </row>
    <row r="441" spans="13:13">
      <c r="M441" s="155"/>
    </row>
    <row r="442" spans="13:13">
      <c r="M442" s="155"/>
    </row>
    <row r="443" spans="13:13">
      <c r="M443" s="155"/>
    </row>
    <row r="444" spans="13:13">
      <c r="M444" s="155"/>
    </row>
    <row r="445" spans="13:13">
      <c r="M445" s="155"/>
    </row>
    <row r="446" spans="13:13">
      <c r="M446" s="155"/>
    </row>
    <row r="447" spans="13:13">
      <c r="M447" s="155"/>
    </row>
    <row r="448" spans="13:13">
      <c r="M448" s="155"/>
    </row>
    <row r="449" spans="13:13">
      <c r="M449" s="155"/>
    </row>
    <row r="450" spans="13:13">
      <c r="M450" s="155"/>
    </row>
    <row r="451" spans="13:13">
      <c r="M451" s="155"/>
    </row>
    <row r="452" spans="13:13">
      <c r="M452" s="155"/>
    </row>
    <row r="453" spans="13:13">
      <c r="M453" s="155"/>
    </row>
    <row r="454" spans="13:13">
      <c r="M454" s="155"/>
    </row>
    <row r="455" spans="13:13">
      <c r="M455" s="155"/>
    </row>
    <row r="456" spans="13:13">
      <c r="M456" s="155"/>
    </row>
    <row r="457" spans="13:13">
      <c r="M457" s="155"/>
    </row>
    <row r="458" spans="13:13">
      <c r="M458" s="155"/>
    </row>
    <row r="459" spans="13:13">
      <c r="M459" s="155"/>
    </row>
    <row r="460" spans="13:13">
      <c r="M460" s="155"/>
    </row>
    <row r="461" spans="13:13">
      <c r="M461" s="155"/>
    </row>
    <row r="462" spans="13:13">
      <c r="M462" s="155"/>
    </row>
    <row r="463" spans="13:13">
      <c r="M463" s="155"/>
    </row>
    <row r="464" spans="13:13">
      <c r="M464" s="155"/>
    </row>
    <row r="465" spans="13:13">
      <c r="M465" s="155"/>
    </row>
    <row r="466" spans="13:13">
      <c r="M466" s="155"/>
    </row>
    <row r="467" spans="13:13">
      <c r="M467" s="155"/>
    </row>
    <row r="468" spans="13:13">
      <c r="M468" s="155"/>
    </row>
    <row r="469" spans="13:13">
      <c r="M469" s="155"/>
    </row>
    <row r="470" spans="13:13">
      <c r="M470" s="155"/>
    </row>
    <row r="471" spans="13:13">
      <c r="M471" s="155"/>
    </row>
    <row r="472" spans="13:13">
      <c r="M472" s="155"/>
    </row>
    <row r="473" spans="13:13">
      <c r="M473" s="155"/>
    </row>
    <row r="474" spans="13:13">
      <c r="M474" s="155"/>
    </row>
    <row r="475" spans="13:13">
      <c r="M475" s="155"/>
    </row>
    <row r="476" spans="13:13">
      <c r="M476" s="155"/>
    </row>
    <row r="477" spans="13:13">
      <c r="M477" s="155"/>
    </row>
    <row r="478" spans="13:13">
      <c r="M478" s="155"/>
    </row>
    <row r="479" spans="13:13">
      <c r="M479" s="155"/>
    </row>
    <row r="480" spans="13:13">
      <c r="M480" s="155"/>
    </row>
    <row r="481" spans="13:13">
      <c r="M481" s="155"/>
    </row>
    <row r="482" spans="13:13">
      <c r="M482" s="155"/>
    </row>
    <row r="483" spans="13:13">
      <c r="M483" s="155"/>
    </row>
    <row r="484" spans="13:13">
      <c r="M484" s="155"/>
    </row>
    <row r="485" spans="13:13">
      <c r="M485" s="155"/>
    </row>
    <row r="486" spans="13:13">
      <c r="M486" s="155"/>
    </row>
    <row r="487" spans="13:13">
      <c r="M487" s="155"/>
    </row>
    <row r="488" spans="13:13">
      <c r="M488" s="155"/>
    </row>
    <row r="489" spans="13:13">
      <c r="M489" s="155"/>
    </row>
    <row r="490" spans="13:13">
      <c r="M490" s="155"/>
    </row>
    <row r="491" spans="13:13">
      <c r="M491" s="155"/>
    </row>
    <row r="492" spans="13:13">
      <c r="M492" s="155"/>
    </row>
    <row r="493" spans="13:13">
      <c r="M493" s="155"/>
    </row>
    <row r="494" spans="13:13">
      <c r="M494" s="155"/>
    </row>
    <row r="495" spans="13:13">
      <c r="M495" s="155"/>
    </row>
    <row r="496" spans="13:13">
      <c r="M496" s="155"/>
    </row>
    <row r="497" spans="13:13">
      <c r="M497" s="155"/>
    </row>
    <row r="498" spans="13:13">
      <c r="M498" s="155"/>
    </row>
    <row r="499" spans="13:13">
      <c r="M499" s="155"/>
    </row>
    <row r="500" spans="13:13">
      <c r="M500" s="155"/>
    </row>
    <row r="501" spans="13:13">
      <c r="M501" s="155"/>
    </row>
    <row r="502" spans="13:13">
      <c r="M502" s="155"/>
    </row>
    <row r="503" spans="13:13">
      <c r="M503" s="155"/>
    </row>
    <row r="504" spans="13:13">
      <c r="M504" s="155"/>
    </row>
    <row r="505" spans="13:13">
      <c r="M505" s="155"/>
    </row>
    <row r="506" spans="13:13">
      <c r="M506" s="155"/>
    </row>
    <row r="507" spans="13:13">
      <c r="M507" s="155"/>
    </row>
    <row r="508" spans="13:13">
      <c r="M508" s="155"/>
    </row>
    <row r="509" spans="13:13">
      <c r="M509" s="155"/>
    </row>
    <row r="510" spans="13:13">
      <c r="M510" s="155"/>
    </row>
    <row r="511" spans="13:13">
      <c r="M511" s="155"/>
    </row>
    <row r="512" spans="13:13">
      <c r="M512" s="155"/>
    </row>
    <row r="513" spans="13:13">
      <c r="M513" s="155"/>
    </row>
    <row r="514" spans="13:13">
      <c r="M514" s="155"/>
    </row>
    <row r="515" spans="13:13">
      <c r="M515" s="155"/>
    </row>
    <row r="516" spans="13:13">
      <c r="M516" s="155"/>
    </row>
    <row r="517" spans="13:13">
      <c r="M517" s="155"/>
    </row>
    <row r="518" spans="13:13">
      <c r="M518" s="155"/>
    </row>
    <row r="519" spans="13:13">
      <c r="M519" s="155"/>
    </row>
    <row r="520" spans="13:13">
      <c r="M520" s="155"/>
    </row>
    <row r="521" spans="13:13">
      <c r="M521" s="155"/>
    </row>
    <row r="522" spans="13:13">
      <c r="M522" s="155"/>
    </row>
    <row r="523" spans="13:13">
      <c r="M523" s="155"/>
    </row>
    <row r="524" spans="13:13">
      <c r="M524" s="155"/>
    </row>
    <row r="525" spans="13:13">
      <c r="M525" s="155"/>
    </row>
    <row r="526" spans="13:13">
      <c r="M526" s="155"/>
    </row>
    <row r="527" spans="13:13">
      <c r="M527" s="155"/>
    </row>
    <row r="528" spans="13:13">
      <c r="M528" s="155"/>
    </row>
    <row r="529" spans="13:13">
      <c r="M529" s="155"/>
    </row>
    <row r="530" spans="13:13">
      <c r="M530" s="155"/>
    </row>
    <row r="531" spans="13:13">
      <c r="M531" s="155"/>
    </row>
    <row r="532" spans="13:13">
      <c r="M532" s="155"/>
    </row>
    <row r="533" spans="13:13">
      <c r="M533" s="155"/>
    </row>
    <row r="534" spans="13:13">
      <c r="M534" s="155"/>
    </row>
    <row r="535" spans="13:13">
      <c r="M535" s="155"/>
    </row>
    <row r="536" spans="13:13">
      <c r="M536" s="155"/>
    </row>
    <row r="537" spans="13:13">
      <c r="M537" s="155"/>
    </row>
    <row r="538" spans="13:13">
      <c r="M538" s="155"/>
    </row>
    <row r="539" spans="13:13">
      <c r="M539" s="155"/>
    </row>
    <row r="540" spans="13:13">
      <c r="M540" s="155"/>
    </row>
    <row r="541" spans="13:13">
      <c r="M541" s="155"/>
    </row>
    <row r="542" spans="13:13">
      <c r="M542" s="155"/>
    </row>
    <row r="543" spans="13:13">
      <c r="M543" s="155"/>
    </row>
    <row r="544" spans="13:13">
      <c r="M544" s="155"/>
    </row>
    <row r="545" spans="13:13">
      <c r="M545" s="155"/>
    </row>
    <row r="546" spans="13:13">
      <c r="M546" s="155"/>
    </row>
    <row r="547" spans="13:13">
      <c r="M547" s="155"/>
    </row>
    <row r="548" spans="13:13">
      <c r="M548" s="155"/>
    </row>
    <row r="549" spans="13:13">
      <c r="M549" s="155"/>
    </row>
    <row r="550" spans="13:13">
      <c r="M550" s="155"/>
    </row>
    <row r="551" spans="13:13">
      <c r="M551" s="155"/>
    </row>
    <row r="552" spans="13:13">
      <c r="M552" s="155"/>
    </row>
    <row r="553" spans="13:13">
      <c r="M553" s="155"/>
    </row>
    <row r="554" spans="13:13">
      <c r="M554" s="155"/>
    </row>
    <row r="555" spans="13:13">
      <c r="M555" s="155"/>
    </row>
    <row r="556" spans="13:13">
      <c r="M556" s="155"/>
    </row>
    <row r="557" spans="13:13">
      <c r="M557" s="155"/>
    </row>
    <row r="558" spans="13:13">
      <c r="M558" s="155"/>
    </row>
    <row r="559" spans="13:13">
      <c r="M559" s="155"/>
    </row>
    <row r="560" spans="13:13">
      <c r="M560" s="155"/>
    </row>
    <row r="561" spans="13:13">
      <c r="M561" s="155"/>
    </row>
    <row r="562" spans="13:13">
      <c r="M562" s="155"/>
    </row>
    <row r="563" spans="13:13">
      <c r="M563" s="155"/>
    </row>
    <row r="564" spans="13:13">
      <c r="M564" s="155"/>
    </row>
    <row r="565" spans="13:13">
      <c r="M565" s="155"/>
    </row>
    <row r="566" spans="13:13">
      <c r="M566" s="155"/>
    </row>
    <row r="567" spans="13:13">
      <c r="M567" s="155"/>
    </row>
    <row r="568" spans="13:13">
      <c r="M568" s="155"/>
    </row>
    <row r="569" spans="13:13">
      <c r="M569" s="155"/>
    </row>
    <row r="570" spans="13:13">
      <c r="M570" s="155"/>
    </row>
    <row r="571" spans="13:13">
      <c r="M571" s="155"/>
    </row>
    <row r="572" spans="13:13">
      <c r="M572" s="155"/>
    </row>
    <row r="573" spans="13:13">
      <c r="M573" s="155"/>
    </row>
    <row r="574" spans="13:13">
      <c r="M574" s="155"/>
    </row>
    <row r="575" spans="13:13">
      <c r="M575" s="155"/>
    </row>
    <row r="576" spans="13:13">
      <c r="M576" s="155"/>
    </row>
    <row r="577" spans="13:13">
      <c r="M577" s="155"/>
    </row>
    <row r="578" spans="13:13">
      <c r="M578" s="155"/>
    </row>
    <row r="579" spans="13:13">
      <c r="M579" s="155"/>
    </row>
    <row r="580" spans="13:13">
      <c r="M580" s="155"/>
    </row>
    <row r="581" spans="13:13">
      <c r="M581" s="155"/>
    </row>
    <row r="582" spans="13:13">
      <c r="M582" s="155"/>
    </row>
    <row r="583" spans="13:13">
      <c r="M583" s="155"/>
    </row>
    <row r="584" spans="13:13">
      <c r="M584" s="155"/>
    </row>
    <row r="585" spans="13:13">
      <c r="M585" s="155"/>
    </row>
    <row r="586" spans="13:13">
      <c r="M586" s="155"/>
    </row>
    <row r="587" spans="13:13">
      <c r="M587" s="155"/>
    </row>
    <row r="588" spans="13:13">
      <c r="M588" s="155"/>
    </row>
    <row r="589" spans="13:13">
      <c r="M589" s="155"/>
    </row>
    <row r="590" spans="13:13">
      <c r="M590" s="155"/>
    </row>
    <row r="591" spans="13:13">
      <c r="M591" s="155"/>
    </row>
    <row r="592" spans="13:13">
      <c r="M592" s="155"/>
    </row>
    <row r="593" spans="13:13">
      <c r="M593" s="155"/>
    </row>
    <row r="594" spans="13:13">
      <c r="M594" s="155"/>
    </row>
    <row r="595" spans="13:13">
      <c r="M595" s="155"/>
    </row>
    <row r="596" spans="13:13">
      <c r="M596" s="155"/>
    </row>
    <row r="597" spans="13:13">
      <c r="M597" s="155"/>
    </row>
    <row r="598" spans="13:13">
      <c r="M598" s="155"/>
    </row>
    <row r="599" spans="13:13">
      <c r="M599" s="155"/>
    </row>
    <row r="600" spans="13:13">
      <c r="M600" s="155"/>
    </row>
    <row r="601" spans="13:13">
      <c r="M601" s="155"/>
    </row>
    <row r="602" spans="13:13">
      <c r="M602" s="155"/>
    </row>
    <row r="603" spans="13:13">
      <c r="M603" s="155"/>
    </row>
    <row r="604" spans="13:13">
      <c r="M604" s="155"/>
    </row>
    <row r="605" spans="13:13">
      <c r="M605" s="155"/>
    </row>
    <row r="606" spans="13:13">
      <c r="M606" s="155"/>
    </row>
    <row r="607" spans="13:13">
      <c r="M607" s="155"/>
    </row>
    <row r="608" spans="13:13">
      <c r="M608" s="155"/>
    </row>
    <row r="609" spans="13:13">
      <c r="M609" s="155"/>
    </row>
    <row r="610" spans="13:13">
      <c r="M610" s="155"/>
    </row>
    <row r="611" spans="13:13">
      <c r="M611" s="155"/>
    </row>
    <row r="612" spans="13:13">
      <c r="M612" s="155"/>
    </row>
    <row r="613" spans="13:13">
      <c r="M613" s="155"/>
    </row>
    <row r="614" spans="13:13">
      <c r="M614" s="155"/>
    </row>
    <row r="615" spans="13:13">
      <c r="M615" s="155"/>
    </row>
    <row r="616" spans="13:13">
      <c r="M616" s="155"/>
    </row>
    <row r="617" spans="13:13">
      <c r="M617" s="155"/>
    </row>
    <row r="618" spans="13:13">
      <c r="M618" s="155"/>
    </row>
    <row r="619" spans="13:13">
      <c r="M619" s="155"/>
    </row>
    <row r="620" spans="13:13">
      <c r="M620" s="155"/>
    </row>
    <row r="621" spans="13:13">
      <c r="M621" s="155"/>
    </row>
    <row r="622" spans="13:13">
      <c r="M622" s="155"/>
    </row>
    <row r="623" spans="13:13">
      <c r="M623" s="155"/>
    </row>
    <row r="624" spans="13:13">
      <c r="M624" s="155"/>
    </row>
    <row r="625" spans="13:13">
      <c r="M625" s="155"/>
    </row>
    <row r="626" spans="13:13">
      <c r="M626" s="155"/>
    </row>
    <row r="627" spans="13:13">
      <c r="M627" s="155"/>
    </row>
    <row r="628" spans="13:13">
      <c r="M628" s="155"/>
    </row>
    <row r="629" spans="13:13">
      <c r="M629" s="155"/>
    </row>
    <row r="630" spans="13:13">
      <c r="M630" s="155"/>
    </row>
    <row r="631" spans="13:13">
      <c r="M631" s="155"/>
    </row>
    <row r="632" spans="13:13">
      <c r="M632" s="155"/>
    </row>
    <row r="633" spans="13:13">
      <c r="M633" s="155"/>
    </row>
    <row r="634" spans="13:13">
      <c r="M634" s="155"/>
    </row>
    <row r="635" spans="13:13">
      <c r="M635" s="155"/>
    </row>
    <row r="636" spans="13:13">
      <c r="M636" s="155"/>
    </row>
    <row r="637" spans="13:13">
      <c r="M637" s="155"/>
    </row>
    <row r="638" spans="13:13">
      <c r="M638" s="155"/>
    </row>
    <row r="639" spans="13:13">
      <c r="M639" s="155"/>
    </row>
    <row r="640" spans="13:13">
      <c r="M640" s="155"/>
    </row>
    <row r="641" spans="13:13">
      <c r="M641" s="155"/>
    </row>
    <row r="642" spans="13:13">
      <c r="M642" s="155"/>
    </row>
    <row r="643" spans="13:13">
      <c r="M643" s="155"/>
    </row>
    <row r="644" spans="13:13">
      <c r="M644" s="155"/>
    </row>
    <row r="645" spans="13:13">
      <c r="M645" s="155"/>
    </row>
    <row r="646" spans="13:13">
      <c r="M646" s="155"/>
    </row>
    <row r="647" spans="13:13">
      <c r="M647" s="155"/>
    </row>
    <row r="648" spans="13:13">
      <c r="M648" s="155"/>
    </row>
    <row r="649" spans="13:13">
      <c r="M649" s="155"/>
    </row>
    <row r="650" spans="13:13">
      <c r="M650" s="155"/>
    </row>
    <row r="651" spans="13:13">
      <c r="M651" s="155"/>
    </row>
    <row r="652" spans="13:13">
      <c r="M652" s="155"/>
    </row>
    <row r="653" spans="13:13">
      <c r="M653" s="155"/>
    </row>
    <row r="654" spans="13:13">
      <c r="M654" s="155"/>
    </row>
    <row r="655" spans="13:13">
      <c r="M655" s="155"/>
    </row>
    <row r="656" spans="13:13">
      <c r="M656" s="155"/>
    </row>
    <row r="657" spans="13:13">
      <c r="M657" s="155"/>
    </row>
    <row r="658" spans="13:13">
      <c r="M658" s="155"/>
    </row>
    <row r="659" spans="13:13">
      <c r="M659" s="155"/>
    </row>
    <row r="660" spans="13:13">
      <c r="M660" s="155"/>
    </row>
    <row r="661" spans="13:13">
      <c r="M661" s="155"/>
    </row>
    <row r="662" spans="13:13">
      <c r="M662" s="155"/>
    </row>
    <row r="663" spans="13:13">
      <c r="M663" s="155"/>
    </row>
    <row r="664" spans="13:13">
      <c r="M664" s="155"/>
    </row>
    <row r="665" spans="13:13">
      <c r="M665" s="155"/>
    </row>
    <row r="666" spans="13:13">
      <c r="M666" s="155"/>
    </row>
    <row r="667" spans="13:13">
      <c r="M667" s="155"/>
    </row>
    <row r="668" spans="13:13">
      <c r="M668" s="155"/>
    </row>
    <row r="669" spans="13:13">
      <c r="M669" s="155"/>
    </row>
    <row r="670" spans="13:13">
      <c r="M670" s="155"/>
    </row>
    <row r="671" spans="13:13">
      <c r="M671" s="155"/>
    </row>
    <row r="672" spans="13:13">
      <c r="M672" s="155"/>
    </row>
    <row r="673" spans="13:13">
      <c r="M673" s="155"/>
    </row>
    <row r="674" spans="13:13">
      <c r="M674" s="155"/>
    </row>
    <row r="675" spans="13:13">
      <c r="M675" s="155"/>
    </row>
    <row r="676" spans="13:13">
      <c r="M676" s="155"/>
    </row>
    <row r="677" spans="13:13">
      <c r="M677" s="155"/>
    </row>
    <row r="678" spans="13:13">
      <c r="M678" s="155"/>
    </row>
    <row r="679" spans="13:13">
      <c r="M679" s="155"/>
    </row>
    <row r="680" spans="13:13">
      <c r="M680" s="155"/>
    </row>
    <row r="681" spans="13:13">
      <c r="M681" s="155"/>
    </row>
    <row r="682" spans="13:13">
      <c r="M682" s="155"/>
    </row>
    <row r="683" spans="13:13">
      <c r="M683" s="155"/>
    </row>
    <row r="684" spans="13:13">
      <c r="M684" s="155"/>
    </row>
    <row r="685" spans="13:13">
      <c r="M685" s="155"/>
    </row>
    <row r="686" spans="13:13">
      <c r="M686" s="155"/>
    </row>
    <row r="687" spans="13:13">
      <c r="M687" s="155"/>
    </row>
    <row r="688" spans="13:13">
      <c r="M688" s="155"/>
    </row>
    <row r="689" spans="13:13">
      <c r="M689" s="155"/>
    </row>
    <row r="690" spans="13:13">
      <c r="M690" s="155"/>
    </row>
    <row r="691" spans="13:13">
      <c r="M691" s="155"/>
    </row>
    <row r="692" spans="13:13">
      <c r="M692" s="155"/>
    </row>
    <row r="693" spans="13:13">
      <c r="M693" s="155"/>
    </row>
    <row r="694" spans="13:13">
      <c r="M694" s="155"/>
    </row>
    <row r="695" spans="13:13">
      <c r="M695" s="155"/>
    </row>
    <row r="696" spans="13:13">
      <c r="M696" s="155"/>
    </row>
    <row r="697" spans="13:13">
      <c r="M697" s="155"/>
    </row>
    <row r="698" spans="13:13">
      <c r="M698" s="155"/>
    </row>
    <row r="699" spans="13:13">
      <c r="M699" s="155"/>
    </row>
    <row r="700" spans="13:13">
      <c r="M700" s="155"/>
    </row>
    <row r="701" spans="13:13">
      <c r="M701" s="155"/>
    </row>
    <row r="702" spans="13:13">
      <c r="M702" s="155"/>
    </row>
    <row r="703" spans="13:13">
      <c r="M703" s="155"/>
    </row>
    <row r="704" spans="13:13">
      <c r="M704" s="155"/>
    </row>
    <row r="705" spans="13:13">
      <c r="M705" s="155"/>
    </row>
    <row r="706" spans="13:13">
      <c r="M706" s="155"/>
    </row>
    <row r="707" spans="13:13">
      <c r="M707" s="155"/>
    </row>
    <row r="708" spans="13:13">
      <c r="M708" s="155"/>
    </row>
    <row r="709" spans="13:13">
      <c r="M709" s="155"/>
    </row>
    <row r="710" spans="13:13">
      <c r="M710" s="155"/>
    </row>
    <row r="711" spans="13:13">
      <c r="M711" s="155"/>
    </row>
    <row r="712" spans="13:13">
      <c r="M712" s="155"/>
    </row>
    <row r="713" spans="13:13">
      <c r="M713" s="155"/>
    </row>
    <row r="714" spans="13:13">
      <c r="M714" s="155"/>
    </row>
    <row r="715" spans="13:13">
      <c r="M715" s="155"/>
    </row>
    <row r="716" spans="13:13">
      <c r="M716" s="155"/>
    </row>
    <row r="717" spans="13:13">
      <c r="M717" s="155"/>
    </row>
    <row r="718" spans="13:13">
      <c r="M718" s="155"/>
    </row>
    <row r="719" spans="13:13">
      <c r="M719" s="155"/>
    </row>
    <row r="720" spans="13:13">
      <c r="M720" s="155"/>
    </row>
    <row r="721" spans="13:13">
      <c r="M721" s="155"/>
    </row>
    <row r="722" spans="13:13">
      <c r="M722" s="155"/>
    </row>
    <row r="723" spans="13:13">
      <c r="M723" s="155"/>
    </row>
    <row r="724" spans="13:13">
      <c r="M724" s="155"/>
    </row>
    <row r="725" spans="13:13">
      <c r="M725" s="155"/>
    </row>
    <row r="726" spans="13:13">
      <c r="M726" s="155"/>
    </row>
    <row r="727" spans="13:13">
      <c r="M727" s="155"/>
    </row>
    <row r="728" spans="13:13">
      <c r="M728" s="155"/>
    </row>
    <row r="729" spans="13:13">
      <c r="M729" s="155"/>
    </row>
    <row r="730" spans="13:13">
      <c r="M730" s="155"/>
    </row>
    <row r="731" spans="13:13">
      <c r="M731" s="155"/>
    </row>
    <row r="732" spans="13:13">
      <c r="M732" s="155"/>
    </row>
    <row r="733" spans="13:13">
      <c r="M733" s="155"/>
    </row>
    <row r="734" spans="13:13">
      <c r="M734" s="155"/>
    </row>
    <row r="735" spans="13:13">
      <c r="M735" s="155"/>
    </row>
    <row r="736" spans="13:13">
      <c r="M736" s="155"/>
    </row>
    <row r="737" spans="13:13">
      <c r="M737" s="155"/>
    </row>
    <row r="738" spans="13:13">
      <c r="M738" s="155"/>
    </row>
    <row r="739" spans="13:13">
      <c r="M739" s="155"/>
    </row>
    <row r="740" spans="13:13">
      <c r="M740" s="155"/>
    </row>
    <row r="741" spans="13:13">
      <c r="M741" s="155"/>
    </row>
    <row r="742" spans="13:13">
      <c r="M742" s="155"/>
    </row>
    <row r="743" spans="13:13">
      <c r="M743" s="155"/>
    </row>
    <row r="744" spans="13:13">
      <c r="M744" s="155"/>
    </row>
    <row r="745" spans="13:13">
      <c r="M745" s="155"/>
    </row>
    <row r="746" spans="13:13">
      <c r="M746" s="155"/>
    </row>
    <row r="747" spans="13:13">
      <c r="M747" s="155"/>
    </row>
    <row r="748" spans="13:13">
      <c r="M748" s="155"/>
    </row>
    <row r="749" spans="13:13">
      <c r="M749" s="155"/>
    </row>
    <row r="750" spans="13:13">
      <c r="M750" s="155"/>
    </row>
    <row r="751" spans="13:13">
      <c r="M751" s="155"/>
    </row>
    <row r="752" spans="13:13">
      <c r="M752" s="155"/>
    </row>
    <row r="753" spans="13:13">
      <c r="M753" s="155"/>
    </row>
    <row r="754" spans="13:13">
      <c r="M754" s="155"/>
    </row>
    <row r="755" spans="13:13">
      <c r="M755" s="155"/>
    </row>
    <row r="756" spans="13:13">
      <c r="M756" s="155"/>
    </row>
    <row r="757" spans="13:13">
      <c r="M757" s="155"/>
    </row>
    <row r="758" spans="13:13">
      <c r="M758" s="155"/>
    </row>
    <row r="759" spans="13:13">
      <c r="M759" s="155"/>
    </row>
    <row r="760" spans="13:13">
      <c r="M760" s="155"/>
    </row>
    <row r="761" spans="13:13">
      <c r="M761" s="155"/>
    </row>
    <row r="762" spans="13:13">
      <c r="M762" s="155"/>
    </row>
    <row r="763" spans="13:13">
      <c r="M763" s="155"/>
    </row>
    <row r="764" spans="13:13">
      <c r="M764" s="155"/>
    </row>
    <row r="765" spans="13:13">
      <c r="M765" s="155"/>
    </row>
    <row r="766" spans="13:13">
      <c r="M766" s="155"/>
    </row>
    <row r="767" spans="13:13">
      <c r="M767" s="155"/>
    </row>
    <row r="768" spans="13:13">
      <c r="M768" s="155"/>
    </row>
    <row r="769" spans="13:13">
      <c r="M769" s="155"/>
    </row>
    <row r="770" spans="13:13">
      <c r="M770" s="155"/>
    </row>
    <row r="771" spans="13:13">
      <c r="M771" s="155"/>
    </row>
    <row r="772" spans="13:13">
      <c r="M772" s="155"/>
    </row>
    <row r="773" spans="13:13">
      <c r="M773" s="155"/>
    </row>
    <row r="774" spans="13:13">
      <c r="M774" s="155"/>
    </row>
    <row r="775" spans="13:13">
      <c r="M775" s="155"/>
    </row>
    <row r="776" spans="13:13">
      <c r="M776" s="155"/>
    </row>
    <row r="777" spans="13:13">
      <c r="M777" s="155"/>
    </row>
    <row r="778" spans="13:13">
      <c r="M778" s="155"/>
    </row>
    <row r="779" spans="13:13">
      <c r="M779" s="155"/>
    </row>
    <row r="780" spans="13:13">
      <c r="M780" s="155"/>
    </row>
    <row r="781" spans="13:13">
      <c r="M781" s="155"/>
    </row>
    <row r="782" spans="13:13">
      <c r="M782" s="155"/>
    </row>
    <row r="783" spans="13:13">
      <c r="M783" s="155"/>
    </row>
    <row r="784" spans="13:13">
      <c r="M784" s="155"/>
    </row>
    <row r="785" spans="13:13">
      <c r="M785" s="155"/>
    </row>
    <row r="786" spans="13:13">
      <c r="M786" s="155"/>
    </row>
    <row r="787" spans="13:13">
      <c r="M787" s="155"/>
    </row>
    <row r="788" spans="13:13">
      <c r="M788" s="155"/>
    </row>
    <row r="789" spans="13:13">
      <c r="M789" s="155"/>
    </row>
    <row r="790" spans="13:13">
      <c r="M790" s="155"/>
    </row>
    <row r="791" spans="13:13">
      <c r="M791" s="155"/>
    </row>
    <row r="792" spans="13:13">
      <c r="M792" s="155"/>
    </row>
    <row r="793" spans="13:13">
      <c r="M793" s="155"/>
    </row>
    <row r="794" spans="13:13">
      <c r="M794" s="155"/>
    </row>
    <row r="795" spans="13:13">
      <c r="M795" s="155"/>
    </row>
    <row r="796" spans="13:13">
      <c r="M796" s="155"/>
    </row>
    <row r="797" spans="13:13">
      <c r="M797" s="155"/>
    </row>
    <row r="798" spans="13:13">
      <c r="M798" s="155"/>
    </row>
    <row r="799" spans="13:13">
      <c r="M799" s="155"/>
    </row>
    <row r="800" spans="13:13">
      <c r="M800" s="155"/>
    </row>
    <row r="801" spans="13:13">
      <c r="M801" s="155"/>
    </row>
    <row r="802" spans="13:13">
      <c r="M802" s="155"/>
    </row>
    <row r="803" spans="13:13">
      <c r="M803" s="155"/>
    </row>
    <row r="804" spans="13:13">
      <c r="M804" s="155"/>
    </row>
    <row r="805" spans="13:13">
      <c r="M805" s="155"/>
    </row>
    <row r="806" spans="13:13">
      <c r="M806" s="155"/>
    </row>
    <row r="807" spans="13:13">
      <c r="M807" s="155"/>
    </row>
    <row r="808" spans="13:13">
      <c r="M808" s="155"/>
    </row>
    <row r="809" spans="13:13">
      <c r="M809" s="155"/>
    </row>
    <row r="810" spans="13:13">
      <c r="M810" s="155"/>
    </row>
    <row r="811" spans="13:13">
      <c r="M811" s="155"/>
    </row>
    <row r="812" spans="13:13">
      <c r="M812" s="155"/>
    </row>
    <row r="813" spans="13:13">
      <c r="M813" s="155"/>
    </row>
    <row r="814" spans="13:13">
      <c r="M814" s="155"/>
    </row>
    <row r="815" spans="13:13">
      <c r="M815" s="155"/>
    </row>
    <row r="816" spans="13:13">
      <c r="M816" s="155"/>
    </row>
    <row r="817" spans="13:13">
      <c r="M817" s="155"/>
    </row>
    <row r="818" spans="13:13">
      <c r="M818" s="155"/>
    </row>
    <row r="819" spans="13:13">
      <c r="M819" s="155"/>
    </row>
    <row r="820" spans="13:13">
      <c r="M820" s="155"/>
    </row>
    <row r="821" spans="13:13">
      <c r="M821" s="155"/>
    </row>
    <row r="822" spans="13:13">
      <c r="M822" s="155"/>
    </row>
    <row r="823" spans="13:13">
      <c r="M823" s="155"/>
    </row>
    <row r="824" spans="13:13">
      <c r="M824" s="155"/>
    </row>
    <row r="825" spans="13:13">
      <c r="M825" s="155"/>
    </row>
    <row r="826" spans="13:13">
      <c r="M826" s="155"/>
    </row>
    <row r="827" spans="13:13">
      <c r="M827" s="155"/>
    </row>
    <row r="828" spans="13:13">
      <c r="M828" s="155"/>
    </row>
    <row r="829" spans="13:13">
      <c r="M829" s="155"/>
    </row>
    <row r="830" spans="13:13">
      <c r="M830" s="155"/>
    </row>
    <row r="831" spans="13:13">
      <c r="M831" s="155"/>
    </row>
    <row r="832" spans="13:13">
      <c r="M832" s="155"/>
    </row>
    <row r="833" spans="13:13">
      <c r="M833" s="155"/>
    </row>
    <row r="834" spans="13:13">
      <c r="M834" s="155"/>
    </row>
    <row r="835" spans="13:13">
      <c r="M835" s="155"/>
    </row>
    <row r="836" spans="13:13">
      <c r="M836" s="155"/>
    </row>
    <row r="837" spans="13:13">
      <c r="M837" s="155"/>
    </row>
    <row r="838" spans="13:13">
      <c r="M838" s="155"/>
    </row>
    <row r="839" spans="13:13">
      <c r="M839" s="155"/>
    </row>
    <row r="840" spans="13:13">
      <c r="M840" s="155"/>
    </row>
    <row r="841" spans="13:13">
      <c r="M841" s="155"/>
    </row>
    <row r="842" spans="13:13">
      <c r="M842" s="155"/>
    </row>
    <row r="843" spans="13:13">
      <c r="M843" s="155"/>
    </row>
    <row r="844" spans="13:13">
      <c r="M844" s="155"/>
    </row>
    <row r="845" spans="13:13">
      <c r="M845" s="155"/>
    </row>
    <row r="846" spans="13:13">
      <c r="M846" s="155"/>
    </row>
    <row r="847" spans="13:13">
      <c r="M847" s="155"/>
    </row>
    <row r="848" spans="13:13">
      <c r="M848" s="155"/>
    </row>
    <row r="849" spans="13:13">
      <c r="M849" s="155"/>
    </row>
    <row r="850" spans="13:13">
      <c r="M850" s="155"/>
    </row>
    <row r="851" spans="13:13">
      <c r="M851" s="155"/>
    </row>
    <row r="852" spans="13:13">
      <c r="M852" s="155"/>
    </row>
    <row r="853" spans="13:13">
      <c r="M853" s="155"/>
    </row>
    <row r="854" spans="13:13">
      <c r="M854" s="155"/>
    </row>
    <row r="855" spans="13:13">
      <c r="M855" s="155"/>
    </row>
    <row r="856" spans="13:13">
      <c r="M856" s="155"/>
    </row>
    <row r="857" spans="13:13">
      <c r="M857" s="155"/>
    </row>
    <row r="858" spans="13:13">
      <c r="M858" s="155"/>
    </row>
    <row r="859" spans="13:13">
      <c r="M859" s="155"/>
    </row>
    <row r="860" spans="13:13">
      <c r="M860" s="155"/>
    </row>
    <row r="861" spans="13:13">
      <c r="M861" s="155"/>
    </row>
    <row r="862" spans="13:13">
      <c r="M862" s="155"/>
    </row>
    <row r="863" spans="13:13">
      <c r="M863" s="155"/>
    </row>
    <row r="864" spans="13:13">
      <c r="M864" s="155"/>
    </row>
    <row r="865" spans="13:13">
      <c r="M865" s="155"/>
    </row>
    <row r="866" spans="13:13">
      <c r="M866" s="155"/>
    </row>
    <row r="867" spans="13:13">
      <c r="M867" s="155"/>
    </row>
    <row r="868" spans="13:13">
      <c r="M868" s="155"/>
    </row>
    <row r="869" spans="13:13">
      <c r="M869" s="155"/>
    </row>
    <row r="870" spans="13:13">
      <c r="M870" s="155"/>
    </row>
    <row r="871" spans="13:13">
      <c r="M871" s="155"/>
    </row>
    <row r="872" spans="13:13">
      <c r="M872" s="155"/>
    </row>
    <row r="873" spans="13:13">
      <c r="M873" s="155"/>
    </row>
    <row r="874" spans="13:13">
      <c r="M874" s="155"/>
    </row>
    <row r="875" spans="13:13">
      <c r="M875" s="155"/>
    </row>
    <row r="876" spans="13:13">
      <c r="M876" s="155"/>
    </row>
    <row r="877" spans="13:13">
      <c r="M877" s="155"/>
    </row>
    <row r="878" spans="13:13">
      <c r="M878" s="155"/>
    </row>
    <row r="879" spans="13:13">
      <c r="M879" s="155"/>
    </row>
    <row r="880" spans="13:13">
      <c r="M880" s="155"/>
    </row>
    <row r="881" spans="13:13">
      <c r="M881" s="155"/>
    </row>
    <row r="882" spans="13:13">
      <c r="M882" s="155"/>
    </row>
    <row r="883" spans="13:13">
      <c r="M883" s="155"/>
    </row>
    <row r="884" spans="13:13">
      <c r="M884" s="155"/>
    </row>
    <row r="885" spans="13:13">
      <c r="M885" s="155"/>
    </row>
    <row r="886" spans="13:13">
      <c r="M886" s="155"/>
    </row>
    <row r="887" spans="13:13">
      <c r="M887" s="155"/>
    </row>
    <row r="888" spans="13:13">
      <c r="M888" s="155"/>
    </row>
    <row r="889" spans="13:13">
      <c r="M889" s="155"/>
    </row>
    <row r="890" spans="13:13">
      <c r="M890" s="155"/>
    </row>
    <row r="891" spans="13:13">
      <c r="M891" s="155"/>
    </row>
    <row r="892" spans="13:13">
      <c r="M892" s="155"/>
    </row>
    <row r="893" spans="13:13">
      <c r="M893" s="155"/>
    </row>
    <row r="894" spans="13:13">
      <c r="M894" s="155"/>
    </row>
    <row r="895" spans="13:13">
      <c r="M895" s="155"/>
    </row>
    <row r="896" spans="13:13">
      <c r="M896" s="155"/>
    </row>
    <row r="897" spans="13:13">
      <c r="M897" s="155"/>
    </row>
    <row r="898" spans="13:13">
      <c r="M898" s="155"/>
    </row>
    <row r="899" spans="13:13">
      <c r="M899" s="155"/>
    </row>
    <row r="900" spans="13:13">
      <c r="M900" s="155"/>
    </row>
    <row r="901" spans="13:13">
      <c r="M901" s="155"/>
    </row>
    <row r="902" spans="13:13">
      <c r="M902" s="155"/>
    </row>
    <row r="903" spans="13:13">
      <c r="M903" s="155"/>
    </row>
    <row r="904" spans="13:13">
      <c r="M904" s="155"/>
    </row>
    <row r="905" spans="13:13">
      <c r="M905" s="155"/>
    </row>
    <row r="906" spans="13:13">
      <c r="M906" s="155"/>
    </row>
    <row r="907" spans="13:13">
      <c r="M907" s="155"/>
    </row>
    <row r="908" spans="13:13">
      <c r="M908" s="155"/>
    </row>
    <row r="909" spans="13:13">
      <c r="M909" s="155"/>
    </row>
    <row r="910" spans="13:13">
      <c r="M910" s="155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G405"/>
  <sheetViews>
    <sheetView showGridLines="0" showRowColHeaders="0" zoomScaleNormal="100" workbookViewId="0">
      <selection activeCell="H21" sqref="H21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7" customWidth="1"/>
    <col min="23" max="264" width="11.42578125" style="57"/>
    <col min="265" max="265" width="4.42578125" style="57" customWidth="1"/>
    <col min="266" max="266" width="13.28515625" style="57" customWidth="1"/>
    <col min="267" max="271" width="11.42578125" style="57"/>
    <col min="272" max="272" width="4.7109375" style="57" customWidth="1"/>
    <col min="273" max="520" width="11.42578125" style="57"/>
    <col min="521" max="521" width="4.42578125" style="57" customWidth="1"/>
    <col min="522" max="522" width="13.28515625" style="57" customWidth="1"/>
    <col min="523" max="527" width="11.42578125" style="57"/>
    <col min="528" max="528" width="4.7109375" style="57" customWidth="1"/>
    <col min="529" max="776" width="11.42578125" style="57"/>
    <col min="777" max="777" width="4.42578125" style="57" customWidth="1"/>
    <col min="778" max="778" width="13.28515625" style="57" customWidth="1"/>
    <col min="779" max="783" width="11.42578125" style="57"/>
    <col min="784" max="784" width="4.7109375" style="57" customWidth="1"/>
    <col min="785" max="1032" width="11.42578125" style="57"/>
    <col min="1033" max="1033" width="4.42578125" style="57" customWidth="1"/>
    <col min="1034" max="1034" width="13.28515625" style="57" customWidth="1"/>
    <col min="1035" max="1039" width="11.42578125" style="57"/>
    <col min="1040" max="1040" width="4.7109375" style="57" customWidth="1"/>
    <col min="1041" max="1288" width="11.42578125" style="57"/>
    <col min="1289" max="1289" width="4.42578125" style="57" customWidth="1"/>
    <col min="1290" max="1290" width="13.28515625" style="57" customWidth="1"/>
    <col min="1291" max="1295" width="11.42578125" style="57"/>
    <col min="1296" max="1296" width="4.7109375" style="57" customWidth="1"/>
    <col min="1297" max="1544" width="11.42578125" style="57"/>
    <col min="1545" max="1545" width="4.42578125" style="57" customWidth="1"/>
    <col min="1546" max="1546" width="13.28515625" style="57" customWidth="1"/>
    <col min="1547" max="1551" width="11.42578125" style="57"/>
    <col min="1552" max="1552" width="4.7109375" style="57" customWidth="1"/>
    <col min="1553" max="1800" width="11.42578125" style="57"/>
    <col min="1801" max="1801" width="4.42578125" style="57" customWidth="1"/>
    <col min="1802" max="1802" width="13.28515625" style="57" customWidth="1"/>
    <col min="1803" max="1807" width="11.42578125" style="57"/>
    <col min="1808" max="1808" width="4.7109375" style="57" customWidth="1"/>
    <col min="1809" max="2056" width="11.42578125" style="57"/>
    <col min="2057" max="2057" width="4.42578125" style="57" customWidth="1"/>
    <col min="2058" max="2058" width="13.28515625" style="57" customWidth="1"/>
    <col min="2059" max="2063" width="11.42578125" style="57"/>
    <col min="2064" max="2064" width="4.7109375" style="57" customWidth="1"/>
    <col min="2065" max="2312" width="11.42578125" style="57"/>
    <col min="2313" max="2313" width="4.42578125" style="57" customWidth="1"/>
    <col min="2314" max="2314" width="13.28515625" style="57" customWidth="1"/>
    <col min="2315" max="2319" width="11.42578125" style="57"/>
    <col min="2320" max="2320" width="4.7109375" style="57" customWidth="1"/>
    <col min="2321" max="2568" width="11.42578125" style="57"/>
    <col min="2569" max="2569" width="4.42578125" style="57" customWidth="1"/>
    <col min="2570" max="2570" width="13.28515625" style="57" customWidth="1"/>
    <col min="2571" max="2575" width="11.42578125" style="57"/>
    <col min="2576" max="2576" width="4.7109375" style="57" customWidth="1"/>
    <col min="2577" max="2824" width="11.42578125" style="57"/>
    <col min="2825" max="2825" width="4.42578125" style="57" customWidth="1"/>
    <col min="2826" max="2826" width="13.28515625" style="57" customWidth="1"/>
    <col min="2827" max="2831" width="11.42578125" style="57"/>
    <col min="2832" max="2832" width="4.7109375" style="57" customWidth="1"/>
    <col min="2833" max="3080" width="11.42578125" style="57"/>
    <col min="3081" max="3081" width="4.42578125" style="57" customWidth="1"/>
    <col min="3082" max="3082" width="13.28515625" style="57" customWidth="1"/>
    <col min="3083" max="3087" width="11.42578125" style="57"/>
    <col min="3088" max="3088" width="4.7109375" style="57" customWidth="1"/>
    <col min="3089" max="3336" width="11.42578125" style="57"/>
    <col min="3337" max="3337" width="4.42578125" style="57" customWidth="1"/>
    <col min="3338" max="3338" width="13.28515625" style="57" customWidth="1"/>
    <col min="3339" max="3343" width="11.42578125" style="57"/>
    <col min="3344" max="3344" width="4.7109375" style="57" customWidth="1"/>
    <col min="3345" max="3592" width="11.42578125" style="57"/>
    <col min="3593" max="3593" width="4.42578125" style="57" customWidth="1"/>
    <col min="3594" max="3594" width="13.28515625" style="57" customWidth="1"/>
    <col min="3595" max="3599" width="11.42578125" style="57"/>
    <col min="3600" max="3600" width="4.7109375" style="57" customWidth="1"/>
    <col min="3601" max="3848" width="11.42578125" style="57"/>
    <col min="3849" max="3849" width="4.42578125" style="57" customWidth="1"/>
    <col min="3850" max="3850" width="13.28515625" style="57" customWidth="1"/>
    <col min="3851" max="3855" width="11.42578125" style="57"/>
    <col min="3856" max="3856" width="4.7109375" style="57" customWidth="1"/>
    <col min="3857" max="4104" width="11.42578125" style="57"/>
    <col min="4105" max="4105" width="4.42578125" style="57" customWidth="1"/>
    <col min="4106" max="4106" width="13.28515625" style="57" customWidth="1"/>
    <col min="4107" max="4111" width="11.42578125" style="57"/>
    <col min="4112" max="4112" width="4.7109375" style="57" customWidth="1"/>
    <col min="4113" max="4360" width="11.42578125" style="57"/>
    <col min="4361" max="4361" width="4.42578125" style="57" customWidth="1"/>
    <col min="4362" max="4362" width="13.28515625" style="57" customWidth="1"/>
    <col min="4363" max="4367" width="11.42578125" style="57"/>
    <col min="4368" max="4368" width="4.7109375" style="57" customWidth="1"/>
    <col min="4369" max="4616" width="11.42578125" style="57"/>
    <col min="4617" max="4617" width="4.42578125" style="57" customWidth="1"/>
    <col min="4618" max="4618" width="13.28515625" style="57" customWidth="1"/>
    <col min="4619" max="4623" width="11.42578125" style="57"/>
    <col min="4624" max="4624" width="4.7109375" style="57" customWidth="1"/>
    <col min="4625" max="4872" width="11.42578125" style="57"/>
    <col min="4873" max="4873" width="4.42578125" style="57" customWidth="1"/>
    <col min="4874" max="4874" width="13.28515625" style="57" customWidth="1"/>
    <col min="4875" max="4879" width="11.42578125" style="57"/>
    <col min="4880" max="4880" width="4.7109375" style="57" customWidth="1"/>
    <col min="4881" max="5128" width="11.42578125" style="57"/>
    <col min="5129" max="5129" width="4.42578125" style="57" customWidth="1"/>
    <col min="5130" max="5130" width="13.28515625" style="57" customWidth="1"/>
    <col min="5131" max="5135" width="11.42578125" style="57"/>
    <col min="5136" max="5136" width="4.7109375" style="57" customWidth="1"/>
    <col min="5137" max="5384" width="11.42578125" style="57"/>
    <col min="5385" max="5385" width="4.42578125" style="57" customWidth="1"/>
    <col min="5386" max="5386" width="13.28515625" style="57" customWidth="1"/>
    <col min="5387" max="5391" width="11.42578125" style="57"/>
    <col min="5392" max="5392" width="4.7109375" style="57" customWidth="1"/>
    <col min="5393" max="5640" width="11.42578125" style="57"/>
    <col min="5641" max="5641" width="4.42578125" style="57" customWidth="1"/>
    <col min="5642" max="5642" width="13.28515625" style="57" customWidth="1"/>
    <col min="5643" max="5647" width="11.42578125" style="57"/>
    <col min="5648" max="5648" width="4.7109375" style="57" customWidth="1"/>
    <col min="5649" max="5896" width="11.42578125" style="57"/>
    <col min="5897" max="5897" width="4.42578125" style="57" customWidth="1"/>
    <col min="5898" max="5898" width="13.28515625" style="57" customWidth="1"/>
    <col min="5899" max="5903" width="11.42578125" style="57"/>
    <col min="5904" max="5904" width="4.7109375" style="57" customWidth="1"/>
    <col min="5905" max="6152" width="11.42578125" style="57"/>
    <col min="6153" max="6153" width="4.42578125" style="57" customWidth="1"/>
    <col min="6154" max="6154" width="13.28515625" style="57" customWidth="1"/>
    <col min="6155" max="6159" width="11.42578125" style="57"/>
    <col min="6160" max="6160" width="4.7109375" style="57" customWidth="1"/>
    <col min="6161" max="6408" width="11.42578125" style="57"/>
    <col min="6409" max="6409" width="4.42578125" style="57" customWidth="1"/>
    <col min="6410" max="6410" width="13.28515625" style="57" customWidth="1"/>
    <col min="6411" max="6415" width="11.42578125" style="57"/>
    <col min="6416" max="6416" width="4.7109375" style="57" customWidth="1"/>
    <col min="6417" max="6664" width="11.42578125" style="57"/>
    <col min="6665" max="6665" width="4.42578125" style="57" customWidth="1"/>
    <col min="6666" max="6666" width="13.28515625" style="57" customWidth="1"/>
    <col min="6667" max="6671" width="11.42578125" style="57"/>
    <col min="6672" max="6672" width="4.7109375" style="57" customWidth="1"/>
    <col min="6673" max="6920" width="11.42578125" style="57"/>
    <col min="6921" max="6921" width="4.42578125" style="57" customWidth="1"/>
    <col min="6922" max="6922" width="13.28515625" style="57" customWidth="1"/>
    <col min="6923" max="6927" width="11.42578125" style="57"/>
    <col min="6928" max="6928" width="4.7109375" style="57" customWidth="1"/>
    <col min="6929" max="7176" width="11.42578125" style="57"/>
    <col min="7177" max="7177" width="4.42578125" style="57" customWidth="1"/>
    <col min="7178" max="7178" width="13.28515625" style="57" customWidth="1"/>
    <col min="7179" max="7183" width="11.42578125" style="57"/>
    <col min="7184" max="7184" width="4.7109375" style="57" customWidth="1"/>
    <col min="7185" max="7432" width="11.42578125" style="57"/>
    <col min="7433" max="7433" width="4.42578125" style="57" customWidth="1"/>
    <col min="7434" max="7434" width="13.28515625" style="57" customWidth="1"/>
    <col min="7435" max="7439" width="11.42578125" style="57"/>
    <col min="7440" max="7440" width="4.7109375" style="57" customWidth="1"/>
    <col min="7441" max="7688" width="11.42578125" style="57"/>
    <col min="7689" max="7689" width="4.42578125" style="57" customWidth="1"/>
    <col min="7690" max="7690" width="13.28515625" style="57" customWidth="1"/>
    <col min="7691" max="7695" width="11.42578125" style="57"/>
    <col min="7696" max="7696" width="4.7109375" style="57" customWidth="1"/>
    <col min="7697" max="7944" width="11.42578125" style="57"/>
    <col min="7945" max="7945" width="4.42578125" style="57" customWidth="1"/>
    <col min="7946" max="7946" width="13.28515625" style="57" customWidth="1"/>
    <col min="7947" max="7951" width="11.42578125" style="57"/>
    <col min="7952" max="7952" width="4.7109375" style="57" customWidth="1"/>
    <col min="7953" max="8200" width="11.42578125" style="57"/>
    <col min="8201" max="8201" width="4.42578125" style="57" customWidth="1"/>
    <col min="8202" max="8202" width="13.28515625" style="57" customWidth="1"/>
    <col min="8203" max="8207" width="11.42578125" style="57"/>
    <col min="8208" max="8208" width="4.7109375" style="57" customWidth="1"/>
    <col min="8209" max="8456" width="11.42578125" style="57"/>
    <col min="8457" max="8457" width="4.42578125" style="57" customWidth="1"/>
    <col min="8458" max="8458" width="13.28515625" style="57" customWidth="1"/>
    <col min="8459" max="8463" width="11.42578125" style="57"/>
    <col min="8464" max="8464" width="4.7109375" style="57" customWidth="1"/>
    <col min="8465" max="8712" width="11.42578125" style="57"/>
    <col min="8713" max="8713" width="4.42578125" style="57" customWidth="1"/>
    <col min="8714" max="8714" width="13.28515625" style="57" customWidth="1"/>
    <col min="8715" max="8719" width="11.42578125" style="57"/>
    <col min="8720" max="8720" width="4.7109375" style="57" customWidth="1"/>
    <col min="8721" max="8968" width="11.42578125" style="57"/>
    <col min="8969" max="8969" width="4.42578125" style="57" customWidth="1"/>
    <col min="8970" max="8970" width="13.28515625" style="57" customWidth="1"/>
    <col min="8971" max="8975" width="11.42578125" style="57"/>
    <col min="8976" max="8976" width="4.7109375" style="57" customWidth="1"/>
    <col min="8977" max="9224" width="11.42578125" style="57"/>
    <col min="9225" max="9225" width="4.42578125" style="57" customWidth="1"/>
    <col min="9226" max="9226" width="13.28515625" style="57" customWidth="1"/>
    <col min="9227" max="9231" width="11.42578125" style="57"/>
    <col min="9232" max="9232" width="4.7109375" style="57" customWidth="1"/>
    <col min="9233" max="9480" width="11.42578125" style="57"/>
    <col min="9481" max="9481" width="4.42578125" style="57" customWidth="1"/>
    <col min="9482" max="9482" width="13.28515625" style="57" customWidth="1"/>
    <col min="9483" max="9487" width="11.42578125" style="57"/>
    <col min="9488" max="9488" width="4.7109375" style="57" customWidth="1"/>
    <col min="9489" max="9736" width="11.42578125" style="57"/>
    <col min="9737" max="9737" width="4.42578125" style="57" customWidth="1"/>
    <col min="9738" max="9738" width="13.28515625" style="57" customWidth="1"/>
    <col min="9739" max="9743" width="11.42578125" style="57"/>
    <col min="9744" max="9744" width="4.7109375" style="57" customWidth="1"/>
    <col min="9745" max="9992" width="11.42578125" style="57"/>
    <col min="9993" max="9993" width="4.42578125" style="57" customWidth="1"/>
    <col min="9994" max="9994" width="13.28515625" style="57" customWidth="1"/>
    <col min="9995" max="9999" width="11.42578125" style="57"/>
    <col min="10000" max="10000" width="4.7109375" style="57" customWidth="1"/>
    <col min="10001" max="10248" width="11.42578125" style="57"/>
    <col min="10249" max="10249" width="4.42578125" style="57" customWidth="1"/>
    <col min="10250" max="10250" width="13.28515625" style="57" customWidth="1"/>
    <col min="10251" max="10255" width="11.42578125" style="57"/>
    <col min="10256" max="10256" width="4.7109375" style="57" customWidth="1"/>
    <col min="10257" max="10504" width="11.42578125" style="57"/>
    <col min="10505" max="10505" width="4.42578125" style="57" customWidth="1"/>
    <col min="10506" max="10506" width="13.28515625" style="57" customWidth="1"/>
    <col min="10507" max="10511" width="11.42578125" style="57"/>
    <col min="10512" max="10512" width="4.7109375" style="57" customWidth="1"/>
    <col min="10513" max="10760" width="11.42578125" style="57"/>
    <col min="10761" max="10761" width="4.42578125" style="57" customWidth="1"/>
    <col min="10762" max="10762" width="13.28515625" style="57" customWidth="1"/>
    <col min="10763" max="10767" width="11.42578125" style="57"/>
    <col min="10768" max="10768" width="4.7109375" style="57" customWidth="1"/>
    <col min="10769" max="11016" width="11.42578125" style="57"/>
    <col min="11017" max="11017" width="4.42578125" style="57" customWidth="1"/>
    <col min="11018" max="11018" width="13.28515625" style="57" customWidth="1"/>
    <col min="11019" max="11023" width="11.42578125" style="57"/>
    <col min="11024" max="11024" width="4.7109375" style="57" customWidth="1"/>
    <col min="11025" max="11272" width="11.42578125" style="57"/>
    <col min="11273" max="11273" width="4.42578125" style="57" customWidth="1"/>
    <col min="11274" max="11274" width="13.28515625" style="57" customWidth="1"/>
    <col min="11275" max="11279" width="11.42578125" style="57"/>
    <col min="11280" max="11280" width="4.7109375" style="57" customWidth="1"/>
    <col min="11281" max="11528" width="11.42578125" style="57"/>
    <col min="11529" max="11529" width="4.42578125" style="57" customWidth="1"/>
    <col min="11530" max="11530" width="13.28515625" style="57" customWidth="1"/>
    <col min="11531" max="11535" width="11.42578125" style="57"/>
    <col min="11536" max="11536" width="4.7109375" style="57" customWidth="1"/>
    <col min="11537" max="11784" width="11.42578125" style="57"/>
    <col min="11785" max="11785" width="4.42578125" style="57" customWidth="1"/>
    <col min="11786" max="11786" width="13.28515625" style="57" customWidth="1"/>
    <col min="11787" max="11791" width="11.42578125" style="57"/>
    <col min="11792" max="11792" width="4.7109375" style="57" customWidth="1"/>
    <col min="11793" max="12040" width="11.42578125" style="57"/>
    <col min="12041" max="12041" width="4.42578125" style="57" customWidth="1"/>
    <col min="12042" max="12042" width="13.28515625" style="57" customWidth="1"/>
    <col min="12043" max="12047" width="11.42578125" style="57"/>
    <col min="12048" max="12048" width="4.7109375" style="57" customWidth="1"/>
    <col min="12049" max="12296" width="11.42578125" style="57"/>
    <col min="12297" max="12297" width="4.42578125" style="57" customWidth="1"/>
    <col min="12298" max="12298" width="13.28515625" style="57" customWidth="1"/>
    <col min="12299" max="12303" width="11.42578125" style="57"/>
    <col min="12304" max="12304" width="4.7109375" style="57" customWidth="1"/>
    <col min="12305" max="12552" width="11.42578125" style="57"/>
    <col min="12553" max="12553" width="4.42578125" style="57" customWidth="1"/>
    <col min="12554" max="12554" width="13.28515625" style="57" customWidth="1"/>
    <col min="12555" max="12559" width="11.42578125" style="57"/>
    <col min="12560" max="12560" width="4.7109375" style="57" customWidth="1"/>
    <col min="12561" max="12808" width="11.42578125" style="57"/>
    <col min="12809" max="12809" width="4.42578125" style="57" customWidth="1"/>
    <col min="12810" max="12810" width="13.28515625" style="57" customWidth="1"/>
    <col min="12811" max="12815" width="11.42578125" style="57"/>
    <col min="12816" max="12816" width="4.7109375" style="57" customWidth="1"/>
    <col min="12817" max="13064" width="11.42578125" style="57"/>
    <col min="13065" max="13065" width="4.42578125" style="57" customWidth="1"/>
    <col min="13066" max="13066" width="13.28515625" style="57" customWidth="1"/>
    <col min="13067" max="13071" width="11.42578125" style="57"/>
    <col min="13072" max="13072" width="4.7109375" style="57" customWidth="1"/>
    <col min="13073" max="13320" width="11.42578125" style="57"/>
    <col min="13321" max="13321" width="4.42578125" style="57" customWidth="1"/>
    <col min="13322" max="13322" width="13.28515625" style="57" customWidth="1"/>
    <col min="13323" max="13327" width="11.42578125" style="57"/>
    <col min="13328" max="13328" width="4.7109375" style="57" customWidth="1"/>
    <col min="13329" max="13576" width="11.42578125" style="57"/>
    <col min="13577" max="13577" width="4.42578125" style="57" customWidth="1"/>
    <col min="13578" max="13578" width="13.28515625" style="57" customWidth="1"/>
    <col min="13579" max="13583" width="11.42578125" style="57"/>
    <col min="13584" max="13584" width="4.7109375" style="57" customWidth="1"/>
    <col min="13585" max="13832" width="11.42578125" style="57"/>
    <col min="13833" max="13833" width="4.42578125" style="57" customWidth="1"/>
    <col min="13834" max="13834" width="13.28515625" style="57" customWidth="1"/>
    <col min="13835" max="13839" width="11.42578125" style="57"/>
    <col min="13840" max="13840" width="4.7109375" style="57" customWidth="1"/>
    <col min="13841" max="14088" width="11.42578125" style="57"/>
    <col min="14089" max="14089" width="4.42578125" style="57" customWidth="1"/>
    <col min="14090" max="14090" width="13.28515625" style="57" customWidth="1"/>
    <col min="14091" max="14095" width="11.42578125" style="57"/>
    <col min="14096" max="14096" width="4.7109375" style="57" customWidth="1"/>
    <col min="14097" max="14344" width="11.42578125" style="57"/>
    <col min="14345" max="14345" width="4.42578125" style="57" customWidth="1"/>
    <col min="14346" max="14346" width="13.28515625" style="57" customWidth="1"/>
    <col min="14347" max="14351" width="11.42578125" style="57"/>
    <col min="14352" max="14352" width="4.7109375" style="57" customWidth="1"/>
    <col min="14353" max="14600" width="11.42578125" style="57"/>
    <col min="14601" max="14601" width="4.42578125" style="57" customWidth="1"/>
    <col min="14602" max="14602" width="13.28515625" style="57" customWidth="1"/>
    <col min="14603" max="14607" width="11.42578125" style="57"/>
    <col min="14608" max="14608" width="4.7109375" style="57" customWidth="1"/>
    <col min="14609" max="14856" width="11.42578125" style="57"/>
    <col min="14857" max="14857" width="4.42578125" style="57" customWidth="1"/>
    <col min="14858" max="14858" width="13.28515625" style="57" customWidth="1"/>
    <col min="14859" max="14863" width="11.42578125" style="57"/>
    <col min="14864" max="14864" width="4.7109375" style="57" customWidth="1"/>
    <col min="14865" max="15112" width="11.42578125" style="57"/>
    <col min="15113" max="15113" width="4.42578125" style="57" customWidth="1"/>
    <col min="15114" max="15114" width="13.28515625" style="57" customWidth="1"/>
    <col min="15115" max="15119" width="11.42578125" style="57"/>
    <col min="15120" max="15120" width="4.7109375" style="57" customWidth="1"/>
    <col min="15121" max="15368" width="11.42578125" style="57"/>
    <col min="15369" max="15369" width="4.42578125" style="57" customWidth="1"/>
    <col min="15370" max="15370" width="13.28515625" style="57" customWidth="1"/>
    <col min="15371" max="15375" width="11.42578125" style="57"/>
    <col min="15376" max="15376" width="4.7109375" style="57" customWidth="1"/>
    <col min="15377" max="15624" width="11.42578125" style="57"/>
    <col min="15625" max="15625" width="4.42578125" style="57" customWidth="1"/>
    <col min="15626" max="15626" width="13.28515625" style="57" customWidth="1"/>
    <col min="15627" max="15631" width="11.42578125" style="57"/>
    <col min="15632" max="15632" width="4.7109375" style="57" customWidth="1"/>
    <col min="15633" max="15880" width="11.42578125" style="57"/>
    <col min="15881" max="15881" width="4.42578125" style="57" customWidth="1"/>
    <col min="15882" max="15882" width="13.28515625" style="57" customWidth="1"/>
    <col min="15883" max="15887" width="11.42578125" style="57"/>
    <col min="15888" max="15888" width="4.7109375" style="57" customWidth="1"/>
    <col min="15889" max="16136" width="11.42578125" style="57"/>
    <col min="16137" max="16137" width="4.42578125" style="57" customWidth="1"/>
    <col min="16138" max="16138" width="13.28515625" style="57" customWidth="1"/>
    <col min="16139" max="16143" width="11.42578125" style="57"/>
    <col min="16144" max="16144" width="4.7109375" style="57" customWidth="1"/>
    <col min="16145" max="16384" width="11.42578125" style="57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5" t="s">
        <v>1</v>
      </c>
    </row>
    <row r="3" spans="1:33" s="50" customFormat="1">
      <c r="A3"/>
      <c r="B3"/>
      <c r="C3"/>
      <c r="D3" s="115" t="str">
        <f>Indice!E3</f>
        <v>Agosto 2018</v>
      </c>
    </row>
    <row r="4" spans="1:33" s="50" customFormat="1" ht="20.100000000000001" customHeight="1">
      <c r="A4"/>
      <c r="B4" s="105" t="s">
        <v>69</v>
      </c>
      <c r="C4"/>
      <c r="D4"/>
    </row>
    <row r="5" spans="1:33" s="50" customFormat="1">
      <c r="A5"/>
      <c r="B5"/>
      <c r="C5"/>
      <c r="D5"/>
      <c r="G5" s="53"/>
      <c r="H5" s="54"/>
      <c r="I5" s="54"/>
      <c r="J5" s="54"/>
      <c r="K5" s="54"/>
      <c r="L5" s="54"/>
    </row>
    <row r="6" spans="1:33" s="50" customFormat="1">
      <c r="A6"/>
      <c r="B6"/>
      <c r="C6"/>
      <c r="D6"/>
      <c r="AB6" s="55"/>
      <c r="AC6" s="55"/>
      <c r="AD6" s="55"/>
      <c r="AE6" s="55"/>
      <c r="AF6" s="55"/>
      <c r="AG6" s="55"/>
    </row>
    <row r="7" spans="1:33">
      <c r="B7" s="123" t="s">
        <v>41</v>
      </c>
      <c r="D7" s="4"/>
      <c r="F7" s="57"/>
      <c r="G7" s="57"/>
      <c r="H7" s="57"/>
      <c r="I7" s="57"/>
      <c r="J7" s="57"/>
      <c r="K7" s="57"/>
      <c r="L7" s="57"/>
      <c r="M7" s="57"/>
      <c r="N7" s="71"/>
      <c r="AB7" s="68"/>
      <c r="AC7" s="68"/>
      <c r="AD7" s="68"/>
      <c r="AE7" s="68"/>
      <c r="AF7" s="68"/>
      <c r="AG7" s="68"/>
    </row>
    <row r="8" spans="1:33">
      <c r="B8" s="43"/>
      <c r="D8" s="4"/>
      <c r="F8" s="57"/>
      <c r="G8" s="57"/>
      <c r="H8" s="57"/>
      <c r="I8" s="57"/>
      <c r="J8" s="57"/>
      <c r="K8" s="57"/>
      <c r="L8" s="57"/>
      <c r="M8" s="57"/>
      <c r="N8" s="142"/>
      <c r="P8" s="66"/>
      <c r="Q8" s="156"/>
      <c r="R8" s="157"/>
      <c r="S8" s="157"/>
      <c r="T8" s="157"/>
      <c r="U8" s="157"/>
      <c r="X8" s="157"/>
      <c r="Y8" s="157"/>
      <c r="Z8" s="157"/>
      <c r="AB8" s="68"/>
      <c r="AC8" s="68"/>
      <c r="AD8" s="68"/>
      <c r="AE8" s="68"/>
      <c r="AF8" s="68"/>
      <c r="AG8" s="68"/>
    </row>
    <row r="9" spans="1:33">
      <c r="B9" s="43"/>
      <c r="D9" s="4"/>
      <c r="F9" s="57"/>
      <c r="G9" s="57"/>
      <c r="H9" s="57"/>
      <c r="I9" s="57"/>
      <c r="J9" s="57"/>
      <c r="K9" s="57"/>
      <c r="L9" s="57"/>
      <c r="M9" s="57"/>
      <c r="N9" s="72"/>
      <c r="O9" s="63"/>
      <c r="P9" s="67"/>
      <c r="Q9" s="158"/>
      <c r="R9" s="158"/>
      <c r="S9" s="158"/>
      <c r="T9" s="158"/>
      <c r="U9" s="158"/>
      <c r="V9" s="159"/>
      <c r="X9" s="68"/>
      <c r="Y9" s="68"/>
      <c r="Z9" s="68"/>
      <c r="AB9" s="68"/>
      <c r="AC9" s="68"/>
      <c r="AD9" s="68"/>
      <c r="AE9" s="68"/>
      <c r="AF9" s="68"/>
      <c r="AG9" s="68"/>
    </row>
    <row r="10" spans="1:33">
      <c r="D10" s="4"/>
      <c r="F10" s="57"/>
      <c r="G10" s="57"/>
      <c r="H10" s="57"/>
      <c r="I10" s="57"/>
      <c r="J10" s="57"/>
      <c r="K10" s="57"/>
      <c r="L10" s="57"/>
      <c r="M10" s="57"/>
      <c r="N10" s="72"/>
      <c r="O10" s="63"/>
      <c r="P10" s="67"/>
      <c r="Q10" s="158"/>
      <c r="R10" s="158"/>
      <c r="S10" s="158"/>
      <c r="T10" s="158"/>
      <c r="U10" s="158"/>
      <c r="V10" s="159"/>
      <c r="X10" s="68"/>
      <c r="Y10" s="68"/>
      <c r="Z10" s="68"/>
      <c r="AB10" s="68"/>
      <c r="AC10" s="68"/>
      <c r="AD10" s="68"/>
      <c r="AE10" s="68"/>
      <c r="AF10" s="68"/>
      <c r="AG10" s="68"/>
    </row>
    <row r="11" spans="1:33">
      <c r="D11" s="4"/>
      <c r="F11" s="57"/>
      <c r="G11" s="57"/>
      <c r="H11" s="57"/>
      <c r="I11" s="57"/>
      <c r="J11" s="57"/>
      <c r="K11" s="57"/>
      <c r="L11" s="57"/>
      <c r="M11" s="57"/>
      <c r="N11" s="72"/>
      <c r="O11" s="63"/>
      <c r="P11" s="67"/>
      <c r="Q11" s="158"/>
      <c r="R11" s="158"/>
      <c r="S11" s="158"/>
      <c r="T11" s="158"/>
      <c r="U11" s="158"/>
      <c r="V11" s="159"/>
      <c r="X11" s="68"/>
      <c r="Y11" s="68"/>
      <c r="Z11" s="68"/>
      <c r="AB11" s="68"/>
      <c r="AC11" s="68"/>
      <c r="AD11" s="68"/>
      <c r="AE11" s="68"/>
      <c r="AF11" s="68"/>
      <c r="AG11" s="68"/>
    </row>
    <row r="12" spans="1:33">
      <c r="D12" s="4"/>
      <c r="F12" s="57"/>
      <c r="G12" s="57"/>
      <c r="H12" s="57"/>
      <c r="I12" s="57"/>
      <c r="J12" s="57"/>
      <c r="K12" s="57"/>
      <c r="L12" s="57"/>
      <c r="M12" s="57"/>
      <c r="N12" s="72"/>
      <c r="O12" s="63"/>
      <c r="P12" s="67"/>
      <c r="Q12" s="158"/>
      <c r="R12" s="158"/>
      <c r="S12" s="158"/>
      <c r="T12" s="158"/>
      <c r="U12" s="158"/>
      <c r="V12" s="159"/>
      <c r="X12" s="68"/>
      <c r="Y12" s="68"/>
      <c r="Z12" s="68"/>
      <c r="AB12" s="68"/>
      <c r="AC12" s="68"/>
      <c r="AD12" s="68"/>
      <c r="AE12" s="68"/>
      <c r="AF12" s="68"/>
      <c r="AG12" s="68"/>
    </row>
    <row r="13" spans="1:33">
      <c r="D13" s="4"/>
      <c r="F13" s="57"/>
      <c r="G13" s="57"/>
      <c r="H13" s="57"/>
      <c r="I13" s="57"/>
      <c r="J13" s="57"/>
      <c r="K13" s="57"/>
      <c r="L13" s="57"/>
      <c r="M13" s="57"/>
      <c r="N13" s="72"/>
      <c r="O13" s="63"/>
      <c r="P13" s="67"/>
      <c r="Q13" s="158"/>
      <c r="R13" s="158"/>
      <c r="S13" s="158"/>
      <c r="T13" s="158"/>
      <c r="U13" s="158"/>
      <c r="V13" s="159"/>
      <c r="X13" s="68"/>
      <c r="Y13" s="68"/>
      <c r="Z13" s="68"/>
      <c r="AB13" s="68"/>
      <c r="AC13" s="68"/>
      <c r="AD13" s="68"/>
      <c r="AE13" s="68"/>
      <c r="AF13" s="68"/>
      <c r="AG13" s="68"/>
    </row>
    <row r="14" spans="1:33">
      <c r="D14" s="4"/>
      <c r="F14" s="57"/>
      <c r="G14" s="57"/>
      <c r="H14" s="57"/>
      <c r="I14" s="57"/>
      <c r="J14" s="57"/>
      <c r="K14" s="57"/>
      <c r="L14" s="57"/>
      <c r="M14" s="57"/>
      <c r="N14" s="72"/>
      <c r="O14" s="63"/>
      <c r="P14" s="67"/>
      <c r="Q14" s="158"/>
      <c r="R14" s="158"/>
      <c r="S14" s="158"/>
      <c r="T14" s="158"/>
      <c r="U14" s="158"/>
      <c r="V14" s="159"/>
      <c r="X14" s="68"/>
      <c r="Y14" s="68"/>
      <c r="Z14" s="68"/>
      <c r="AB14" s="68"/>
      <c r="AC14" s="68"/>
      <c r="AD14" s="68"/>
      <c r="AE14" s="68"/>
      <c r="AF14" s="68"/>
      <c r="AG14" s="68"/>
    </row>
    <row r="15" spans="1:33">
      <c r="D15" s="4"/>
      <c r="F15" s="57"/>
      <c r="G15" s="57"/>
      <c r="H15" s="57"/>
      <c r="I15" s="57"/>
      <c r="J15" s="57"/>
      <c r="K15" s="57"/>
      <c r="L15" s="57"/>
      <c r="M15" s="57"/>
      <c r="N15" s="72"/>
      <c r="O15" s="63"/>
      <c r="P15" s="67"/>
      <c r="Q15" s="158"/>
      <c r="R15" s="158"/>
      <c r="S15" s="158"/>
      <c r="T15" s="158"/>
      <c r="U15" s="158"/>
      <c r="V15" s="159"/>
      <c r="X15" s="68"/>
      <c r="Y15" s="68"/>
      <c r="Z15" s="68"/>
      <c r="AB15" s="68"/>
      <c r="AC15" s="68"/>
      <c r="AD15" s="68"/>
      <c r="AE15" s="68"/>
      <c r="AF15" s="68"/>
      <c r="AG15" s="68"/>
    </row>
    <row r="16" spans="1:33">
      <c r="D16" s="4"/>
      <c r="F16" s="57"/>
      <c r="G16" s="57"/>
      <c r="H16" s="57"/>
      <c r="I16" s="57"/>
      <c r="J16" s="57"/>
      <c r="K16" s="57"/>
      <c r="L16" s="57"/>
      <c r="M16" s="57"/>
      <c r="N16" s="72"/>
      <c r="O16" s="63"/>
      <c r="P16" s="67"/>
      <c r="Q16" s="158"/>
      <c r="R16" s="158"/>
      <c r="S16" s="158"/>
      <c r="T16" s="158"/>
      <c r="U16" s="158"/>
      <c r="V16" s="159"/>
      <c r="X16" s="68"/>
      <c r="Y16" s="68"/>
      <c r="Z16" s="68"/>
      <c r="AB16" s="68"/>
      <c r="AC16" s="68"/>
      <c r="AD16" s="68"/>
      <c r="AE16" s="68"/>
      <c r="AF16" s="68"/>
      <c r="AG16" s="68"/>
    </row>
    <row r="17" spans="4:33">
      <c r="D17" s="4"/>
      <c r="F17" s="57"/>
      <c r="G17" s="57"/>
      <c r="H17" s="57"/>
      <c r="I17" s="57"/>
      <c r="J17" s="57"/>
      <c r="K17" s="57"/>
      <c r="L17" s="57"/>
      <c r="M17" s="57"/>
      <c r="N17" s="72"/>
      <c r="O17" s="63"/>
      <c r="P17" s="67"/>
      <c r="Q17" s="158"/>
      <c r="R17" s="158"/>
      <c r="S17" s="158"/>
      <c r="T17" s="158"/>
      <c r="U17" s="158"/>
      <c r="V17" s="159"/>
      <c r="X17" s="68"/>
      <c r="Y17" s="68"/>
      <c r="Z17" s="68"/>
      <c r="AB17" s="68"/>
      <c r="AC17" s="68"/>
      <c r="AD17" s="68"/>
      <c r="AE17" s="68"/>
      <c r="AF17" s="68"/>
      <c r="AG17" s="68"/>
    </row>
    <row r="18" spans="4:33">
      <c r="D18" s="4"/>
      <c r="F18" s="57"/>
      <c r="G18" s="57"/>
      <c r="H18" s="57"/>
      <c r="I18" s="57"/>
      <c r="J18" s="57"/>
      <c r="K18" s="57"/>
      <c r="L18" s="57"/>
      <c r="M18" s="57"/>
      <c r="N18" s="72"/>
      <c r="O18" s="63"/>
      <c r="P18" s="67"/>
      <c r="Q18" s="158"/>
      <c r="R18" s="158"/>
      <c r="S18" s="158"/>
      <c r="T18" s="158"/>
      <c r="U18" s="158"/>
      <c r="V18" s="159"/>
      <c r="X18" s="68"/>
      <c r="Y18" s="68"/>
      <c r="Z18" s="68"/>
      <c r="AB18" s="68"/>
      <c r="AC18" s="68"/>
      <c r="AD18" s="68"/>
      <c r="AE18" s="68"/>
      <c r="AF18" s="68"/>
      <c r="AG18" s="68"/>
    </row>
    <row r="19" spans="4:33" ht="11.25" customHeight="1">
      <c r="D19" s="4"/>
      <c r="F19" s="57"/>
      <c r="G19" s="57"/>
      <c r="H19" s="57"/>
      <c r="I19" s="57"/>
      <c r="J19" s="57"/>
      <c r="K19" s="57"/>
      <c r="L19" s="57"/>
      <c r="M19" s="57"/>
      <c r="N19" s="72"/>
      <c r="O19" s="63"/>
      <c r="P19" s="67"/>
      <c r="Q19" s="158"/>
      <c r="R19" s="158"/>
      <c r="S19" s="158"/>
      <c r="T19" s="158"/>
      <c r="U19" s="158"/>
      <c r="V19" s="159"/>
      <c r="X19" s="68"/>
      <c r="Y19" s="68"/>
      <c r="Z19" s="68"/>
      <c r="AB19" s="68"/>
      <c r="AC19" s="68"/>
      <c r="AD19" s="68"/>
      <c r="AE19" s="68"/>
      <c r="AF19" s="68"/>
      <c r="AG19" s="68"/>
    </row>
    <row r="20" spans="4:33">
      <c r="D20" s="4"/>
      <c r="F20" s="57"/>
      <c r="G20" s="57"/>
      <c r="H20" s="57"/>
      <c r="I20" s="57"/>
      <c r="J20" s="57"/>
      <c r="K20" s="57"/>
      <c r="L20" s="57"/>
      <c r="M20" s="57"/>
      <c r="N20" s="72"/>
      <c r="O20" s="63"/>
      <c r="P20" s="67"/>
      <c r="Q20" s="158"/>
      <c r="R20" s="158"/>
      <c r="S20" s="158"/>
      <c r="T20" s="158"/>
      <c r="U20" s="158"/>
      <c r="V20" s="159"/>
      <c r="X20" s="68"/>
      <c r="Y20" s="68"/>
      <c r="Z20" s="68"/>
      <c r="AB20" s="68"/>
      <c r="AC20" s="68"/>
      <c r="AD20" s="68"/>
      <c r="AE20" s="68"/>
      <c r="AF20" s="68"/>
      <c r="AG20" s="68"/>
    </row>
    <row r="21" spans="4:33">
      <c r="D21" s="4"/>
      <c r="F21" s="57"/>
      <c r="G21" s="57"/>
      <c r="H21" s="57"/>
      <c r="I21" s="57"/>
      <c r="J21" s="57"/>
      <c r="K21" s="57"/>
      <c r="L21" s="57"/>
      <c r="M21" s="57"/>
      <c r="N21" s="72"/>
      <c r="O21" s="63"/>
      <c r="P21" s="67"/>
      <c r="Q21" s="158"/>
      <c r="R21" s="158"/>
      <c r="S21" s="158"/>
      <c r="T21" s="158"/>
      <c r="U21" s="158"/>
      <c r="V21" s="159"/>
      <c r="X21" s="68"/>
      <c r="Y21" s="68"/>
      <c r="Z21" s="68"/>
      <c r="AB21" s="68"/>
      <c r="AC21" s="68"/>
      <c r="AD21" s="68"/>
      <c r="AE21" s="68"/>
      <c r="AF21" s="68"/>
      <c r="AG21" s="68"/>
    </row>
    <row r="22" spans="4:33">
      <c r="D22" s="41"/>
      <c r="F22" s="57"/>
      <c r="G22" s="57"/>
      <c r="H22" s="57"/>
      <c r="I22" s="57"/>
      <c r="J22" s="57"/>
      <c r="K22" s="57"/>
      <c r="L22" s="57"/>
      <c r="M22" s="57"/>
      <c r="N22" s="72"/>
      <c r="O22" s="63"/>
      <c r="P22" s="67"/>
      <c r="Q22" s="158"/>
      <c r="R22" s="158"/>
      <c r="S22" s="158"/>
      <c r="T22" s="158"/>
      <c r="U22" s="158"/>
      <c r="V22" s="159"/>
      <c r="X22" s="68"/>
      <c r="Y22" s="68"/>
      <c r="Z22" s="68"/>
      <c r="AB22" s="68"/>
      <c r="AC22" s="68"/>
      <c r="AD22" s="68"/>
      <c r="AE22" s="68"/>
      <c r="AF22" s="68"/>
      <c r="AG22" s="68"/>
    </row>
    <row r="23" spans="4:33">
      <c r="E23" s="57"/>
      <c r="F23" s="57"/>
      <c r="G23" s="57"/>
      <c r="H23" s="57"/>
      <c r="I23" s="57"/>
      <c r="J23" s="57"/>
      <c r="K23" s="57"/>
      <c r="L23" s="57"/>
      <c r="M23" s="57"/>
      <c r="N23" s="72"/>
      <c r="O23" s="64"/>
      <c r="P23" s="67"/>
      <c r="Q23" s="158"/>
      <c r="R23" s="158"/>
      <c r="S23" s="158"/>
      <c r="T23" s="158"/>
      <c r="U23" s="158"/>
      <c r="V23" s="159"/>
      <c r="X23" s="68"/>
      <c r="Y23" s="68"/>
      <c r="Z23" s="68"/>
      <c r="AB23" s="68"/>
      <c r="AC23" s="68"/>
      <c r="AD23" s="68"/>
      <c r="AE23" s="68"/>
      <c r="AF23" s="68"/>
      <c r="AG23" s="68"/>
    </row>
    <row r="24" spans="4:33">
      <c r="F24" s="57"/>
      <c r="G24" s="57"/>
      <c r="H24" s="57"/>
      <c r="I24" s="57"/>
      <c r="J24" s="57"/>
      <c r="K24" s="57"/>
      <c r="L24" s="57"/>
      <c r="M24" s="57"/>
      <c r="N24" s="73"/>
      <c r="O24" s="64"/>
      <c r="P24" s="67"/>
      <c r="Q24" s="158"/>
      <c r="R24" s="158"/>
      <c r="S24" s="158"/>
      <c r="T24" s="158"/>
      <c r="U24" s="158"/>
      <c r="V24" s="159"/>
      <c r="X24" s="68"/>
      <c r="Y24" s="68"/>
      <c r="Z24" s="68"/>
      <c r="AB24" s="68"/>
      <c r="AC24" s="68"/>
      <c r="AD24" s="68"/>
      <c r="AE24" s="68"/>
      <c r="AF24" s="68"/>
      <c r="AG24" s="68"/>
    </row>
    <row r="25" spans="4:33">
      <c r="F25" s="57"/>
      <c r="G25" s="57"/>
      <c r="H25" s="57"/>
      <c r="I25" s="57"/>
      <c r="J25" s="57"/>
      <c r="K25" s="57"/>
      <c r="L25" s="57"/>
      <c r="M25" s="57"/>
      <c r="N25" s="72"/>
      <c r="O25" s="63"/>
      <c r="P25" s="67"/>
      <c r="Q25" s="158"/>
      <c r="R25" s="158"/>
      <c r="S25" s="158"/>
      <c r="T25" s="158"/>
      <c r="U25" s="158"/>
      <c r="V25" s="159"/>
      <c r="X25" s="68"/>
      <c r="Y25" s="68"/>
      <c r="Z25" s="68"/>
      <c r="AB25" s="68"/>
      <c r="AC25" s="68"/>
      <c r="AD25" s="68"/>
      <c r="AE25" s="68"/>
      <c r="AF25" s="68"/>
      <c r="AG25" s="68"/>
    </row>
    <row r="26" spans="4:33">
      <c r="F26" s="57"/>
      <c r="G26" s="57"/>
      <c r="H26" s="57"/>
      <c r="I26" s="57"/>
      <c r="J26" s="57"/>
      <c r="K26" s="57"/>
      <c r="L26" s="57"/>
      <c r="M26" s="57"/>
      <c r="N26" s="72"/>
      <c r="O26" s="63"/>
      <c r="P26" s="67"/>
      <c r="Q26" s="158"/>
      <c r="R26" s="158"/>
      <c r="S26" s="158"/>
      <c r="T26" s="158"/>
      <c r="U26" s="158"/>
      <c r="V26" s="159"/>
      <c r="X26" s="68"/>
      <c r="Y26" s="68"/>
      <c r="Z26" s="68"/>
      <c r="AB26" s="68"/>
      <c r="AC26" s="68"/>
      <c r="AD26" s="68"/>
      <c r="AE26" s="68"/>
      <c r="AF26" s="68"/>
      <c r="AG26" s="68"/>
    </row>
    <row r="27" spans="4:33">
      <c r="F27" s="57"/>
      <c r="G27" s="57"/>
      <c r="H27" s="57"/>
      <c r="I27" s="57"/>
      <c r="J27" s="57"/>
      <c r="K27" s="57"/>
      <c r="L27" s="57"/>
      <c r="M27" s="57"/>
      <c r="N27" s="72"/>
      <c r="O27" s="63"/>
      <c r="P27" s="67"/>
      <c r="Q27" s="158"/>
      <c r="R27" s="158"/>
      <c r="S27" s="158"/>
      <c r="T27" s="158"/>
      <c r="U27" s="158"/>
      <c r="V27" s="159"/>
      <c r="X27" s="68"/>
      <c r="Y27" s="68"/>
      <c r="Z27" s="68"/>
      <c r="AB27" s="68"/>
      <c r="AC27" s="68"/>
      <c r="AD27" s="68"/>
      <c r="AE27" s="68"/>
      <c r="AF27" s="68"/>
      <c r="AG27" s="68"/>
    </row>
    <row r="28" spans="4:33">
      <c r="F28" s="57"/>
      <c r="G28" s="57"/>
      <c r="H28" s="57"/>
      <c r="I28" s="57"/>
      <c r="J28" s="57"/>
      <c r="K28" s="57"/>
      <c r="L28" s="57"/>
      <c r="M28" s="57"/>
      <c r="N28" s="72"/>
      <c r="O28" s="63"/>
      <c r="P28" s="67"/>
      <c r="Q28" s="158"/>
      <c r="R28" s="158"/>
      <c r="S28" s="158"/>
      <c r="T28" s="158"/>
      <c r="U28" s="158"/>
      <c r="V28" s="159"/>
      <c r="X28" s="68"/>
      <c r="Y28" s="68"/>
      <c r="Z28" s="68"/>
      <c r="AB28" s="68"/>
      <c r="AC28" s="68"/>
      <c r="AD28" s="68"/>
      <c r="AE28" s="68"/>
      <c r="AF28" s="68"/>
      <c r="AG28" s="68"/>
    </row>
    <row r="29" spans="4:33">
      <c r="F29" s="57"/>
      <c r="G29" s="57"/>
      <c r="H29" s="57"/>
      <c r="I29" s="57"/>
      <c r="J29" s="57"/>
      <c r="K29" s="57"/>
      <c r="L29" s="57"/>
      <c r="M29" s="57"/>
      <c r="N29" s="72"/>
      <c r="O29" s="63"/>
      <c r="P29" s="67"/>
      <c r="Q29" s="158"/>
      <c r="R29" s="158"/>
      <c r="S29" s="158"/>
      <c r="T29" s="158"/>
      <c r="U29" s="158"/>
      <c r="V29" s="159"/>
      <c r="X29" s="68"/>
      <c r="Y29" s="68"/>
      <c r="Z29" s="68"/>
      <c r="AB29" s="68"/>
      <c r="AC29" s="68"/>
      <c r="AD29" s="68"/>
      <c r="AE29" s="68"/>
      <c r="AF29" s="68"/>
      <c r="AG29" s="68"/>
    </row>
    <row r="30" spans="4:33">
      <c r="E30" s="70"/>
      <c r="F30" s="57"/>
      <c r="G30" s="57"/>
      <c r="H30" s="57"/>
      <c r="I30" s="57"/>
      <c r="J30" s="57"/>
      <c r="K30" s="57"/>
      <c r="L30" s="57"/>
      <c r="M30" s="57"/>
      <c r="N30" s="72"/>
      <c r="O30" s="63"/>
      <c r="P30" s="67"/>
      <c r="Q30" s="158"/>
      <c r="R30" s="158"/>
      <c r="S30" s="158"/>
      <c r="T30" s="158"/>
      <c r="U30" s="158"/>
      <c r="V30" s="159"/>
      <c r="X30" s="68"/>
      <c r="Y30" s="68"/>
      <c r="Z30" s="68"/>
      <c r="AA30" s="68"/>
      <c r="AB30" s="68"/>
      <c r="AC30" s="68"/>
      <c r="AD30" s="68"/>
      <c r="AE30" s="68"/>
      <c r="AF30" s="68"/>
      <c r="AG30" s="68"/>
    </row>
    <row r="31" spans="4:33">
      <c r="F31" s="57"/>
      <c r="G31" s="57"/>
      <c r="H31" s="57"/>
      <c r="I31" s="57"/>
      <c r="J31" s="57"/>
      <c r="K31" s="57"/>
      <c r="L31" s="57"/>
      <c r="M31" s="57"/>
      <c r="N31" s="72"/>
      <c r="O31" s="63"/>
      <c r="P31" s="67"/>
      <c r="Q31" s="158"/>
      <c r="R31" s="158"/>
      <c r="S31" s="158"/>
      <c r="T31" s="158"/>
      <c r="U31" s="158"/>
      <c r="V31" s="159"/>
      <c r="X31" s="68"/>
      <c r="Y31" s="68"/>
      <c r="Z31" s="68"/>
      <c r="AA31" s="68"/>
      <c r="AB31" s="68"/>
      <c r="AC31" s="68"/>
      <c r="AD31" s="68"/>
      <c r="AE31" s="68"/>
      <c r="AF31" s="68"/>
      <c r="AG31" s="68"/>
    </row>
    <row r="32" spans="4:33">
      <c r="F32" s="57"/>
      <c r="G32" s="57"/>
      <c r="H32" s="57"/>
      <c r="I32" s="57"/>
      <c r="J32" s="57"/>
      <c r="K32" s="57"/>
      <c r="L32" s="57"/>
      <c r="M32" s="57"/>
      <c r="N32" s="72"/>
      <c r="O32" s="63"/>
      <c r="P32" s="67"/>
      <c r="Q32" s="158"/>
      <c r="R32" s="158"/>
      <c r="S32" s="158"/>
      <c r="T32" s="158"/>
      <c r="U32" s="158"/>
      <c r="V32" s="159"/>
      <c r="X32" s="68"/>
      <c r="Y32" s="68"/>
      <c r="Z32" s="68"/>
      <c r="AA32" s="68"/>
      <c r="AB32" s="68"/>
      <c r="AC32" s="68"/>
      <c r="AD32" s="68"/>
      <c r="AE32" s="68"/>
      <c r="AF32" s="68"/>
      <c r="AG32" s="68"/>
    </row>
    <row r="33" spans="4:33">
      <c r="E33" s="55"/>
      <c r="F33" s="57"/>
      <c r="G33" s="57"/>
      <c r="H33" s="57"/>
      <c r="I33" s="57"/>
      <c r="J33" s="57"/>
      <c r="K33" s="57"/>
      <c r="L33" s="57"/>
      <c r="M33" s="57"/>
      <c r="N33" s="72"/>
      <c r="O33" s="63"/>
      <c r="P33" s="67"/>
      <c r="Q33" s="158"/>
      <c r="R33" s="158"/>
      <c r="S33" s="158"/>
      <c r="T33" s="158"/>
      <c r="U33" s="158"/>
      <c r="V33" s="159"/>
      <c r="X33" s="68"/>
      <c r="Y33" s="68"/>
      <c r="Z33" s="68"/>
      <c r="AA33" s="68"/>
      <c r="AB33" s="68"/>
      <c r="AC33" s="68"/>
      <c r="AD33" s="68"/>
      <c r="AE33" s="68"/>
      <c r="AF33" s="68"/>
      <c r="AG33" s="68"/>
    </row>
    <row r="34" spans="4:33">
      <c r="E34" s="55"/>
      <c r="F34" s="57"/>
      <c r="G34" s="57"/>
      <c r="H34" s="57"/>
      <c r="I34" s="57"/>
      <c r="J34" s="57"/>
      <c r="K34" s="57"/>
      <c r="L34" s="57"/>
      <c r="M34" s="57"/>
      <c r="N34" s="72"/>
      <c r="O34" s="63"/>
      <c r="P34" s="67"/>
      <c r="Q34" s="158"/>
      <c r="R34" s="158"/>
      <c r="S34" s="158"/>
      <c r="T34" s="158"/>
      <c r="U34" s="158"/>
      <c r="V34" s="159"/>
      <c r="X34" s="68"/>
      <c r="Y34" s="68"/>
      <c r="Z34" s="68"/>
      <c r="AA34" s="68"/>
      <c r="AB34" s="68"/>
      <c r="AC34" s="68"/>
      <c r="AD34" s="68"/>
      <c r="AE34" s="68"/>
      <c r="AF34" s="68"/>
      <c r="AG34" s="68"/>
    </row>
    <row r="35" spans="4:33">
      <c r="E35" s="55"/>
      <c r="F35" s="57"/>
      <c r="G35" s="57"/>
      <c r="H35" s="57"/>
      <c r="I35" s="57"/>
      <c r="J35" s="57"/>
      <c r="K35" s="57"/>
      <c r="L35" s="57"/>
      <c r="M35" s="57"/>
      <c r="N35" s="72"/>
      <c r="O35" s="63"/>
      <c r="P35" s="67"/>
      <c r="Q35" s="158"/>
      <c r="R35" s="158"/>
      <c r="S35" s="158"/>
      <c r="T35" s="158"/>
      <c r="U35" s="158"/>
      <c r="V35" s="159"/>
      <c r="X35" s="68"/>
      <c r="Y35" s="68"/>
      <c r="Z35" s="68"/>
      <c r="AA35" s="68"/>
      <c r="AB35" s="68"/>
      <c r="AC35" s="68"/>
      <c r="AD35" s="68"/>
      <c r="AE35" s="68"/>
      <c r="AF35" s="68"/>
      <c r="AG35" s="68"/>
    </row>
    <row r="36" spans="4:33">
      <c r="E36" s="55"/>
      <c r="F36" s="57"/>
      <c r="G36" s="57"/>
      <c r="H36" s="57"/>
      <c r="I36" s="57"/>
      <c r="J36" s="57"/>
      <c r="K36" s="57"/>
      <c r="L36" s="57"/>
      <c r="M36" s="57"/>
      <c r="N36" s="72"/>
      <c r="O36" s="63"/>
      <c r="P36" s="67"/>
      <c r="Q36" s="158"/>
      <c r="R36" s="158"/>
      <c r="S36" s="158"/>
      <c r="T36" s="158"/>
      <c r="U36" s="158"/>
      <c r="V36" s="159"/>
      <c r="X36" s="68"/>
      <c r="Y36" s="68"/>
      <c r="Z36" s="68"/>
      <c r="AA36" s="68"/>
      <c r="AB36" s="68"/>
      <c r="AC36" s="68"/>
      <c r="AD36" s="68"/>
      <c r="AE36" s="68"/>
      <c r="AF36" s="68"/>
      <c r="AG36" s="68"/>
    </row>
    <row r="37" spans="4:33">
      <c r="E37" s="55"/>
      <c r="F37" s="57"/>
      <c r="G37" s="57"/>
      <c r="H37" s="57"/>
      <c r="I37" s="57"/>
      <c r="J37" s="57"/>
      <c r="K37" s="57"/>
      <c r="L37" s="57"/>
      <c r="M37" s="57"/>
      <c r="N37" s="72"/>
      <c r="O37" s="63"/>
      <c r="P37" s="67"/>
      <c r="Q37" s="158"/>
      <c r="R37" s="158"/>
      <c r="S37" s="158"/>
      <c r="T37" s="158"/>
      <c r="U37" s="158"/>
      <c r="V37" s="159"/>
      <c r="X37" s="68"/>
      <c r="Y37" s="68"/>
      <c r="Z37" s="68"/>
      <c r="AA37" s="68"/>
      <c r="AB37" s="68"/>
      <c r="AC37" s="68"/>
      <c r="AD37" s="68"/>
      <c r="AE37" s="68"/>
      <c r="AF37" s="68"/>
      <c r="AG37" s="68"/>
    </row>
    <row r="38" spans="4:33">
      <c r="E38" s="55"/>
      <c r="F38" s="57"/>
      <c r="G38" s="57"/>
      <c r="H38" s="57"/>
      <c r="I38" s="57"/>
      <c r="J38" s="57"/>
      <c r="K38" s="57"/>
      <c r="L38" s="57"/>
      <c r="M38" s="57"/>
      <c r="N38" s="72"/>
      <c r="O38" s="63"/>
      <c r="P38" s="67"/>
      <c r="Q38" s="158"/>
      <c r="R38" s="158"/>
      <c r="S38" s="158"/>
      <c r="T38" s="158"/>
      <c r="U38" s="158"/>
      <c r="V38" s="159"/>
      <c r="X38" s="68"/>
      <c r="Y38" s="68"/>
      <c r="Z38" s="68"/>
      <c r="AA38" s="68"/>
      <c r="AB38" s="68"/>
      <c r="AC38" s="68"/>
      <c r="AD38" s="68"/>
      <c r="AE38" s="68"/>
      <c r="AF38" s="68"/>
      <c r="AG38" s="68"/>
    </row>
    <row r="39" spans="4:33">
      <c r="D39" s="41"/>
      <c r="E39" s="55"/>
      <c r="F39" s="57"/>
      <c r="G39" s="57"/>
      <c r="H39" s="57"/>
      <c r="I39" s="57"/>
      <c r="J39" s="57"/>
      <c r="K39" s="57"/>
      <c r="L39" s="57"/>
      <c r="M39" s="57"/>
      <c r="N39" s="72"/>
      <c r="O39" s="63"/>
      <c r="P39" s="67"/>
      <c r="Q39" s="158"/>
      <c r="R39" s="158"/>
      <c r="S39" s="158"/>
      <c r="T39" s="158"/>
      <c r="U39" s="158"/>
      <c r="V39" s="159"/>
      <c r="X39" s="68"/>
      <c r="Y39" s="68"/>
      <c r="Z39" s="68"/>
      <c r="AA39" s="68"/>
      <c r="AB39" s="68"/>
      <c r="AC39" s="68"/>
      <c r="AD39" s="68"/>
      <c r="AE39" s="68"/>
      <c r="AF39" s="68"/>
      <c r="AG39" s="68"/>
    </row>
    <row r="40" spans="4:33">
      <c r="E40" s="55"/>
      <c r="F40" s="57"/>
      <c r="G40" s="57"/>
      <c r="H40" s="57"/>
      <c r="I40" s="57"/>
      <c r="J40" s="57"/>
      <c r="K40" s="57"/>
      <c r="L40" s="57"/>
      <c r="M40" s="57"/>
      <c r="N40" s="72"/>
      <c r="O40" s="63"/>
      <c r="P40" s="67"/>
      <c r="Q40" s="158"/>
      <c r="R40" s="158"/>
      <c r="S40" s="158"/>
      <c r="T40" s="158"/>
      <c r="U40" s="158"/>
      <c r="V40" s="159"/>
      <c r="X40" s="68"/>
      <c r="Y40" s="68"/>
      <c r="Z40" s="68"/>
      <c r="AA40" s="68"/>
      <c r="AB40" s="68"/>
      <c r="AC40" s="68"/>
      <c r="AD40" s="68"/>
      <c r="AE40" s="68"/>
      <c r="AF40" s="68"/>
      <c r="AG40" s="68"/>
    </row>
    <row r="41" spans="4:33">
      <c r="E41" s="55"/>
      <c r="F41" s="57"/>
      <c r="G41" s="57"/>
      <c r="H41" s="57"/>
      <c r="I41" s="57"/>
      <c r="J41" s="57"/>
      <c r="K41" s="57"/>
      <c r="L41" s="57"/>
      <c r="M41" s="57"/>
      <c r="N41" s="72"/>
      <c r="O41" s="63"/>
      <c r="P41" s="67"/>
      <c r="Q41" s="158"/>
      <c r="R41" s="158"/>
      <c r="S41" s="158"/>
      <c r="T41" s="158"/>
      <c r="U41" s="158"/>
      <c r="V41" s="159"/>
      <c r="X41" s="68"/>
      <c r="Y41" s="68"/>
      <c r="Z41" s="68"/>
      <c r="AA41" s="68"/>
      <c r="AB41" s="68"/>
      <c r="AC41" s="68"/>
      <c r="AD41" s="68"/>
      <c r="AE41" s="68"/>
      <c r="AF41" s="68"/>
      <c r="AG41" s="68"/>
    </row>
    <row r="42" spans="4:33">
      <c r="E42" s="55"/>
      <c r="F42" s="57"/>
      <c r="G42" s="57"/>
      <c r="H42" s="57"/>
      <c r="I42" s="57"/>
      <c r="J42" s="57"/>
      <c r="K42" s="57"/>
      <c r="L42" s="57"/>
      <c r="M42" s="57"/>
      <c r="N42" s="72"/>
      <c r="O42" s="63"/>
      <c r="P42" s="67"/>
      <c r="Q42" s="158"/>
      <c r="R42" s="158"/>
      <c r="S42" s="158"/>
      <c r="T42" s="158"/>
      <c r="U42" s="158"/>
      <c r="V42" s="159"/>
      <c r="X42" s="68"/>
      <c r="Y42" s="68"/>
      <c r="Z42" s="68"/>
      <c r="AA42" s="68"/>
      <c r="AB42" s="68"/>
      <c r="AC42" s="68"/>
      <c r="AD42" s="68"/>
      <c r="AE42" s="68"/>
      <c r="AF42" s="68"/>
      <c r="AG42" s="68"/>
    </row>
    <row r="43" spans="4:33">
      <c r="E43" s="55"/>
      <c r="F43" s="57"/>
      <c r="G43" s="57"/>
      <c r="H43" s="57"/>
      <c r="I43" s="57"/>
      <c r="J43" s="57"/>
      <c r="K43" s="57"/>
      <c r="L43" s="57"/>
      <c r="M43" s="57"/>
      <c r="N43" s="72"/>
      <c r="O43" s="63"/>
      <c r="P43" s="67"/>
      <c r="Q43" s="158"/>
      <c r="R43" s="158"/>
      <c r="S43" s="158"/>
      <c r="T43" s="158"/>
      <c r="U43" s="158"/>
      <c r="V43" s="159"/>
      <c r="X43" s="68"/>
      <c r="Y43" s="68"/>
      <c r="Z43" s="68"/>
      <c r="AA43" s="68"/>
      <c r="AB43" s="68"/>
      <c r="AC43" s="68"/>
      <c r="AD43" s="68"/>
      <c r="AE43" s="68"/>
      <c r="AF43" s="68"/>
      <c r="AG43" s="68"/>
    </row>
    <row r="44" spans="4:33">
      <c r="E44" s="55"/>
      <c r="F44" s="57"/>
      <c r="G44" s="57"/>
      <c r="H44" s="57"/>
      <c r="I44" s="57"/>
      <c r="J44" s="57"/>
      <c r="K44" s="57"/>
      <c r="L44" s="57"/>
      <c r="M44" s="57"/>
      <c r="N44" s="72"/>
      <c r="O44" s="63"/>
      <c r="P44" s="67"/>
      <c r="Q44" s="158"/>
      <c r="R44" s="158"/>
      <c r="S44" s="158"/>
      <c r="T44" s="158"/>
      <c r="U44" s="158"/>
      <c r="V44" s="159"/>
      <c r="X44" s="68"/>
      <c r="Y44" s="68"/>
      <c r="Z44" s="68"/>
      <c r="AA44" s="68"/>
      <c r="AB44" s="68"/>
      <c r="AC44" s="68"/>
      <c r="AD44" s="68"/>
      <c r="AE44" s="68"/>
      <c r="AF44" s="68"/>
      <c r="AG44" s="68"/>
    </row>
    <row r="45" spans="4:33">
      <c r="E45" s="62"/>
      <c r="F45" s="57"/>
      <c r="G45" s="57"/>
      <c r="H45" s="57"/>
      <c r="I45" s="57"/>
      <c r="J45" s="57"/>
      <c r="K45" s="57"/>
      <c r="L45" s="57"/>
      <c r="M45" s="57"/>
      <c r="N45" s="72"/>
      <c r="O45" s="63"/>
      <c r="P45" s="67"/>
      <c r="Q45" s="158"/>
      <c r="R45" s="158"/>
      <c r="S45" s="158"/>
      <c r="T45" s="158"/>
      <c r="U45" s="158"/>
      <c r="V45" s="159"/>
      <c r="X45" s="68"/>
      <c r="Y45" s="68"/>
      <c r="Z45" s="68"/>
      <c r="AA45" s="68"/>
      <c r="AB45" s="68"/>
      <c r="AC45" s="68"/>
      <c r="AD45" s="68"/>
      <c r="AE45" s="68"/>
      <c r="AF45" s="68"/>
      <c r="AG45" s="68"/>
    </row>
    <row r="46" spans="4:33">
      <c r="E46" s="62"/>
      <c r="F46" s="57"/>
      <c r="G46" s="57"/>
      <c r="H46" s="57"/>
      <c r="I46" s="57"/>
      <c r="J46" s="57"/>
      <c r="K46" s="57"/>
      <c r="L46" s="57"/>
      <c r="M46" s="57"/>
      <c r="N46" s="72"/>
      <c r="O46" s="63"/>
      <c r="P46" s="67"/>
      <c r="Q46" s="158"/>
      <c r="R46" s="158"/>
      <c r="S46" s="158"/>
      <c r="T46" s="158"/>
      <c r="U46" s="158"/>
      <c r="V46" s="159"/>
      <c r="X46" s="68"/>
      <c r="Y46" s="68"/>
      <c r="Z46" s="68"/>
      <c r="AA46" s="68"/>
      <c r="AB46" s="68"/>
      <c r="AC46" s="68"/>
      <c r="AD46" s="68"/>
      <c r="AE46" s="68"/>
      <c r="AF46" s="68"/>
      <c r="AG46" s="68"/>
    </row>
    <row r="47" spans="4:33">
      <c r="E47" s="62"/>
      <c r="F47" s="57"/>
      <c r="G47" s="57"/>
      <c r="H47" s="57"/>
      <c r="I47" s="57"/>
      <c r="J47" s="57"/>
      <c r="K47" s="57"/>
      <c r="L47" s="57"/>
      <c r="M47" s="57"/>
      <c r="N47" s="72"/>
      <c r="O47" s="63"/>
      <c r="P47" s="67"/>
      <c r="Q47" s="158"/>
      <c r="R47" s="158"/>
      <c r="S47" s="158"/>
      <c r="T47" s="158"/>
      <c r="U47" s="158"/>
      <c r="V47" s="159"/>
      <c r="X47" s="68"/>
      <c r="Y47" s="68"/>
      <c r="Z47" s="68"/>
      <c r="AA47" s="68"/>
      <c r="AB47" s="68"/>
      <c r="AC47" s="68"/>
      <c r="AD47" s="68"/>
      <c r="AE47" s="68"/>
      <c r="AF47" s="68"/>
      <c r="AG47" s="68"/>
    </row>
    <row r="48" spans="4:33">
      <c r="E48" s="62"/>
      <c r="F48" s="57"/>
      <c r="G48" s="57"/>
      <c r="H48" s="57"/>
      <c r="I48" s="57"/>
      <c r="J48" s="57"/>
      <c r="K48" s="57"/>
      <c r="L48" s="57"/>
      <c r="M48" s="57"/>
      <c r="N48" s="72"/>
      <c r="O48" s="63"/>
      <c r="P48" s="67"/>
      <c r="Q48" s="158"/>
      <c r="R48" s="158"/>
      <c r="S48" s="158"/>
      <c r="T48" s="158"/>
      <c r="U48" s="158"/>
      <c r="V48" s="159"/>
      <c r="X48" s="68"/>
      <c r="Y48" s="68"/>
      <c r="Z48" s="68"/>
      <c r="AA48" s="68"/>
      <c r="AB48" s="68"/>
      <c r="AC48" s="68"/>
      <c r="AD48" s="68"/>
      <c r="AE48" s="68"/>
      <c r="AF48" s="68"/>
      <c r="AG48" s="68"/>
    </row>
    <row r="49" spans="5:33">
      <c r="E49" s="62"/>
      <c r="F49" s="57"/>
      <c r="G49" s="57"/>
      <c r="H49" s="57"/>
      <c r="I49" s="57"/>
      <c r="J49" s="57"/>
      <c r="K49" s="57"/>
      <c r="L49" s="57"/>
      <c r="M49" s="57"/>
      <c r="N49" s="72"/>
      <c r="O49" s="63"/>
      <c r="P49" s="67"/>
      <c r="Q49" s="158"/>
      <c r="R49" s="158"/>
      <c r="S49" s="158"/>
      <c r="T49" s="158"/>
      <c r="U49" s="158"/>
      <c r="V49" s="159"/>
      <c r="X49" s="68"/>
      <c r="Y49" s="68"/>
      <c r="Z49" s="68"/>
      <c r="AA49" s="68"/>
      <c r="AB49" s="68"/>
      <c r="AC49" s="68"/>
      <c r="AD49" s="68"/>
      <c r="AE49" s="68"/>
      <c r="AF49" s="68"/>
      <c r="AG49" s="68"/>
    </row>
    <row r="50" spans="5:33">
      <c r="E50" s="62"/>
      <c r="F50" s="57"/>
      <c r="G50" s="57"/>
      <c r="H50" s="57"/>
      <c r="I50" s="57"/>
      <c r="J50" s="57"/>
      <c r="K50" s="57"/>
      <c r="L50" s="57"/>
      <c r="M50" s="57"/>
      <c r="N50" s="72"/>
      <c r="O50" s="63"/>
      <c r="P50" s="67"/>
      <c r="Q50" s="158"/>
      <c r="R50" s="158"/>
      <c r="S50" s="158"/>
      <c r="T50" s="158"/>
      <c r="U50" s="158"/>
      <c r="V50" s="159"/>
      <c r="X50" s="68"/>
      <c r="Y50" s="68"/>
      <c r="Z50" s="68"/>
      <c r="AA50" s="68"/>
      <c r="AB50" s="68"/>
      <c r="AC50" s="68"/>
      <c r="AD50" s="68"/>
      <c r="AE50" s="68"/>
      <c r="AF50" s="68"/>
      <c r="AG50" s="68"/>
    </row>
    <row r="51" spans="5:33">
      <c r="E51" s="62"/>
      <c r="F51" s="57"/>
      <c r="G51" s="57"/>
      <c r="H51" s="57"/>
      <c r="I51" s="57"/>
      <c r="J51" s="57"/>
      <c r="K51" s="57"/>
      <c r="L51" s="57"/>
      <c r="M51" s="57"/>
      <c r="N51" s="72"/>
      <c r="O51" s="63"/>
      <c r="P51" s="67"/>
      <c r="Q51" s="158"/>
      <c r="R51" s="158"/>
      <c r="S51" s="158"/>
      <c r="T51" s="158"/>
      <c r="U51" s="158"/>
      <c r="V51" s="159"/>
      <c r="X51" s="68"/>
      <c r="Y51" s="68"/>
      <c r="Z51" s="68"/>
      <c r="AA51" s="68"/>
      <c r="AB51" s="68"/>
      <c r="AC51" s="68"/>
      <c r="AD51" s="68"/>
      <c r="AE51" s="68"/>
      <c r="AF51" s="68"/>
      <c r="AG51" s="68"/>
    </row>
    <row r="52" spans="5:33">
      <c r="E52" s="55"/>
      <c r="F52" s="57"/>
      <c r="G52" s="57"/>
      <c r="H52" s="57"/>
      <c r="I52" s="57"/>
      <c r="J52" s="57"/>
      <c r="K52" s="57"/>
      <c r="L52" s="57"/>
      <c r="M52" s="57"/>
      <c r="N52" s="72"/>
      <c r="O52" s="63"/>
      <c r="P52" s="67"/>
      <c r="Q52" s="158"/>
      <c r="R52" s="158"/>
      <c r="S52" s="158"/>
      <c r="T52" s="158"/>
      <c r="U52" s="158"/>
      <c r="V52" s="159"/>
      <c r="X52" s="68"/>
      <c r="Y52" s="68"/>
      <c r="Z52" s="68"/>
      <c r="AA52" s="68"/>
      <c r="AB52" s="68"/>
      <c r="AC52" s="68"/>
      <c r="AD52" s="68"/>
      <c r="AE52" s="68"/>
      <c r="AF52" s="68"/>
      <c r="AG52" s="68"/>
    </row>
    <row r="53" spans="5:33">
      <c r="E53" s="55"/>
      <c r="F53" s="57"/>
      <c r="G53" s="57"/>
      <c r="H53" s="57"/>
      <c r="I53" s="57"/>
      <c r="J53" s="57"/>
      <c r="K53" s="57"/>
      <c r="L53" s="57"/>
      <c r="M53" s="57"/>
      <c r="N53" s="72"/>
      <c r="O53" s="63"/>
      <c r="P53" s="67"/>
      <c r="Q53" s="158"/>
      <c r="R53" s="158"/>
      <c r="S53" s="158"/>
      <c r="T53" s="158"/>
      <c r="U53" s="158"/>
      <c r="V53" s="159"/>
      <c r="X53" s="68"/>
      <c r="Y53" s="68"/>
      <c r="Z53" s="68"/>
      <c r="AA53" s="68"/>
      <c r="AB53" s="68"/>
      <c r="AC53" s="68"/>
      <c r="AD53" s="68"/>
      <c r="AE53" s="68"/>
      <c r="AF53" s="68"/>
      <c r="AG53" s="68"/>
    </row>
    <row r="54" spans="5:33">
      <c r="E54" s="55"/>
      <c r="F54" s="57"/>
      <c r="G54" s="57"/>
      <c r="H54" s="57"/>
      <c r="I54" s="57"/>
      <c r="J54" s="57"/>
      <c r="K54" s="57"/>
      <c r="L54" s="57"/>
      <c r="M54" s="57"/>
      <c r="N54" s="72"/>
      <c r="O54" s="64">
        <v>42217</v>
      </c>
      <c r="P54" s="67"/>
      <c r="Q54" s="158"/>
      <c r="R54" s="158"/>
      <c r="S54" s="158"/>
      <c r="T54" s="158"/>
      <c r="U54" s="158"/>
      <c r="V54" s="159"/>
      <c r="X54" s="68"/>
      <c r="Y54" s="68"/>
      <c r="Z54" s="68"/>
      <c r="AA54" s="68"/>
      <c r="AB54" s="68"/>
    </row>
    <row r="55" spans="5:33">
      <c r="E55" s="55"/>
      <c r="F55" s="57"/>
      <c r="G55" s="57"/>
      <c r="H55" s="57"/>
      <c r="I55" s="57"/>
      <c r="J55" s="57"/>
      <c r="K55" s="57"/>
      <c r="L55" s="57"/>
      <c r="M55" s="57"/>
      <c r="N55" s="72"/>
      <c r="O55" s="64"/>
      <c r="P55" s="67"/>
      <c r="Q55" s="158"/>
      <c r="R55" s="158"/>
      <c r="S55" s="158"/>
      <c r="T55" s="158"/>
      <c r="U55" s="158"/>
      <c r="V55" s="159"/>
      <c r="X55" s="68"/>
      <c r="Y55" s="68"/>
      <c r="Z55" s="68"/>
      <c r="AA55" s="68"/>
      <c r="AB55" s="68"/>
    </row>
    <row r="56" spans="5:33">
      <c r="E56" s="55"/>
      <c r="F56" s="57"/>
      <c r="G56" s="57"/>
      <c r="H56" s="57"/>
      <c r="I56" s="57"/>
      <c r="J56" s="57"/>
      <c r="K56" s="57"/>
      <c r="L56" s="57"/>
      <c r="M56" s="57"/>
      <c r="N56" s="72"/>
      <c r="O56" s="63"/>
      <c r="P56" s="67"/>
      <c r="Q56" s="158"/>
      <c r="R56" s="158"/>
      <c r="S56" s="158"/>
      <c r="T56" s="158"/>
      <c r="U56" s="158"/>
      <c r="V56" s="159"/>
      <c r="X56" s="68"/>
      <c r="Y56" s="68"/>
      <c r="Z56" s="68"/>
      <c r="AA56" s="68"/>
      <c r="AB56" s="68"/>
    </row>
    <row r="57" spans="5:33">
      <c r="E57" s="69"/>
      <c r="F57" s="57"/>
      <c r="G57" s="57"/>
      <c r="H57" s="57"/>
      <c r="I57" s="57"/>
      <c r="J57" s="57"/>
      <c r="K57" s="57"/>
      <c r="L57" s="57"/>
      <c r="M57" s="57"/>
      <c r="N57" s="72"/>
      <c r="O57" s="63"/>
      <c r="P57" s="67"/>
      <c r="Q57" s="158"/>
      <c r="R57" s="158"/>
      <c r="S57" s="158"/>
      <c r="T57" s="158"/>
      <c r="U57" s="158"/>
      <c r="V57" s="159"/>
      <c r="X57" s="68"/>
      <c r="Y57" s="68"/>
      <c r="Z57" s="68"/>
      <c r="AA57" s="68"/>
      <c r="AB57" s="68"/>
    </row>
    <row r="58" spans="5:33">
      <c r="E58" s="69"/>
      <c r="F58" s="57"/>
      <c r="G58" s="57"/>
      <c r="H58" s="57"/>
      <c r="I58" s="57"/>
      <c r="J58" s="57"/>
      <c r="K58" s="57"/>
      <c r="L58" s="57"/>
      <c r="M58" s="57"/>
      <c r="N58" s="72"/>
      <c r="O58" s="63"/>
      <c r="P58" s="67"/>
      <c r="Q58" s="158"/>
      <c r="R58" s="158"/>
      <c r="S58" s="158"/>
      <c r="T58" s="158"/>
      <c r="U58" s="158"/>
      <c r="V58" s="159"/>
      <c r="X58" s="68"/>
      <c r="Y58" s="68"/>
      <c r="Z58" s="68"/>
      <c r="AA58" s="68"/>
      <c r="AB58" s="68"/>
    </row>
    <row r="59" spans="5:33">
      <c r="E59" s="69"/>
      <c r="F59" s="57"/>
      <c r="G59" s="57"/>
      <c r="H59" s="57"/>
      <c r="I59" s="57"/>
      <c r="J59" s="57"/>
      <c r="K59" s="57"/>
      <c r="L59" s="57"/>
      <c r="M59" s="57"/>
      <c r="N59" s="72"/>
      <c r="O59" s="63"/>
      <c r="P59" s="67"/>
      <c r="Q59" s="158"/>
      <c r="R59" s="158"/>
      <c r="S59" s="158"/>
      <c r="T59" s="158"/>
      <c r="U59" s="158"/>
      <c r="V59" s="159"/>
      <c r="X59" s="68"/>
      <c r="Y59" s="68"/>
      <c r="Z59" s="68"/>
      <c r="AA59" s="68"/>
      <c r="AB59" s="68"/>
    </row>
    <row r="60" spans="5:33">
      <c r="E60" s="69"/>
      <c r="F60" s="57"/>
      <c r="G60" s="57"/>
      <c r="H60" s="57"/>
      <c r="I60" s="57"/>
      <c r="J60" s="57"/>
      <c r="K60" s="57"/>
      <c r="L60" s="57"/>
      <c r="M60" s="57"/>
      <c r="N60" s="72"/>
      <c r="O60" s="63"/>
      <c r="P60" s="67"/>
      <c r="Q60" s="158"/>
      <c r="R60" s="158"/>
      <c r="S60" s="158"/>
      <c r="T60" s="158"/>
      <c r="U60" s="158"/>
      <c r="V60" s="159"/>
      <c r="X60" s="68"/>
      <c r="Y60" s="68"/>
      <c r="Z60" s="68"/>
      <c r="AB60" s="68"/>
    </row>
    <row r="61" spans="5:33">
      <c r="E61" s="69"/>
      <c r="F61" s="57"/>
      <c r="G61" s="57"/>
      <c r="H61" s="57"/>
      <c r="I61" s="57"/>
      <c r="J61" s="57"/>
      <c r="K61" s="57"/>
      <c r="L61" s="57"/>
      <c r="M61" s="57"/>
      <c r="N61" s="72"/>
      <c r="O61" s="63"/>
      <c r="P61" s="67"/>
      <c r="Q61" s="158"/>
      <c r="R61" s="158"/>
      <c r="S61" s="158"/>
      <c r="T61" s="158"/>
      <c r="U61" s="158"/>
      <c r="V61" s="159"/>
      <c r="X61" s="68"/>
      <c r="Y61" s="68"/>
      <c r="Z61" s="68"/>
    </row>
    <row r="62" spans="5:33">
      <c r="E62" s="69"/>
      <c r="F62" s="57"/>
      <c r="G62" s="57"/>
      <c r="H62" s="57"/>
      <c r="I62" s="57"/>
      <c r="J62" s="57"/>
      <c r="K62" s="57"/>
      <c r="L62" s="57"/>
      <c r="M62" s="57"/>
      <c r="N62" s="72"/>
      <c r="O62" s="63"/>
      <c r="P62" s="67"/>
      <c r="Q62" s="158"/>
      <c r="R62" s="158"/>
      <c r="S62" s="158"/>
      <c r="T62" s="158"/>
      <c r="U62" s="158"/>
      <c r="V62" s="159"/>
      <c r="X62" s="68"/>
      <c r="Y62" s="68"/>
      <c r="Z62" s="68"/>
    </row>
    <row r="63" spans="5:33">
      <c r="E63" s="69"/>
      <c r="F63" s="57"/>
      <c r="G63" s="57"/>
      <c r="H63" s="57"/>
      <c r="I63" s="57"/>
      <c r="J63" s="57"/>
      <c r="K63" s="57"/>
      <c r="L63" s="57"/>
      <c r="M63" s="57"/>
      <c r="N63" s="72"/>
      <c r="O63" s="63"/>
      <c r="P63" s="67"/>
      <c r="Q63" s="158"/>
      <c r="R63" s="158"/>
      <c r="S63" s="158"/>
      <c r="T63" s="158"/>
      <c r="U63" s="158"/>
      <c r="V63" s="159"/>
      <c r="X63" s="68"/>
      <c r="Y63" s="68"/>
      <c r="Z63" s="68"/>
    </row>
    <row r="64" spans="5:33">
      <c r="E64" s="69"/>
      <c r="F64" s="57"/>
      <c r="G64" s="57"/>
      <c r="H64" s="57"/>
      <c r="I64" s="57"/>
      <c r="J64" s="57"/>
      <c r="K64" s="57"/>
      <c r="L64" s="57"/>
      <c r="M64" s="57"/>
      <c r="N64" s="72">
        <f>'Data 3'!I60-'Data 3'!I59</f>
        <v>0</v>
      </c>
      <c r="O64" s="65">
        <f>'Data 3'!I60-'Data 3'!I48</f>
        <v>-52.321900930253207</v>
      </c>
      <c r="P64" s="67"/>
      <c r="Q64" s="158"/>
      <c r="R64" s="158"/>
      <c r="S64" s="158"/>
      <c r="T64" s="158"/>
      <c r="U64" s="158"/>
      <c r="V64" s="159"/>
      <c r="X64" s="68"/>
      <c r="Y64" s="68"/>
      <c r="Z64" s="68"/>
    </row>
    <row r="65" spans="5:26">
      <c r="E65" s="69"/>
      <c r="F65" s="57"/>
      <c r="G65" s="57"/>
      <c r="H65" s="57"/>
      <c r="I65" s="57"/>
      <c r="J65" s="57"/>
      <c r="K65" s="57"/>
      <c r="L65" s="57"/>
      <c r="M65" s="57"/>
      <c r="N65" s="72"/>
      <c r="O65" s="63"/>
      <c r="P65" s="67"/>
      <c r="Q65" s="158"/>
      <c r="R65" s="158"/>
      <c r="S65" s="158"/>
      <c r="T65" s="158"/>
      <c r="U65" s="158"/>
      <c r="V65" s="159"/>
      <c r="X65" s="68"/>
      <c r="Y65" s="68"/>
      <c r="Z65" s="68"/>
    </row>
    <row r="66" spans="5:26">
      <c r="E66" s="69"/>
      <c r="F66" s="57"/>
      <c r="G66" s="57"/>
      <c r="H66" s="57"/>
      <c r="I66" s="57"/>
      <c r="J66" s="57"/>
      <c r="K66" s="57"/>
      <c r="L66" s="57"/>
      <c r="M66" s="57"/>
      <c r="N66" s="72"/>
      <c r="O66" s="63"/>
      <c r="P66" s="67"/>
      <c r="Q66" s="158"/>
      <c r="R66" s="158"/>
      <c r="S66" s="158"/>
      <c r="T66" s="158"/>
      <c r="U66" s="158"/>
      <c r="V66" s="159"/>
      <c r="X66" s="68"/>
      <c r="Y66" s="68"/>
      <c r="Z66" s="68"/>
    </row>
    <row r="67" spans="5:26">
      <c r="E67" s="69"/>
      <c r="F67" s="57"/>
      <c r="G67" s="57"/>
      <c r="H67" s="57"/>
      <c r="I67" s="57"/>
      <c r="J67" s="57"/>
      <c r="K67" s="57"/>
      <c r="L67" s="57"/>
      <c r="M67" s="57"/>
      <c r="N67" s="72"/>
      <c r="O67" s="63"/>
      <c r="P67" s="67"/>
      <c r="Q67" s="158"/>
      <c r="R67" s="158"/>
      <c r="S67" s="158"/>
      <c r="T67" s="158"/>
      <c r="U67" s="158"/>
      <c r="V67" s="159"/>
      <c r="X67" s="68"/>
      <c r="Y67" s="68"/>
      <c r="Z67" s="68"/>
    </row>
    <row r="68" spans="5:26">
      <c r="E68" s="69"/>
      <c r="F68" s="57"/>
      <c r="G68" s="57"/>
      <c r="H68" s="57"/>
      <c r="I68" s="57"/>
      <c r="J68" s="57"/>
      <c r="K68" s="57"/>
      <c r="L68" s="57"/>
      <c r="M68" s="57"/>
      <c r="N68" s="72"/>
      <c r="O68" s="63"/>
      <c r="P68" s="67"/>
      <c r="Q68" s="158"/>
      <c r="R68" s="158"/>
      <c r="S68" s="158"/>
      <c r="T68" s="158"/>
      <c r="U68" s="158"/>
      <c r="V68" s="159"/>
      <c r="X68" s="68"/>
      <c r="Y68" s="68"/>
      <c r="Z68" s="68"/>
    </row>
    <row r="69" spans="5:26">
      <c r="F69" s="57"/>
      <c r="G69" s="57"/>
      <c r="H69" s="57"/>
      <c r="I69" s="57"/>
      <c r="J69" s="57"/>
      <c r="K69" s="57"/>
      <c r="L69" s="57"/>
      <c r="M69" s="57"/>
      <c r="N69" s="74"/>
      <c r="O69" s="63"/>
      <c r="P69" s="67"/>
      <c r="Q69" s="158"/>
      <c r="R69" s="158"/>
      <c r="S69" s="158"/>
      <c r="T69" s="158"/>
      <c r="U69" s="158"/>
      <c r="V69" s="159"/>
      <c r="X69" s="68"/>
      <c r="Y69" s="68"/>
      <c r="Z69" s="68"/>
    </row>
    <row r="70" spans="5:26">
      <c r="O70" s="63"/>
      <c r="P70" s="67"/>
      <c r="Q70" s="158"/>
      <c r="R70" s="158"/>
      <c r="S70" s="158"/>
      <c r="T70" s="158"/>
      <c r="U70" s="158"/>
      <c r="V70" s="159"/>
      <c r="X70" s="68"/>
      <c r="Y70" s="68"/>
      <c r="Z70" s="68"/>
    </row>
    <row r="71" spans="5:26">
      <c r="O71" s="63"/>
      <c r="P71" s="67"/>
      <c r="Q71" s="158"/>
      <c r="R71" s="158"/>
      <c r="S71" s="158"/>
      <c r="T71" s="158"/>
      <c r="U71" s="158"/>
      <c r="V71" s="159"/>
      <c r="X71" s="68"/>
      <c r="Y71" s="68"/>
      <c r="Z71" s="68"/>
    </row>
    <row r="72" spans="5:26">
      <c r="O72" s="63"/>
      <c r="P72" s="67"/>
      <c r="Q72" s="158"/>
      <c r="R72" s="158"/>
      <c r="S72" s="158"/>
      <c r="T72" s="158"/>
      <c r="U72" s="158"/>
      <c r="V72" s="159"/>
      <c r="X72" s="68"/>
      <c r="Y72" s="68"/>
      <c r="Z72" s="68"/>
    </row>
    <row r="73" spans="5:26">
      <c r="O73" s="63"/>
      <c r="P73" s="67"/>
      <c r="Q73" s="158"/>
      <c r="R73" s="158"/>
      <c r="S73" s="158"/>
      <c r="T73" s="158"/>
      <c r="U73" s="158"/>
      <c r="V73" s="159"/>
      <c r="X73" s="68"/>
      <c r="Y73" s="68"/>
      <c r="Z73" s="68"/>
    </row>
    <row r="74" spans="5:26">
      <c r="O74" s="63"/>
      <c r="P74" s="67"/>
      <c r="Q74" s="158"/>
      <c r="R74" s="158"/>
      <c r="S74" s="158"/>
      <c r="T74" s="158"/>
      <c r="U74" s="158"/>
      <c r="V74" s="159"/>
      <c r="X74" s="68"/>
      <c r="Y74" s="68"/>
      <c r="Z74" s="68"/>
    </row>
    <row r="75" spans="5:26">
      <c r="O75" s="63"/>
      <c r="P75" s="67"/>
      <c r="Q75" s="158"/>
      <c r="R75" s="158"/>
      <c r="S75" s="158"/>
      <c r="T75" s="158"/>
      <c r="U75" s="158"/>
      <c r="V75" s="159"/>
      <c r="X75" s="68"/>
      <c r="Y75" s="68"/>
      <c r="Z75" s="68"/>
    </row>
    <row r="76" spans="5:26">
      <c r="O76" s="63"/>
      <c r="P76" s="67"/>
      <c r="Q76" s="158"/>
      <c r="R76" s="158"/>
      <c r="S76" s="158"/>
      <c r="T76" s="158"/>
      <c r="U76" s="158"/>
      <c r="V76" s="159"/>
      <c r="X76" s="68"/>
      <c r="Y76" s="68"/>
      <c r="Z76" s="68"/>
    </row>
    <row r="77" spans="5:26">
      <c r="O77" s="63"/>
      <c r="P77" s="67"/>
      <c r="Q77" s="158"/>
      <c r="R77" s="158"/>
      <c r="S77" s="158"/>
      <c r="T77" s="158"/>
      <c r="U77" s="158"/>
      <c r="V77" s="159"/>
      <c r="X77" s="68"/>
      <c r="Y77" s="68"/>
      <c r="Z77" s="68"/>
    </row>
    <row r="78" spans="5:26">
      <c r="O78" s="63"/>
      <c r="P78" s="67"/>
      <c r="Q78" s="158"/>
      <c r="R78" s="158"/>
      <c r="S78" s="158"/>
      <c r="T78" s="158"/>
      <c r="U78" s="158"/>
      <c r="V78" s="159"/>
      <c r="X78" s="68"/>
      <c r="Y78" s="68"/>
      <c r="Z78" s="68"/>
    </row>
    <row r="79" spans="5:26">
      <c r="O79" s="63"/>
      <c r="P79" s="67"/>
      <c r="Q79" s="158"/>
      <c r="R79" s="158"/>
      <c r="S79" s="158"/>
      <c r="T79" s="158"/>
      <c r="U79" s="158"/>
      <c r="V79" s="159"/>
      <c r="X79" s="68"/>
      <c r="Y79" s="68"/>
      <c r="Z79" s="68"/>
    </row>
    <row r="80" spans="5:26">
      <c r="O80" s="63"/>
      <c r="P80" s="67"/>
      <c r="Q80" s="158"/>
      <c r="R80" s="158"/>
      <c r="S80" s="158"/>
      <c r="T80" s="158"/>
      <c r="U80" s="158"/>
      <c r="V80" s="159"/>
      <c r="X80" s="68"/>
      <c r="Y80" s="68"/>
      <c r="Z80" s="68"/>
    </row>
    <row r="81" spans="15:26">
      <c r="O81" s="63"/>
      <c r="P81" s="67"/>
      <c r="Q81" s="158"/>
      <c r="R81" s="158"/>
      <c r="S81" s="158"/>
      <c r="T81" s="158"/>
      <c r="U81" s="158"/>
      <c r="V81" s="159"/>
      <c r="X81" s="68"/>
      <c r="Y81" s="68"/>
      <c r="Z81" s="68"/>
    </row>
    <row r="82" spans="15:26">
      <c r="O82" s="63"/>
      <c r="P82" s="67"/>
      <c r="Q82" s="158"/>
      <c r="R82" s="158"/>
      <c r="S82" s="158"/>
      <c r="T82" s="158"/>
      <c r="U82" s="158"/>
      <c r="V82" s="159"/>
      <c r="X82" s="68"/>
      <c r="Y82" s="68"/>
      <c r="Z82" s="68"/>
    </row>
    <row r="83" spans="15:26">
      <c r="O83" s="63"/>
      <c r="P83" s="67"/>
      <c r="Q83" s="158"/>
      <c r="R83" s="158"/>
      <c r="S83" s="158"/>
      <c r="T83" s="158"/>
      <c r="U83" s="158"/>
      <c r="V83" s="159"/>
      <c r="X83" s="68"/>
      <c r="Y83" s="68"/>
      <c r="Z83" s="68"/>
    </row>
    <row r="84" spans="15:26">
      <c r="O84" s="64"/>
      <c r="P84" s="67"/>
      <c r="Q84" s="158"/>
      <c r="R84" s="158"/>
      <c r="S84" s="158"/>
      <c r="T84" s="158"/>
      <c r="U84" s="158"/>
      <c r="V84" s="159"/>
      <c r="X84" s="68"/>
      <c r="Y84" s="68"/>
      <c r="Z84" s="68"/>
    </row>
    <row r="85" spans="15:26">
      <c r="O85" s="64">
        <v>42248</v>
      </c>
      <c r="P85" s="67"/>
      <c r="Q85" s="158"/>
      <c r="R85" s="158"/>
      <c r="S85" s="158"/>
      <c r="T85" s="158"/>
      <c r="U85" s="158"/>
      <c r="V85" s="159"/>
      <c r="X85" s="68"/>
      <c r="Y85" s="68"/>
      <c r="Z85" s="68"/>
    </row>
    <row r="86" spans="15:26">
      <c r="O86" s="63"/>
      <c r="P86" s="67"/>
      <c r="Q86" s="158"/>
      <c r="R86" s="158"/>
      <c r="S86" s="158"/>
      <c r="T86" s="158"/>
      <c r="U86" s="158"/>
      <c r="V86" s="159"/>
      <c r="X86" s="68"/>
      <c r="Y86" s="68"/>
      <c r="Z86" s="68"/>
    </row>
    <row r="87" spans="15:26">
      <c r="O87" s="63"/>
      <c r="P87" s="67"/>
      <c r="Q87" s="158"/>
      <c r="R87" s="158"/>
      <c r="S87" s="158"/>
      <c r="T87" s="158"/>
      <c r="U87" s="158"/>
      <c r="V87" s="159"/>
      <c r="X87" s="68"/>
      <c r="Y87" s="68"/>
      <c r="Z87" s="68"/>
    </row>
    <row r="88" spans="15:26">
      <c r="O88" s="63"/>
      <c r="P88" s="67"/>
      <c r="Q88" s="158"/>
      <c r="R88" s="158"/>
      <c r="S88" s="158"/>
      <c r="T88" s="158"/>
      <c r="U88" s="158"/>
      <c r="V88" s="159"/>
      <c r="X88" s="68"/>
      <c r="Y88" s="68"/>
      <c r="Z88" s="68"/>
    </row>
    <row r="89" spans="15:26">
      <c r="O89" s="63"/>
      <c r="P89" s="67"/>
      <c r="Q89" s="158"/>
      <c r="R89" s="158"/>
      <c r="S89" s="158"/>
      <c r="T89" s="158"/>
      <c r="U89" s="158"/>
      <c r="V89" s="159"/>
      <c r="X89" s="68"/>
      <c r="Y89" s="68"/>
      <c r="Z89" s="68"/>
    </row>
    <row r="90" spans="15:26">
      <c r="O90" s="63"/>
      <c r="P90" s="67"/>
      <c r="Q90" s="158"/>
      <c r="R90" s="158"/>
      <c r="S90" s="158"/>
      <c r="T90" s="158"/>
      <c r="U90" s="158"/>
      <c r="V90" s="159"/>
      <c r="X90" s="68"/>
      <c r="Y90" s="68"/>
      <c r="Z90" s="68"/>
    </row>
    <row r="91" spans="15:26">
      <c r="O91" s="63"/>
      <c r="P91" s="67"/>
      <c r="Q91" s="158"/>
      <c r="R91" s="158"/>
      <c r="S91" s="158"/>
      <c r="T91" s="158"/>
      <c r="U91" s="158"/>
      <c r="V91" s="159"/>
      <c r="X91" s="68"/>
      <c r="Y91" s="68"/>
      <c r="Z91" s="68"/>
    </row>
    <row r="92" spans="15:26">
      <c r="O92" s="63"/>
      <c r="P92" s="67"/>
      <c r="Q92" s="158"/>
      <c r="R92" s="158"/>
      <c r="S92" s="158"/>
      <c r="T92" s="158"/>
      <c r="U92" s="158"/>
      <c r="V92" s="159"/>
      <c r="X92" s="68"/>
      <c r="Y92" s="68"/>
      <c r="Z92" s="68"/>
    </row>
    <row r="93" spans="15:26">
      <c r="O93" s="63"/>
      <c r="P93" s="67"/>
      <c r="Q93" s="158"/>
      <c r="R93" s="158"/>
      <c r="S93" s="158"/>
      <c r="T93" s="158"/>
      <c r="U93" s="158"/>
      <c r="V93" s="159"/>
      <c r="X93" s="68"/>
      <c r="Y93" s="68"/>
      <c r="Z93" s="68"/>
    </row>
    <row r="94" spans="15:26">
      <c r="O94" s="63"/>
      <c r="P94" s="67"/>
      <c r="Q94" s="158"/>
      <c r="R94" s="158"/>
      <c r="S94" s="158"/>
      <c r="T94" s="158"/>
      <c r="U94" s="158"/>
      <c r="V94" s="159"/>
      <c r="X94" s="68"/>
      <c r="Y94" s="68"/>
      <c r="Z94" s="68"/>
    </row>
    <row r="95" spans="15:26">
      <c r="O95" s="63"/>
      <c r="P95" s="67"/>
      <c r="Q95" s="158"/>
      <c r="R95" s="158"/>
      <c r="S95" s="158"/>
      <c r="T95" s="158"/>
      <c r="U95" s="158"/>
      <c r="V95" s="159"/>
      <c r="X95" s="68"/>
      <c r="Y95" s="68"/>
      <c r="Z95" s="68"/>
    </row>
    <row r="96" spans="15:26">
      <c r="O96" s="63"/>
      <c r="P96" s="67"/>
      <c r="Q96" s="158"/>
      <c r="R96" s="158"/>
      <c r="S96" s="158"/>
      <c r="T96" s="158"/>
      <c r="U96" s="158"/>
      <c r="V96" s="159"/>
      <c r="X96" s="68"/>
      <c r="Y96" s="68"/>
      <c r="Z96" s="68"/>
    </row>
    <row r="97" spans="15:26">
      <c r="O97" s="63"/>
      <c r="P97" s="67"/>
      <c r="Q97" s="158"/>
      <c r="R97" s="158"/>
      <c r="S97" s="158"/>
      <c r="T97" s="158"/>
      <c r="U97" s="158"/>
      <c r="V97" s="159"/>
      <c r="X97" s="68"/>
      <c r="Y97" s="68"/>
      <c r="Z97" s="68"/>
    </row>
    <row r="98" spans="15:26">
      <c r="O98" s="63"/>
      <c r="P98" s="67"/>
      <c r="Q98" s="158"/>
      <c r="R98" s="158"/>
      <c r="S98" s="158"/>
      <c r="T98" s="158"/>
      <c r="U98" s="158"/>
      <c r="V98" s="159"/>
      <c r="X98" s="68"/>
      <c r="Y98" s="68"/>
      <c r="Z98" s="68"/>
    </row>
    <row r="99" spans="15:26">
      <c r="O99" s="63"/>
      <c r="P99" s="67"/>
      <c r="Q99" s="158"/>
      <c r="R99" s="158"/>
      <c r="S99" s="158"/>
      <c r="T99" s="158"/>
      <c r="U99" s="158"/>
      <c r="V99" s="159"/>
      <c r="X99" s="68"/>
      <c r="Y99" s="68"/>
      <c r="Z99" s="68"/>
    </row>
    <row r="100" spans="15:26">
      <c r="O100" s="63"/>
      <c r="P100" s="67"/>
      <c r="Q100" s="158"/>
      <c r="R100" s="158"/>
      <c r="S100" s="158"/>
      <c r="T100" s="158"/>
      <c r="U100" s="158"/>
      <c r="V100" s="159"/>
      <c r="X100" s="68"/>
      <c r="Y100" s="68"/>
      <c r="Z100" s="68"/>
    </row>
    <row r="101" spans="15:26">
      <c r="O101" s="63"/>
      <c r="P101" s="67"/>
      <c r="Q101" s="158"/>
      <c r="R101" s="158"/>
      <c r="S101" s="158"/>
      <c r="T101" s="158"/>
      <c r="U101" s="158"/>
      <c r="V101" s="159"/>
      <c r="X101" s="68"/>
      <c r="Y101" s="68"/>
      <c r="Z101" s="68"/>
    </row>
    <row r="102" spans="15:26">
      <c r="O102" s="63"/>
      <c r="P102" s="67"/>
      <c r="Q102" s="158"/>
      <c r="R102" s="158"/>
      <c r="S102" s="158"/>
      <c r="T102" s="158"/>
      <c r="U102" s="158"/>
      <c r="V102" s="159"/>
      <c r="X102" s="68"/>
      <c r="Y102" s="68"/>
      <c r="Z102" s="68"/>
    </row>
    <row r="103" spans="15:26">
      <c r="O103" s="63"/>
      <c r="P103" s="67"/>
      <c r="Q103" s="158"/>
      <c r="R103" s="158"/>
      <c r="S103" s="158"/>
      <c r="T103" s="158"/>
      <c r="U103" s="158"/>
      <c r="V103" s="159"/>
      <c r="X103" s="68"/>
      <c r="Y103" s="68"/>
      <c r="Z103" s="68"/>
    </row>
    <row r="104" spans="15:26">
      <c r="O104" s="63"/>
      <c r="P104" s="67"/>
      <c r="Q104" s="158"/>
      <c r="R104" s="158"/>
      <c r="S104" s="158"/>
      <c r="T104" s="158"/>
      <c r="U104" s="158"/>
      <c r="V104" s="159"/>
      <c r="X104" s="68"/>
      <c r="Y104" s="68"/>
      <c r="Z104" s="68"/>
    </row>
    <row r="105" spans="15:26">
      <c r="O105" s="63"/>
      <c r="P105" s="67"/>
      <c r="Q105" s="158"/>
      <c r="R105" s="158"/>
      <c r="S105" s="158"/>
      <c r="T105" s="158"/>
      <c r="U105" s="158"/>
      <c r="V105" s="159"/>
      <c r="X105" s="68"/>
      <c r="Y105" s="68"/>
      <c r="Z105" s="68"/>
    </row>
    <row r="106" spans="15:26">
      <c r="O106" s="63"/>
      <c r="P106" s="67"/>
      <c r="Q106" s="158"/>
      <c r="R106" s="158"/>
      <c r="S106" s="158"/>
      <c r="T106" s="158"/>
      <c r="U106" s="158"/>
      <c r="V106" s="159"/>
      <c r="X106" s="68"/>
      <c r="Y106" s="68"/>
      <c r="Z106" s="68"/>
    </row>
    <row r="107" spans="15:26">
      <c r="O107" s="63"/>
      <c r="P107" s="67"/>
      <c r="Q107" s="158"/>
      <c r="R107" s="158"/>
      <c r="S107" s="158"/>
      <c r="T107" s="158"/>
      <c r="U107" s="158"/>
      <c r="V107" s="159"/>
      <c r="X107" s="68"/>
      <c r="Y107" s="68"/>
      <c r="Z107" s="68"/>
    </row>
    <row r="108" spans="15:26">
      <c r="O108" s="63"/>
      <c r="P108" s="67"/>
      <c r="Q108" s="158"/>
      <c r="R108" s="158"/>
      <c r="S108" s="158"/>
      <c r="T108" s="158"/>
      <c r="U108" s="158"/>
      <c r="V108" s="159"/>
      <c r="X108" s="68"/>
      <c r="Y108" s="68"/>
      <c r="Z108" s="68"/>
    </row>
    <row r="109" spans="15:26">
      <c r="O109" s="63"/>
      <c r="P109" s="67"/>
      <c r="Q109" s="158"/>
      <c r="R109" s="158"/>
      <c r="S109" s="158"/>
      <c r="T109" s="158"/>
      <c r="U109" s="158"/>
      <c r="V109" s="159"/>
      <c r="X109" s="68"/>
      <c r="Y109" s="68"/>
      <c r="Z109" s="68"/>
    </row>
    <row r="110" spans="15:26">
      <c r="O110" s="63"/>
      <c r="P110" s="67"/>
      <c r="Q110" s="158"/>
      <c r="R110" s="158"/>
      <c r="S110" s="158"/>
      <c r="T110" s="158"/>
      <c r="U110" s="158"/>
      <c r="V110" s="159"/>
      <c r="X110" s="68"/>
      <c r="Y110" s="68"/>
      <c r="Z110" s="68"/>
    </row>
    <row r="111" spans="15:26">
      <c r="O111" s="63"/>
      <c r="P111" s="67"/>
      <c r="Q111" s="158"/>
      <c r="R111" s="158"/>
      <c r="S111" s="158"/>
      <c r="T111" s="158"/>
      <c r="U111" s="158"/>
      <c r="V111" s="159"/>
      <c r="X111" s="68"/>
      <c r="Y111" s="68"/>
      <c r="Z111" s="68"/>
    </row>
    <row r="112" spans="15:26">
      <c r="O112" s="63"/>
      <c r="P112" s="67"/>
      <c r="Q112" s="158"/>
      <c r="R112" s="158"/>
      <c r="S112" s="158"/>
      <c r="T112" s="158"/>
      <c r="U112" s="158"/>
      <c r="V112" s="159"/>
      <c r="X112" s="68"/>
      <c r="Y112" s="68"/>
      <c r="Z112" s="68"/>
    </row>
    <row r="113" spans="15:26">
      <c r="O113" s="63"/>
      <c r="P113" s="67"/>
      <c r="Q113" s="158"/>
      <c r="R113" s="158"/>
      <c r="S113" s="158"/>
      <c r="T113" s="158"/>
      <c r="U113" s="158"/>
      <c r="V113" s="159"/>
      <c r="X113" s="68"/>
      <c r="Y113" s="68"/>
      <c r="Z113" s="68"/>
    </row>
    <row r="114" spans="15:26">
      <c r="O114" s="63"/>
      <c r="P114" s="67"/>
      <c r="Q114" s="158"/>
      <c r="R114" s="158"/>
      <c r="S114" s="158"/>
      <c r="T114" s="158"/>
      <c r="U114" s="158"/>
      <c r="V114" s="159"/>
      <c r="X114" s="68"/>
      <c r="Y114" s="68"/>
      <c r="Z114" s="68"/>
    </row>
    <row r="115" spans="15:26">
      <c r="O115" s="64">
        <v>42278</v>
      </c>
      <c r="P115" s="67"/>
      <c r="Q115" s="158"/>
      <c r="R115" s="158"/>
      <c r="S115" s="158"/>
      <c r="T115" s="158"/>
      <c r="U115" s="158"/>
      <c r="V115" s="159"/>
      <c r="X115" s="68"/>
      <c r="Y115" s="68"/>
      <c r="Z115" s="68"/>
    </row>
    <row r="116" spans="15:26">
      <c r="O116" s="64"/>
      <c r="P116" s="67"/>
      <c r="Q116" s="158"/>
      <c r="R116" s="158"/>
      <c r="S116" s="158"/>
      <c r="T116" s="158"/>
      <c r="U116" s="158"/>
      <c r="V116" s="159"/>
      <c r="X116" s="68"/>
      <c r="Y116" s="68"/>
      <c r="Z116" s="68"/>
    </row>
    <row r="117" spans="15:26">
      <c r="O117" s="63"/>
      <c r="P117" s="67"/>
      <c r="Q117" s="158"/>
      <c r="R117" s="158"/>
      <c r="S117" s="158"/>
      <c r="T117" s="158"/>
      <c r="U117" s="158"/>
      <c r="V117" s="159"/>
      <c r="X117" s="68"/>
      <c r="Y117" s="68"/>
      <c r="Z117" s="68"/>
    </row>
    <row r="118" spans="15:26">
      <c r="O118" s="63"/>
      <c r="P118" s="67"/>
      <c r="Q118" s="158"/>
      <c r="R118" s="158"/>
      <c r="S118" s="158"/>
      <c r="T118" s="158"/>
      <c r="U118" s="158"/>
      <c r="V118" s="159"/>
      <c r="X118" s="68"/>
      <c r="Y118" s="68"/>
      <c r="Z118" s="68"/>
    </row>
    <row r="119" spans="15:26">
      <c r="O119" s="63"/>
      <c r="P119" s="67"/>
      <c r="Q119" s="158"/>
      <c r="R119" s="158"/>
      <c r="S119" s="158"/>
      <c r="T119" s="158"/>
      <c r="U119" s="158"/>
      <c r="V119" s="159"/>
      <c r="X119" s="68"/>
      <c r="Y119" s="68"/>
      <c r="Z119" s="68"/>
    </row>
    <row r="120" spans="15:26">
      <c r="O120" s="63"/>
      <c r="P120" s="67"/>
      <c r="Q120" s="158"/>
      <c r="R120" s="158"/>
      <c r="S120" s="158"/>
      <c r="T120" s="158"/>
      <c r="U120" s="158"/>
      <c r="V120" s="159"/>
      <c r="X120" s="68"/>
      <c r="Y120" s="68"/>
      <c r="Z120" s="68"/>
    </row>
    <row r="121" spans="15:26">
      <c r="O121" s="63"/>
      <c r="P121" s="67"/>
      <c r="Q121" s="158"/>
      <c r="R121" s="158"/>
      <c r="S121" s="158"/>
      <c r="T121" s="158"/>
      <c r="U121" s="158"/>
      <c r="V121" s="159"/>
      <c r="X121" s="68"/>
      <c r="Y121" s="68"/>
      <c r="Z121" s="68"/>
    </row>
    <row r="122" spans="15:26">
      <c r="O122" s="63"/>
      <c r="P122" s="67"/>
      <c r="Q122" s="158"/>
      <c r="R122" s="158"/>
      <c r="S122" s="158"/>
      <c r="T122" s="158"/>
      <c r="U122" s="158"/>
      <c r="V122" s="159"/>
      <c r="X122" s="68"/>
      <c r="Y122" s="68"/>
      <c r="Z122" s="68"/>
    </row>
    <row r="123" spans="15:26">
      <c r="O123" s="63"/>
      <c r="P123" s="67"/>
      <c r="Q123" s="158"/>
      <c r="R123" s="158"/>
      <c r="S123" s="158"/>
      <c r="T123" s="158"/>
      <c r="U123" s="158"/>
      <c r="V123" s="159"/>
      <c r="X123" s="68"/>
      <c r="Y123" s="68"/>
      <c r="Z123" s="68"/>
    </row>
    <row r="124" spans="15:26">
      <c r="O124" s="63"/>
      <c r="P124" s="67"/>
      <c r="Q124" s="158"/>
      <c r="R124" s="158"/>
      <c r="S124" s="158"/>
      <c r="T124" s="158"/>
      <c r="U124" s="158"/>
      <c r="V124" s="159"/>
      <c r="X124" s="68"/>
      <c r="Y124" s="68"/>
      <c r="Z124" s="68"/>
    </row>
    <row r="125" spans="15:26">
      <c r="O125" s="63"/>
      <c r="P125" s="67"/>
      <c r="Q125" s="158"/>
      <c r="R125" s="158"/>
      <c r="S125" s="158"/>
      <c r="T125" s="158"/>
      <c r="U125" s="158"/>
      <c r="V125" s="159"/>
      <c r="X125" s="68"/>
      <c r="Y125" s="68"/>
      <c r="Z125" s="68"/>
    </row>
    <row r="126" spans="15:26">
      <c r="O126" s="63"/>
      <c r="P126" s="67"/>
      <c r="Q126" s="158"/>
      <c r="R126" s="158"/>
      <c r="S126" s="158"/>
      <c r="T126" s="158"/>
      <c r="U126" s="158"/>
      <c r="V126" s="159"/>
      <c r="X126" s="68"/>
      <c r="Y126" s="68"/>
      <c r="Z126" s="68"/>
    </row>
    <row r="127" spans="15:26">
      <c r="O127" s="63"/>
      <c r="P127" s="67"/>
      <c r="Q127" s="158"/>
      <c r="R127" s="158"/>
      <c r="S127" s="158"/>
      <c r="T127" s="158"/>
      <c r="U127" s="158"/>
      <c r="V127" s="159"/>
      <c r="X127" s="68"/>
      <c r="Y127" s="68"/>
      <c r="Z127" s="68"/>
    </row>
    <row r="128" spans="15:26">
      <c r="O128" s="63"/>
      <c r="P128" s="67"/>
      <c r="Q128" s="158"/>
      <c r="R128" s="158"/>
      <c r="S128" s="158"/>
      <c r="T128" s="158"/>
      <c r="U128" s="158"/>
      <c r="V128" s="159"/>
      <c r="X128" s="68"/>
      <c r="Y128" s="68"/>
      <c r="Z128" s="68"/>
    </row>
    <row r="129" spans="15:26">
      <c r="O129" s="63"/>
      <c r="P129" s="67"/>
      <c r="Q129" s="158"/>
      <c r="R129" s="158"/>
      <c r="S129" s="158"/>
      <c r="T129" s="158"/>
      <c r="U129" s="158"/>
      <c r="V129" s="159"/>
      <c r="X129" s="68"/>
      <c r="Y129" s="68"/>
      <c r="Z129" s="68"/>
    </row>
    <row r="130" spans="15:26">
      <c r="O130" s="63"/>
      <c r="P130" s="67"/>
      <c r="Q130" s="158"/>
      <c r="R130" s="158"/>
      <c r="S130" s="158"/>
      <c r="T130" s="158"/>
      <c r="U130" s="158"/>
      <c r="V130" s="159"/>
      <c r="X130" s="68"/>
      <c r="Y130" s="68"/>
      <c r="Z130" s="68"/>
    </row>
    <row r="131" spans="15:26">
      <c r="O131" s="63"/>
      <c r="P131" s="67"/>
      <c r="Q131" s="158"/>
      <c r="R131" s="158"/>
      <c r="S131" s="158"/>
      <c r="T131" s="158"/>
      <c r="U131" s="158"/>
      <c r="V131" s="159"/>
      <c r="X131" s="68"/>
      <c r="Y131" s="68"/>
      <c r="Z131" s="68"/>
    </row>
    <row r="132" spans="15:26">
      <c r="O132" s="63"/>
      <c r="P132" s="67"/>
      <c r="Q132" s="158"/>
      <c r="R132" s="158"/>
      <c r="S132" s="158"/>
      <c r="T132" s="158"/>
      <c r="U132" s="158"/>
      <c r="V132" s="159"/>
      <c r="X132" s="68"/>
      <c r="Y132" s="68"/>
      <c r="Z132" s="68"/>
    </row>
    <row r="133" spans="15:26">
      <c r="O133" s="63"/>
      <c r="P133" s="67"/>
      <c r="Q133" s="158"/>
      <c r="R133" s="158"/>
      <c r="S133" s="158"/>
      <c r="T133" s="158"/>
      <c r="U133" s="158"/>
      <c r="V133" s="159"/>
      <c r="X133" s="68"/>
      <c r="Y133" s="68"/>
      <c r="Z133" s="68"/>
    </row>
    <row r="134" spans="15:26">
      <c r="O134" s="63"/>
      <c r="P134" s="67"/>
      <c r="Q134" s="158"/>
      <c r="R134" s="158"/>
      <c r="S134" s="158"/>
      <c r="T134" s="158"/>
      <c r="U134" s="158"/>
      <c r="V134" s="159"/>
      <c r="X134" s="68"/>
      <c r="Y134" s="68"/>
      <c r="Z134" s="68"/>
    </row>
    <row r="135" spans="15:26">
      <c r="O135" s="63"/>
      <c r="P135" s="67"/>
      <c r="Q135" s="158"/>
      <c r="R135" s="158"/>
      <c r="S135" s="158"/>
      <c r="T135" s="158"/>
      <c r="U135" s="158"/>
      <c r="V135" s="159"/>
      <c r="X135" s="68"/>
      <c r="Y135" s="68"/>
      <c r="Z135" s="68"/>
    </row>
    <row r="136" spans="15:26">
      <c r="O136" s="63"/>
      <c r="P136" s="67"/>
      <c r="Q136" s="158"/>
      <c r="R136" s="158"/>
      <c r="S136" s="158"/>
      <c r="T136" s="158"/>
      <c r="U136" s="158"/>
      <c r="V136" s="159"/>
      <c r="X136" s="68"/>
      <c r="Y136" s="68"/>
      <c r="Z136" s="68"/>
    </row>
    <row r="137" spans="15:26">
      <c r="O137" s="63"/>
      <c r="P137" s="67"/>
      <c r="Q137" s="158"/>
      <c r="R137" s="158"/>
      <c r="S137" s="158"/>
      <c r="T137" s="158"/>
      <c r="U137" s="158"/>
      <c r="V137" s="159"/>
      <c r="X137" s="68"/>
      <c r="Y137" s="68"/>
      <c r="Z137" s="68"/>
    </row>
    <row r="138" spans="15:26">
      <c r="O138" s="63"/>
      <c r="P138" s="67"/>
      <c r="Q138" s="158"/>
      <c r="R138" s="158"/>
      <c r="S138" s="158"/>
      <c r="T138" s="158"/>
      <c r="U138" s="158"/>
      <c r="V138" s="159"/>
      <c r="X138" s="68"/>
      <c r="Y138" s="68"/>
      <c r="Z138" s="68"/>
    </row>
    <row r="139" spans="15:26">
      <c r="O139" s="63"/>
      <c r="P139" s="67"/>
      <c r="Q139" s="158"/>
      <c r="R139" s="158"/>
      <c r="S139" s="158"/>
      <c r="T139" s="158"/>
      <c r="U139" s="158"/>
      <c r="V139" s="159"/>
      <c r="X139" s="68"/>
      <c r="Y139" s="68"/>
      <c r="Z139" s="68"/>
    </row>
    <row r="140" spans="15:26">
      <c r="O140" s="63"/>
      <c r="P140" s="67"/>
      <c r="Q140" s="158"/>
      <c r="R140" s="158"/>
      <c r="S140" s="158"/>
      <c r="T140" s="158"/>
      <c r="U140" s="158"/>
      <c r="V140" s="159"/>
      <c r="X140" s="68"/>
      <c r="Y140" s="68"/>
      <c r="Z140" s="68"/>
    </row>
    <row r="141" spans="15:26">
      <c r="O141" s="63"/>
      <c r="P141" s="67"/>
      <c r="Q141" s="158"/>
      <c r="R141" s="158"/>
      <c r="S141" s="158"/>
      <c r="T141" s="158"/>
      <c r="U141" s="158"/>
      <c r="V141" s="159"/>
      <c r="X141" s="68"/>
      <c r="Y141" s="68"/>
      <c r="Z141" s="68"/>
    </row>
    <row r="142" spans="15:26">
      <c r="O142" s="63"/>
      <c r="P142" s="67"/>
      <c r="Q142" s="158"/>
      <c r="R142" s="158"/>
      <c r="S142" s="158"/>
      <c r="T142" s="158"/>
      <c r="U142" s="158"/>
      <c r="V142" s="159"/>
      <c r="X142" s="68"/>
      <c r="Y142" s="68"/>
      <c r="Z142" s="68"/>
    </row>
    <row r="143" spans="15:26">
      <c r="O143" s="63"/>
      <c r="P143" s="67"/>
      <c r="Q143" s="158"/>
      <c r="R143" s="158"/>
      <c r="S143" s="158"/>
      <c r="T143" s="158"/>
      <c r="U143" s="158"/>
      <c r="V143" s="159"/>
      <c r="X143" s="68"/>
      <c r="Y143" s="68"/>
      <c r="Z143" s="68"/>
    </row>
    <row r="144" spans="15:26">
      <c r="O144" s="63"/>
      <c r="P144" s="67"/>
      <c r="Q144" s="158"/>
      <c r="R144" s="158"/>
      <c r="S144" s="158"/>
      <c r="T144" s="158"/>
      <c r="U144" s="158"/>
      <c r="V144" s="159"/>
      <c r="X144" s="68"/>
      <c r="Y144" s="68"/>
      <c r="Z144" s="68"/>
    </row>
    <row r="145" spans="15:26">
      <c r="O145" s="63"/>
      <c r="P145" s="67"/>
      <c r="Q145" s="158"/>
      <c r="R145" s="158"/>
      <c r="S145" s="158"/>
      <c r="T145" s="158"/>
      <c r="U145" s="158"/>
      <c r="V145" s="159"/>
      <c r="X145" s="68"/>
      <c r="Y145" s="68"/>
      <c r="Z145" s="68"/>
    </row>
    <row r="146" spans="15:26">
      <c r="O146" s="64">
        <v>42309</v>
      </c>
      <c r="P146" s="67"/>
      <c r="Q146" s="158"/>
      <c r="R146" s="158"/>
      <c r="S146" s="158"/>
      <c r="T146" s="158"/>
      <c r="U146" s="158"/>
      <c r="V146" s="159"/>
      <c r="X146" s="68"/>
      <c r="Y146" s="68"/>
      <c r="Z146" s="68"/>
    </row>
    <row r="147" spans="15:26">
      <c r="O147" s="64"/>
      <c r="P147" s="67"/>
      <c r="Q147" s="158"/>
      <c r="R147" s="158"/>
      <c r="S147" s="158"/>
      <c r="T147" s="158"/>
      <c r="U147" s="158"/>
      <c r="V147" s="159"/>
      <c r="X147" s="68"/>
      <c r="Y147" s="68"/>
      <c r="Z147" s="68"/>
    </row>
    <row r="148" spans="15:26">
      <c r="O148" s="63"/>
      <c r="P148" s="67"/>
      <c r="Q148" s="158"/>
      <c r="R148" s="158"/>
      <c r="S148" s="158"/>
      <c r="T148" s="158"/>
      <c r="U148" s="158"/>
      <c r="V148" s="159"/>
      <c r="X148" s="68"/>
      <c r="Y148" s="68"/>
      <c r="Z148" s="68"/>
    </row>
    <row r="149" spans="15:26">
      <c r="O149" s="63"/>
      <c r="P149" s="67"/>
      <c r="Q149" s="158"/>
      <c r="R149" s="158"/>
      <c r="S149" s="158"/>
      <c r="T149" s="158"/>
      <c r="U149" s="158"/>
      <c r="V149" s="159"/>
      <c r="X149" s="68"/>
      <c r="Y149" s="68"/>
      <c r="Z149" s="68"/>
    </row>
    <row r="150" spans="15:26">
      <c r="O150" s="63"/>
      <c r="P150" s="67"/>
      <c r="Q150" s="158"/>
      <c r="R150" s="158"/>
      <c r="S150" s="158"/>
      <c r="T150" s="158"/>
      <c r="U150" s="158"/>
      <c r="V150" s="159"/>
      <c r="X150" s="68"/>
      <c r="Y150" s="68"/>
      <c r="Z150" s="68"/>
    </row>
    <row r="151" spans="15:26">
      <c r="O151" s="63"/>
      <c r="P151" s="67"/>
      <c r="Q151" s="158"/>
      <c r="R151" s="158"/>
      <c r="S151" s="158"/>
      <c r="T151" s="158"/>
      <c r="U151" s="158"/>
      <c r="V151" s="159"/>
      <c r="X151" s="68"/>
      <c r="Y151" s="68"/>
      <c r="Z151" s="68"/>
    </row>
    <row r="152" spans="15:26">
      <c r="O152" s="63"/>
      <c r="P152" s="67"/>
      <c r="Q152" s="158"/>
      <c r="R152" s="158"/>
      <c r="S152" s="158"/>
      <c r="T152" s="158"/>
      <c r="U152" s="158"/>
      <c r="V152" s="159"/>
      <c r="X152" s="68"/>
      <c r="Y152" s="68"/>
      <c r="Z152" s="68"/>
    </row>
    <row r="153" spans="15:26">
      <c r="O153" s="63"/>
      <c r="P153" s="67"/>
      <c r="Q153" s="158"/>
      <c r="R153" s="158"/>
      <c r="S153" s="158"/>
      <c r="T153" s="158"/>
      <c r="U153" s="158"/>
      <c r="V153" s="159"/>
      <c r="X153" s="68"/>
      <c r="Y153" s="68"/>
      <c r="Z153" s="68"/>
    </row>
    <row r="154" spans="15:26">
      <c r="O154" s="63"/>
      <c r="P154" s="67"/>
      <c r="Q154" s="158"/>
      <c r="R154" s="158"/>
      <c r="S154" s="158"/>
      <c r="T154" s="158"/>
      <c r="U154" s="158"/>
      <c r="V154" s="159"/>
      <c r="X154" s="68"/>
      <c r="Y154" s="68"/>
      <c r="Z154" s="68"/>
    </row>
    <row r="155" spans="15:26">
      <c r="O155" s="63"/>
      <c r="P155" s="67"/>
      <c r="Q155" s="158"/>
      <c r="R155" s="158"/>
      <c r="S155" s="158"/>
      <c r="T155" s="158"/>
      <c r="U155" s="158"/>
      <c r="V155" s="159"/>
      <c r="X155" s="68"/>
      <c r="Y155" s="68"/>
      <c r="Z155" s="68"/>
    </row>
    <row r="156" spans="15:26">
      <c r="O156" s="63"/>
      <c r="P156" s="67"/>
      <c r="Q156" s="158"/>
      <c r="R156" s="158"/>
      <c r="S156" s="158"/>
      <c r="T156" s="158"/>
      <c r="U156" s="158"/>
      <c r="V156" s="159"/>
      <c r="X156" s="68"/>
      <c r="Y156" s="68"/>
      <c r="Z156" s="68"/>
    </row>
    <row r="157" spans="15:26">
      <c r="O157" s="63"/>
      <c r="P157" s="67"/>
      <c r="Q157" s="158"/>
      <c r="R157" s="158"/>
      <c r="S157" s="158"/>
      <c r="T157" s="158"/>
      <c r="U157" s="158"/>
      <c r="V157" s="159"/>
      <c r="X157" s="68"/>
      <c r="Y157" s="68"/>
      <c r="Z157" s="68"/>
    </row>
    <row r="158" spans="15:26">
      <c r="O158" s="63"/>
      <c r="P158" s="67"/>
      <c r="Q158" s="158"/>
      <c r="R158" s="158"/>
      <c r="S158" s="158"/>
      <c r="T158" s="158"/>
      <c r="U158" s="158"/>
      <c r="V158" s="159"/>
      <c r="X158" s="68"/>
      <c r="Y158" s="68"/>
      <c r="Z158" s="68"/>
    </row>
    <row r="159" spans="15:26">
      <c r="O159" s="63"/>
      <c r="P159" s="67"/>
      <c r="Q159" s="158"/>
      <c r="R159" s="158"/>
      <c r="S159" s="158"/>
      <c r="T159" s="158"/>
      <c r="U159" s="158"/>
      <c r="V159" s="159"/>
      <c r="X159" s="68"/>
      <c r="Y159" s="68"/>
      <c r="Z159" s="68"/>
    </row>
    <row r="160" spans="15:26">
      <c r="O160" s="63"/>
      <c r="P160" s="67"/>
      <c r="Q160" s="158"/>
      <c r="R160" s="158"/>
      <c r="S160" s="158"/>
      <c r="T160" s="158"/>
      <c r="U160" s="158"/>
      <c r="V160" s="159"/>
      <c r="X160" s="68"/>
      <c r="Y160" s="68"/>
      <c r="Z160" s="68"/>
    </row>
    <row r="161" spans="15:26">
      <c r="O161" s="63"/>
      <c r="P161" s="67"/>
      <c r="Q161" s="158"/>
      <c r="R161" s="158"/>
      <c r="S161" s="158"/>
      <c r="T161" s="158"/>
      <c r="U161" s="158"/>
      <c r="V161" s="159"/>
      <c r="X161" s="68"/>
      <c r="Y161" s="68"/>
      <c r="Z161" s="68"/>
    </row>
    <row r="162" spans="15:26">
      <c r="O162" s="63"/>
      <c r="P162" s="67"/>
      <c r="Q162" s="158"/>
      <c r="R162" s="158"/>
      <c r="S162" s="158"/>
      <c r="T162" s="158"/>
      <c r="U162" s="158"/>
      <c r="V162" s="159"/>
      <c r="X162" s="68"/>
      <c r="Y162" s="68"/>
      <c r="Z162" s="68"/>
    </row>
    <row r="163" spans="15:26">
      <c r="O163" s="63"/>
      <c r="P163" s="67"/>
      <c r="Q163" s="158"/>
      <c r="R163" s="158"/>
      <c r="S163" s="158"/>
      <c r="T163" s="158"/>
      <c r="U163" s="158"/>
      <c r="V163" s="159"/>
      <c r="X163" s="68"/>
      <c r="Y163" s="68"/>
      <c r="Z163" s="68"/>
    </row>
    <row r="164" spans="15:26">
      <c r="O164" s="63"/>
      <c r="P164" s="67"/>
      <c r="Q164" s="158"/>
      <c r="R164" s="158"/>
      <c r="S164" s="158"/>
      <c r="T164" s="158"/>
      <c r="U164" s="158"/>
      <c r="V164" s="159"/>
      <c r="X164" s="68"/>
      <c r="Y164" s="68"/>
      <c r="Z164" s="68"/>
    </row>
    <row r="165" spans="15:26">
      <c r="O165" s="63"/>
      <c r="P165" s="67"/>
      <c r="Q165" s="158"/>
      <c r="R165" s="158"/>
      <c r="S165" s="158"/>
      <c r="T165" s="158"/>
      <c r="U165" s="158"/>
      <c r="V165" s="159"/>
      <c r="X165" s="68"/>
      <c r="Y165" s="68"/>
      <c r="Z165" s="68"/>
    </row>
    <row r="166" spans="15:26">
      <c r="O166" s="63"/>
      <c r="P166" s="67"/>
      <c r="Q166" s="158"/>
      <c r="R166" s="158"/>
      <c r="S166" s="158"/>
      <c r="T166" s="158"/>
      <c r="U166" s="158"/>
      <c r="V166" s="159"/>
      <c r="X166" s="68"/>
      <c r="Y166" s="68"/>
      <c r="Z166" s="68"/>
    </row>
    <row r="167" spans="15:26">
      <c r="O167" s="63"/>
      <c r="P167" s="67"/>
      <c r="Q167" s="158"/>
      <c r="R167" s="158"/>
      <c r="S167" s="158"/>
      <c r="T167" s="158"/>
      <c r="U167" s="158"/>
      <c r="V167" s="159"/>
      <c r="X167" s="68"/>
      <c r="Y167" s="68"/>
      <c r="Z167" s="68"/>
    </row>
    <row r="168" spans="15:26">
      <c r="O168" s="63"/>
      <c r="P168" s="67"/>
      <c r="Q168" s="158"/>
      <c r="R168" s="158"/>
      <c r="S168" s="158"/>
      <c r="T168" s="158"/>
      <c r="U168" s="158"/>
      <c r="V168" s="159"/>
      <c r="X168" s="68"/>
      <c r="Y168" s="68"/>
      <c r="Z168" s="68"/>
    </row>
    <row r="169" spans="15:26">
      <c r="O169" s="63"/>
      <c r="P169" s="67"/>
      <c r="Q169" s="158"/>
      <c r="R169" s="158"/>
      <c r="S169" s="158"/>
      <c r="T169" s="158"/>
      <c r="U169" s="158"/>
      <c r="V169" s="159"/>
      <c r="X169" s="68"/>
      <c r="Y169" s="68"/>
      <c r="Z169" s="68"/>
    </row>
    <row r="170" spans="15:26">
      <c r="O170" s="63"/>
      <c r="P170" s="67"/>
      <c r="Q170" s="158"/>
      <c r="R170" s="158"/>
      <c r="S170" s="158"/>
      <c r="T170" s="158"/>
      <c r="U170" s="158"/>
      <c r="V170" s="159"/>
      <c r="X170" s="68"/>
      <c r="Y170" s="68"/>
      <c r="Z170" s="68"/>
    </row>
    <row r="171" spans="15:26">
      <c r="O171" s="63"/>
      <c r="P171" s="67"/>
      <c r="Q171" s="158"/>
      <c r="R171" s="158"/>
      <c r="S171" s="158"/>
      <c r="T171" s="158"/>
      <c r="U171" s="158"/>
      <c r="V171" s="159"/>
      <c r="X171" s="68"/>
      <c r="Y171" s="68"/>
      <c r="Z171" s="68"/>
    </row>
    <row r="172" spans="15:26">
      <c r="O172" s="63"/>
      <c r="P172" s="67"/>
      <c r="Q172" s="158"/>
      <c r="R172" s="158"/>
      <c r="S172" s="158"/>
      <c r="T172" s="158"/>
      <c r="U172" s="158"/>
      <c r="V172" s="159"/>
      <c r="X172" s="68"/>
      <c r="Y172" s="68"/>
      <c r="Z172" s="68"/>
    </row>
    <row r="173" spans="15:26">
      <c r="O173" s="63"/>
      <c r="P173" s="67"/>
      <c r="Q173" s="158"/>
      <c r="R173" s="158"/>
      <c r="S173" s="158"/>
      <c r="T173" s="158"/>
      <c r="U173" s="158"/>
      <c r="V173" s="159"/>
      <c r="X173" s="68"/>
      <c r="Y173" s="68"/>
      <c r="Z173" s="68"/>
    </row>
    <row r="174" spans="15:26">
      <c r="O174" s="63"/>
      <c r="P174" s="67"/>
      <c r="Q174" s="158"/>
      <c r="R174" s="158"/>
      <c r="S174" s="158"/>
      <c r="T174" s="158"/>
      <c r="U174" s="158"/>
      <c r="V174" s="159"/>
      <c r="X174" s="68"/>
      <c r="Y174" s="68"/>
      <c r="Z174" s="68"/>
    </row>
    <row r="175" spans="15:26">
      <c r="O175" s="63"/>
      <c r="P175" s="67"/>
      <c r="Q175" s="158"/>
      <c r="R175" s="158"/>
      <c r="S175" s="158"/>
      <c r="T175" s="158"/>
      <c r="U175" s="158"/>
      <c r="V175" s="159"/>
      <c r="X175" s="68"/>
      <c r="Y175" s="68"/>
      <c r="Z175" s="68"/>
    </row>
    <row r="176" spans="15:26">
      <c r="O176" s="64">
        <v>42339</v>
      </c>
      <c r="P176" s="67"/>
      <c r="Q176" s="158"/>
      <c r="R176" s="158"/>
      <c r="S176" s="158"/>
      <c r="T176" s="158"/>
      <c r="U176" s="158"/>
      <c r="V176" s="159"/>
      <c r="X176" s="68"/>
      <c r="Y176" s="68"/>
      <c r="Z176" s="68"/>
    </row>
    <row r="177" spans="15:26">
      <c r="O177" s="64"/>
      <c r="P177" s="67"/>
      <c r="Q177" s="158"/>
      <c r="R177" s="158"/>
      <c r="S177" s="158"/>
      <c r="T177" s="158"/>
      <c r="U177" s="158"/>
      <c r="V177" s="159"/>
      <c r="X177" s="68"/>
      <c r="Y177" s="68"/>
      <c r="Z177" s="68"/>
    </row>
    <row r="178" spans="15:26">
      <c r="O178" s="63"/>
      <c r="P178" s="67"/>
      <c r="Q178" s="158"/>
      <c r="R178" s="158"/>
      <c r="S178" s="158"/>
      <c r="T178" s="158"/>
      <c r="U178" s="158"/>
      <c r="V178" s="159"/>
      <c r="X178" s="68"/>
      <c r="Y178" s="68"/>
      <c r="Z178" s="68"/>
    </row>
    <row r="179" spans="15:26">
      <c r="O179" s="63"/>
      <c r="P179" s="67"/>
      <c r="Q179" s="158"/>
      <c r="R179" s="158"/>
      <c r="S179" s="158"/>
      <c r="T179" s="158"/>
      <c r="U179" s="158"/>
      <c r="V179" s="159"/>
      <c r="X179" s="68"/>
      <c r="Y179" s="68"/>
      <c r="Z179" s="68"/>
    </row>
    <row r="180" spans="15:26">
      <c r="O180" s="63"/>
      <c r="P180" s="67"/>
      <c r="Q180" s="158"/>
      <c r="R180" s="158"/>
      <c r="S180" s="158"/>
      <c r="T180" s="158"/>
      <c r="U180" s="158"/>
      <c r="V180" s="159"/>
      <c r="X180" s="68"/>
      <c r="Y180" s="68"/>
      <c r="Z180" s="68"/>
    </row>
    <row r="181" spans="15:26">
      <c r="O181" s="63"/>
      <c r="P181" s="67"/>
      <c r="Q181" s="158"/>
      <c r="R181" s="158"/>
      <c r="S181" s="158"/>
      <c r="T181" s="158"/>
      <c r="U181" s="158"/>
      <c r="V181" s="159"/>
      <c r="X181" s="68"/>
      <c r="Y181" s="68"/>
      <c r="Z181" s="68"/>
    </row>
    <row r="182" spans="15:26">
      <c r="O182" s="63"/>
      <c r="P182" s="67"/>
      <c r="Q182" s="158"/>
      <c r="R182" s="158"/>
      <c r="S182" s="158"/>
      <c r="T182" s="158"/>
      <c r="U182" s="158"/>
      <c r="V182" s="159"/>
      <c r="X182" s="68"/>
      <c r="Y182" s="68"/>
      <c r="Z182" s="68"/>
    </row>
    <row r="183" spans="15:26">
      <c r="O183" s="63"/>
      <c r="P183" s="67"/>
      <c r="Q183" s="158"/>
      <c r="R183" s="158"/>
      <c r="S183" s="158"/>
      <c r="T183" s="158"/>
      <c r="U183" s="158"/>
      <c r="V183" s="159"/>
      <c r="X183" s="68"/>
      <c r="Y183" s="68"/>
      <c r="Z183" s="68"/>
    </row>
    <row r="184" spans="15:26">
      <c r="O184" s="63"/>
      <c r="P184" s="67"/>
      <c r="Q184" s="158"/>
      <c r="R184" s="158"/>
      <c r="S184" s="158"/>
      <c r="T184" s="158"/>
      <c r="U184" s="158"/>
      <c r="V184" s="159"/>
      <c r="X184" s="68"/>
      <c r="Y184" s="68"/>
      <c r="Z184" s="68"/>
    </row>
    <row r="185" spans="15:26">
      <c r="O185" s="63"/>
      <c r="P185" s="67"/>
      <c r="Q185" s="158"/>
      <c r="R185" s="158"/>
      <c r="S185" s="158"/>
      <c r="T185" s="158"/>
      <c r="U185" s="158"/>
      <c r="V185" s="159"/>
      <c r="X185" s="68"/>
      <c r="Y185" s="68"/>
      <c r="Z185" s="68"/>
    </row>
    <row r="186" spans="15:26">
      <c r="O186" s="63"/>
      <c r="P186" s="67"/>
      <c r="Q186" s="158"/>
      <c r="R186" s="158"/>
      <c r="S186" s="158"/>
      <c r="T186" s="158"/>
      <c r="U186" s="158"/>
      <c r="V186" s="159"/>
      <c r="X186" s="68"/>
      <c r="Y186" s="68"/>
      <c r="Z186" s="68"/>
    </row>
    <row r="187" spans="15:26">
      <c r="O187" s="63"/>
      <c r="P187" s="67"/>
      <c r="Q187" s="158"/>
      <c r="R187" s="158"/>
      <c r="S187" s="158"/>
      <c r="T187" s="158"/>
      <c r="U187" s="158"/>
      <c r="V187" s="159"/>
      <c r="X187" s="68"/>
      <c r="Y187" s="68"/>
      <c r="Z187" s="68"/>
    </row>
    <row r="188" spans="15:26">
      <c r="O188" s="63"/>
      <c r="P188" s="67"/>
      <c r="Q188" s="158"/>
      <c r="R188" s="158"/>
      <c r="S188" s="158"/>
      <c r="T188" s="158"/>
      <c r="U188" s="158"/>
      <c r="V188" s="159"/>
      <c r="X188" s="68"/>
      <c r="Y188" s="68"/>
      <c r="Z188" s="68"/>
    </row>
    <row r="189" spans="15:26">
      <c r="O189" s="63"/>
      <c r="P189" s="67"/>
      <c r="Q189" s="158"/>
      <c r="R189" s="158"/>
      <c r="S189" s="158"/>
      <c r="T189" s="158"/>
      <c r="U189" s="158"/>
      <c r="V189" s="159"/>
      <c r="X189" s="68"/>
      <c r="Y189" s="68"/>
      <c r="Z189" s="68"/>
    </row>
    <row r="190" spans="15:26">
      <c r="O190" s="63"/>
      <c r="P190" s="67"/>
      <c r="Q190" s="158"/>
      <c r="R190" s="158"/>
      <c r="S190" s="158"/>
      <c r="T190" s="158"/>
      <c r="U190" s="158"/>
      <c r="V190" s="159"/>
      <c r="X190" s="68"/>
      <c r="Y190" s="68"/>
      <c r="Z190" s="68"/>
    </row>
    <row r="191" spans="15:26">
      <c r="O191" s="63"/>
      <c r="P191" s="67"/>
      <c r="Q191" s="158"/>
      <c r="R191" s="158"/>
      <c r="S191" s="158"/>
      <c r="T191" s="158"/>
      <c r="U191" s="158"/>
      <c r="V191" s="159"/>
      <c r="X191" s="68"/>
      <c r="Y191" s="68"/>
      <c r="Z191" s="68"/>
    </row>
    <row r="192" spans="15:26">
      <c r="O192" s="63"/>
      <c r="P192" s="67"/>
      <c r="Q192" s="158"/>
      <c r="R192" s="158"/>
      <c r="S192" s="158"/>
      <c r="T192" s="158"/>
      <c r="U192" s="158"/>
      <c r="V192" s="159"/>
      <c r="X192" s="68"/>
      <c r="Y192" s="68"/>
      <c r="Z192" s="68"/>
    </row>
    <row r="193" spans="15:26">
      <c r="O193" s="63"/>
      <c r="P193" s="67"/>
      <c r="Q193" s="158"/>
      <c r="R193" s="158"/>
      <c r="S193" s="158"/>
      <c r="T193" s="158"/>
      <c r="U193" s="158"/>
      <c r="V193" s="159"/>
      <c r="X193" s="68"/>
      <c r="Y193" s="68"/>
      <c r="Z193" s="68"/>
    </row>
    <row r="194" spans="15:26">
      <c r="O194" s="63"/>
      <c r="P194" s="67"/>
      <c r="Q194" s="158"/>
      <c r="R194" s="158"/>
      <c r="S194" s="158"/>
      <c r="T194" s="158"/>
      <c r="U194" s="158"/>
      <c r="V194" s="159"/>
      <c r="X194" s="68"/>
      <c r="Y194" s="68"/>
      <c r="Z194" s="68"/>
    </row>
    <row r="195" spans="15:26">
      <c r="O195" s="63"/>
      <c r="P195" s="67"/>
      <c r="Q195" s="158"/>
      <c r="R195" s="158"/>
      <c r="S195" s="158"/>
      <c r="T195" s="158"/>
      <c r="U195" s="158"/>
      <c r="V195" s="159"/>
      <c r="X195" s="68"/>
      <c r="Y195" s="68"/>
      <c r="Z195" s="68"/>
    </row>
    <row r="196" spans="15:26">
      <c r="O196" s="63"/>
      <c r="P196" s="67"/>
      <c r="Q196" s="158"/>
      <c r="R196" s="158"/>
      <c r="S196" s="158"/>
      <c r="T196" s="158"/>
      <c r="U196" s="158"/>
      <c r="V196" s="159"/>
      <c r="X196" s="68"/>
      <c r="Y196" s="68"/>
      <c r="Z196" s="68"/>
    </row>
    <row r="197" spans="15:26">
      <c r="O197" s="63"/>
      <c r="P197" s="67"/>
      <c r="Q197" s="158"/>
      <c r="R197" s="158"/>
      <c r="S197" s="158"/>
      <c r="T197" s="158"/>
      <c r="U197" s="158"/>
      <c r="V197" s="159"/>
      <c r="X197" s="68"/>
      <c r="Y197" s="68"/>
      <c r="Z197" s="68"/>
    </row>
    <row r="198" spans="15:26">
      <c r="O198" s="63"/>
      <c r="P198" s="67"/>
      <c r="Q198" s="158"/>
      <c r="R198" s="158"/>
      <c r="S198" s="158"/>
      <c r="T198" s="158"/>
      <c r="U198" s="158"/>
      <c r="V198" s="159"/>
      <c r="X198" s="68"/>
      <c r="Y198" s="68"/>
      <c r="Z198" s="68"/>
    </row>
    <row r="199" spans="15:26">
      <c r="O199" s="63"/>
      <c r="P199" s="67"/>
      <c r="Q199" s="158"/>
      <c r="R199" s="158"/>
      <c r="S199" s="158"/>
      <c r="T199" s="158"/>
      <c r="U199" s="158"/>
      <c r="V199" s="159"/>
      <c r="X199" s="68"/>
      <c r="Y199" s="68"/>
      <c r="Z199" s="68"/>
    </row>
    <row r="200" spans="15:26">
      <c r="O200" s="63"/>
      <c r="P200" s="67"/>
      <c r="Q200" s="158"/>
      <c r="R200" s="158"/>
      <c r="S200" s="158"/>
      <c r="T200" s="158"/>
      <c r="U200" s="158"/>
      <c r="V200" s="159"/>
      <c r="X200" s="68"/>
      <c r="Y200" s="68"/>
      <c r="Z200" s="68"/>
    </row>
    <row r="201" spans="15:26">
      <c r="O201" s="63"/>
      <c r="P201" s="67"/>
      <c r="Q201" s="158"/>
      <c r="R201" s="158"/>
      <c r="S201" s="158"/>
      <c r="T201" s="158"/>
      <c r="U201" s="158"/>
      <c r="V201" s="159"/>
      <c r="X201" s="68"/>
      <c r="Y201" s="68"/>
      <c r="Z201" s="68"/>
    </row>
    <row r="202" spans="15:26">
      <c r="O202" s="63"/>
      <c r="P202" s="67"/>
      <c r="Q202" s="158"/>
      <c r="R202" s="158"/>
      <c r="S202" s="158"/>
      <c r="T202" s="158"/>
      <c r="U202" s="158"/>
      <c r="V202" s="159"/>
      <c r="X202" s="68"/>
      <c r="Y202" s="68"/>
      <c r="Z202" s="68"/>
    </row>
    <row r="203" spans="15:26">
      <c r="O203" s="63"/>
      <c r="P203" s="67"/>
      <c r="Q203" s="158"/>
      <c r="R203" s="158"/>
      <c r="S203" s="158"/>
      <c r="T203" s="158"/>
      <c r="U203" s="158"/>
      <c r="V203" s="159"/>
      <c r="X203" s="68"/>
      <c r="Y203" s="68"/>
      <c r="Z203" s="68"/>
    </row>
    <row r="204" spans="15:26">
      <c r="O204" s="63"/>
      <c r="P204" s="67"/>
      <c r="Q204" s="158"/>
      <c r="R204" s="158"/>
      <c r="S204" s="158"/>
      <c r="T204" s="158"/>
      <c r="U204" s="158"/>
      <c r="V204" s="159"/>
      <c r="X204" s="68"/>
      <c r="Y204" s="68"/>
      <c r="Z204" s="68"/>
    </row>
    <row r="205" spans="15:26">
      <c r="O205" s="63"/>
      <c r="P205" s="67"/>
      <c r="Q205" s="158"/>
      <c r="R205" s="158"/>
      <c r="S205" s="158"/>
      <c r="T205" s="158"/>
      <c r="U205" s="158"/>
      <c r="V205" s="159"/>
      <c r="X205" s="68"/>
      <c r="Y205" s="68"/>
      <c r="Z205" s="68"/>
    </row>
    <row r="206" spans="15:26">
      <c r="O206" s="63"/>
      <c r="P206" s="67"/>
      <c r="Q206" s="158"/>
      <c r="R206" s="158"/>
      <c r="S206" s="158"/>
      <c r="T206" s="158"/>
      <c r="U206" s="158"/>
      <c r="V206" s="159"/>
      <c r="X206" s="68"/>
      <c r="Y206" s="68"/>
      <c r="Z206" s="68"/>
    </row>
    <row r="207" spans="15:26">
      <c r="O207" s="64">
        <v>42370</v>
      </c>
      <c r="P207" s="67"/>
      <c r="Q207" s="158"/>
      <c r="R207" s="158"/>
      <c r="S207" s="158"/>
      <c r="T207" s="158"/>
      <c r="U207" s="158"/>
      <c r="V207" s="159"/>
      <c r="X207" s="68"/>
      <c r="Y207" s="68"/>
      <c r="Z207" s="68"/>
    </row>
    <row r="208" spans="15:26">
      <c r="O208" s="64"/>
      <c r="P208" s="67"/>
      <c r="Q208" s="158"/>
      <c r="R208" s="158"/>
      <c r="S208" s="158"/>
      <c r="T208" s="158"/>
      <c r="U208" s="158"/>
      <c r="V208" s="159"/>
      <c r="X208" s="68"/>
      <c r="Y208" s="68"/>
      <c r="Z208" s="68"/>
    </row>
    <row r="209" spans="15:26">
      <c r="O209" s="63"/>
      <c r="P209" s="67"/>
      <c r="Q209" s="158"/>
      <c r="R209" s="158"/>
      <c r="S209" s="158"/>
      <c r="T209" s="158"/>
      <c r="U209" s="158"/>
      <c r="V209" s="159"/>
      <c r="X209" s="68"/>
      <c r="Y209" s="68"/>
      <c r="Z209" s="68"/>
    </row>
    <row r="210" spans="15:26">
      <c r="O210" s="63"/>
      <c r="P210" s="67"/>
      <c r="Q210" s="158"/>
      <c r="R210" s="158"/>
      <c r="S210" s="158"/>
      <c r="T210" s="158"/>
      <c r="U210" s="158"/>
      <c r="V210" s="159"/>
      <c r="X210" s="68"/>
      <c r="Y210" s="68"/>
      <c r="Z210" s="68"/>
    </row>
    <row r="211" spans="15:26">
      <c r="O211" s="63"/>
      <c r="P211" s="67"/>
      <c r="Q211" s="158"/>
      <c r="R211" s="158"/>
      <c r="S211" s="158"/>
      <c r="T211" s="158"/>
      <c r="U211" s="158"/>
      <c r="V211" s="159"/>
      <c r="X211" s="68"/>
      <c r="Y211" s="68"/>
      <c r="Z211" s="68"/>
    </row>
    <row r="212" spans="15:26">
      <c r="O212" s="63"/>
      <c r="P212" s="67"/>
      <c r="Q212" s="158"/>
      <c r="R212" s="158"/>
      <c r="S212" s="158"/>
      <c r="T212" s="158"/>
      <c r="U212" s="158"/>
      <c r="V212" s="159"/>
      <c r="X212" s="68"/>
      <c r="Y212" s="68"/>
      <c r="Z212" s="68"/>
    </row>
    <row r="213" spans="15:26">
      <c r="O213" s="63"/>
      <c r="P213" s="67"/>
      <c r="Q213" s="158"/>
      <c r="R213" s="158"/>
      <c r="S213" s="158"/>
      <c r="T213" s="158"/>
      <c r="U213" s="158"/>
      <c r="V213" s="159"/>
      <c r="X213" s="68"/>
      <c r="Y213" s="68"/>
      <c r="Z213" s="68"/>
    </row>
    <row r="214" spans="15:26">
      <c r="O214" s="63"/>
      <c r="P214" s="67"/>
      <c r="Q214" s="158"/>
      <c r="R214" s="158"/>
      <c r="S214" s="158"/>
      <c r="T214" s="158"/>
      <c r="U214" s="158"/>
      <c r="V214" s="159"/>
      <c r="X214" s="68"/>
      <c r="Y214" s="68"/>
      <c r="Z214" s="68"/>
    </row>
    <row r="215" spans="15:26">
      <c r="O215" s="63"/>
      <c r="P215" s="67"/>
      <c r="Q215" s="158"/>
      <c r="R215" s="158"/>
      <c r="S215" s="158"/>
      <c r="T215" s="158"/>
      <c r="U215" s="158"/>
      <c r="V215" s="159"/>
      <c r="X215" s="68"/>
      <c r="Y215" s="68"/>
      <c r="Z215" s="68"/>
    </row>
    <row r="216" spans="15:26">
      <c r="O216" s="63"/>
      <c r="P216" s="67"/>
      <c r="Q216" s="158"/>
      <c r="R216" s="158"/>
      <c r="S216" s="158"/>
      <c r="T216" s="158"/>
      <c r="U216" s="158"/>
      <c r="V216" s="159"/>
      <c r="X216" s="68"/>
      <c r="Y216" s="68"/>
      <c r="Z216" s="68"/>
    </row>
    <row r="217" spans="15:26">
      <c r="O217" s="63"/>
      <c r="P217" s="67"/>
      <c r="Q217" s="158"/>
      <c r="R217" s="158"/>
      <c r="S217" s="158"/>
      <c r="T217" s="158"/>
      <c r="U217" s="158"/>
      <c r="V217" s="159"/>
      <c r="X217" s="68"/>
      <c r="Y217" s="68"/>
      <c r="Z217" s="68"/>
    </row>
    <row r="218" spans="15:26">
      <c r="O218" s="63"/>
      <c r="P218" s="67"/>
      <c r="Q218" s="158"/>
      <c r="R218" s="158"/>
      <c r="S218" s="158"/>
      <c r="T218" s="158"/>
      <c r="U218" s="158"/>
      <c r="V218" s="159"/>
      <c r="X218" s="68"/>
      <c r="Y218" s="68"/>
      <c r="Z218" s="68"/>
    </row>
    <row r="219" spans="15:26">
      <c r="O219" s="63"/>
      <c r="P219" s="67"/>
      <c r="Q219" s="158"/>
      <c r="R219" s="158"/>
      <c r="S219" s="158"/>
      <c r="T219" s="158"/>
      <c r="U219" s="158"/>
      <c r="V219" s="159"/>
      <c r="X219" s="68"/>
      <c r="Y219" s="68"/>
      <c r="Z219" s="68"/>
    </row>
    <row r="220" spans="15:26">
      <c r="O220" s="63"/>
      <c r="P220" s="67"/>
      <c r="Q220" s="158"/>
      <c r="R220" s="158"/>
      <c r="S220" s="158"/>
      <c r="T220" s="158"/>
      <c r="U220" s="158"/>
      <c r="V220" s="159"/>
      <c r="X220" s="68"/>
      <c r="Y220" s="68"/>
      <c r="Z220" s="68"/>
    </row>
    <row r="221" spans="15:26">
      <c r="O221" s="63"/>
      <c r="P221" s="67"/>
      <c r="Q221" s="158"/>
      <c r="R221" s="158"/>
      <c r="S221" s="158"/>
      <c r="T221" s="158"/>
      <c r="U221" s="158"/>
      <c r="V221" s="159"/>
      <c r="X221" s="68"/>
      <c r="Y221" s="68"/>
      <c r="Z221" s="68"/>
    </row>
    <row r="222" spans="15:26">
      <c r="O222" s="63"/>
      <c r="P222" s="67"/>
      <c r="Q222" s="158"/>
      <c r="R222" s="158"/>
      <c r="S222" s="158"/>
      <c r="T222" s="158"/>
      <c r="U222" s="158"/>
      <c r="V222" s="159"/>
      <c r="X222" s="68"/>
      <c r="Y222" s="68"/>
      <c r="Z222" s="68"/>
    </row>
    <row r="223" spans="15:26">
      <c r="O223" s="63"/>
      <c r="P223" s="67"/>
      <c r="Q223" s="158"/>
      <c r="R223" s="158"/>
      <c r="S223" s="158"/>
      <c r="T223" s="158"/>
      <c r="U223" s="158"/>
      <c r="V223" s="159"/>
      <c r="X223" s="68"/>
      <c r="Y223" s="68"/>
      <c r="Z223" s="68"/>
    </row>
    <row r="224" spans="15:26">
      <c r="O224" s="63"/>
      <c r="P224" s="67"/>
      <c r="Q224" s="158"/>
      <c r="R224" s="158"/>
      <c r="S224" s="158"/>
      <c r="T224" s="158"/>
      <c r="U224" s="158"/>
      <c r="V224" s="159"/>
      <c r="X224" s="68"/>
      <c r="Y224" s="68"/>
      <c r="Z224" s="68"/>
    </row>
    <row r="225" spans="15:26">
      <c r="O225" s="63"/>
      <c r="P225" s="67"/>
      <c r="Q225" s="158"/>
      <c r="R225" s="158"/>
      <c r="S225" s="158"/>
      <c r="T225" s="158"/>
      <c r="U225" s="158"/>
      <c r="V225" s="159"/>
      <c r="X225" s="68"/>
      <c r="Y225" s="68"/>
      <c r="Z225" s="68"/>
    </row>
    <row r="226" spans="15:26">
      <c r="O226" s="63"/>
      <c r="P226" s="67"/>
      <c r="Q226" s="158"/>
      <c r="R226" s="158"/>
      <c r="S226" s="158"/>
      <c r="T226" s="158"/>
      <c r="U226" s="158"/>
      <c r="V226" s="159"/>
      <c r="X226" s="68"/>
      <c r="Y226" s="68"/>
      <c r="Z226" s="68"/>
    </row>
    <row r="227" spans="15:26">
      <c r="O227" s="63"/>
      <c r="P227" s="67"/>
      <c r="Q227" s="158"/>
      <c r="R227" s="158"/>
      <c r="S227" s="158"/>
      <c r="T227" s="158"/>
      <c r="U227" s="158"/>
      <c r="V227" s="159"/>
      <c r="X227" s="68"/>
      <c r="Y227" s="68"/>
      <c r="Z227" s="68"/>
    </row>
    <row r="228" spans="15:26">
      <c r="O228" s="63"/>
      <c r="P228" s="67"/>
      <c r="Q228" s="158"/>
      <c r="R228" s="158"/>
      <c r="S228" s="158"/>
      <c r="T228" s="158"/>
      <c r="U228" s="158"/>
      <c r="V228" s="159"/>
      <c r="X228" s="68"/>
      <c r="Y228" s="68"/>
      <c r="Z228" s="68"/>
    </row>
    <row r="229" spans="15:26">
      <c r="O229" s="63"/>
      <c r="P229" s="67"/>
      <c r="Q229" s="158"/>
      <c r="R229" s="158"/>
      <c r="S229" s="158"/>
      <c r="T229" s="158"/>
      <c r="U229" s="158"/>
      <c r="V229" s="159"/>
      <c r="X229" s="68"/>
      <c r="Y229" s="68"/>
      <c r="Z229" s="68"/>
    </row>
    <row r="230" spans="15:26">
      <c r="O230" s="63"/>
      <c r="P230" s="67"/>
      <c r="Q230" s="158"/>
      <c r="R230" s="158"/>
      <c r="S230" s="158"/>
      <c r="T230" s="158"/>
      <c r="U230" s="158"/>
      <c r="V230" s="159"/>
      <c r="X230" s="68"/>
      <c r="Y230" s="68"/>
      <c r="Z230" s="68"/>
    </row>
    <row r="231" spans="15:26">
      <c r="O231" s="63"/>
      <c r="P231" s="67"/>
      <c r="Q231" s="158"/>
      <c r="R231" s="158"/>
      <c r="S231" s="158"/>
      <c r="T231" s="158"/>
      <c r="U231" s="158"/>
      <c r="V231" s="159"/>
      <c r="X231" s="68"/>
      <c r="Y231" s="68"/>
      <c r="Z231" s="68"/>
    </row>
    <row r="232" spans="15:26">
      <c r="O232" s="63"/>
      <c r="P232" s="67"/>
      <c r="Q232" s="158"/>
      <c r="R232" s="158"/>
      <c r="S232" s="158"/>
      <c r="T232" s="158"/>
      <c r="U232" s="158"/>
      <c r="V232" s="159"/>
      <c r="X232" s="68"/>
      <c r="Y232" s="68"/>
      <c r="Z232" s="68"/>
    </row>
    <row r="233" spans="15:26">
      <c r="O233" s="63"/>
      <c r="P233" s="67"/>
      <c r="Q233" s="158"/>
      <c r="R233" s="158"/>
      <c r="S233" s="158"/>
      <c r="T233" s="158"/>
      <c r="U233" s="158"/>
      <c r="V233" s="159"/>
      <c r="X233" s="68"/>
      <c r="Y233" s="68"/>
      <c r="Z233" s="68"/>
    </row>
    <row r="234" spans="15:26">
      <c r="O234" s="63"/>
      <c r="P234" s="67"/>
      <c r="Q234" s="158"/>
      <c r="R234" s="158"/>
      <c r="S234" s="158"/>
      <c r="T234" s="158"/>
      <c r="U234" s="158"/>
      <c r="V234" s="159"/>
      <c r="X234" s="68"/>
      <c r="Y234" s="68"/>
      <c r="Z234" s="68"/>
    </row>
    <row r="235" spans="15:26">
      <c r="O235" s="63"/>
      <c r="P235" s="67"/>
      <c r="Q235" s="158"/>
      <c r="R235" s="158"/>
      <c r="S235" s="158"/>
      <c r="T235" s="158"/>
      <c r="U235" s="158"/>
      <c r="V235" s="159"/>
      <c r="X235" s="68"/>
      <c r="Y235" s="68"/>
      <c r="Z235" s="68"/>
    </row>
    <row r="236" spans="15:26">
      <c r="O236" s="63"/>
      <c r="P236" s="67"/>
      <c r="Q236" s="158"/>
      <c r="R236" s="158"/>
      <c r="S236" s="158"/>
      <c r="T236" s="158"/>
      <c r="U236" s="158"/>
      <c r="V236" s="159"/>
      <c r="X236" s="68"/>
      <c r="Y236" s="68"/>
      <c r="Z236" s="68"/>
    </row>
    <row r="237" spans="15:26">
      <c r="O237" s="63"/>
      <c r="P237" s="67"/>
      <c r="Q237" s="158"/>
      <c r="R237" s="158"/>
      <c r="S237" s="158"/>
      <c r="T237" s="158"/>
      <c r="U237" s="158"/>
      <c r="V237" s="159"/>
      <c r="X237" s="68"/>
      <c r="Y237" s="68"/>
      <c r="Z237" s="68"/>
    </row>
    <row r="238" spans="15:26">
      <c r="O238" s="64">
        <v>42401</v>
      </c>
      <c r="P238" s="67"/>
      <c r="Q238" s="158"/>
      <c r="R238" s="158"/>
      <c r="S238" s="158"/>
      <c r="T238" s="158"/>
      <c r="U238" s="158"/>
      <c r="V238" s="159"/>
      <c r="X238" s="68"/>
      <c r="Y238" s="68"/>
      <c r="Z238" s="68"/>
    </row>
    <row r="239" spans="15:26">
      <c r="O239" s="64"/>
      <c r="P239" s="67"/>
      <c r="Q239" s="158"/>
      <c r="R239" s="158"/>
      <c r="S239" s="158"/>
      <c r="T239" s="158"/>
      <c r="U239" s="158"/>
      <c r="V239" s="159"/>
      <c r="X239" s="68"/>
      <c r="Y239" s="68"/>
      <c r="Z239" s="68"/>
    </row>
    <row r="240" spans="15:26">
      <c r="O240" s="63"/>
      <c r="P240" s="67"/>
      <c r="Q240" s="158"/>
      <c r="R240" s="158"/>
      <c r="S240" s="158"/>
      <c r="T240" s="158"/>
      <c r="U240" s="158"/>
      <c r="V240" s="159"/>
      <c r="X240" s="68"/>
      <c r="Y240" s="68"/>
      <c r="Z240" s="68"/>
    </row>
    <row r="241" spans="15:26">
      <c r="O241" s="63"/>
      <c r="P241" s="67"/>
      <c r="Q241" s="158"/>
      <c r="R241" s="158"/>
      <c r="S241" s="158"/>
      <c r="T241" s="158"/>
      <c r="U241" s="158"/>
      <c r="V241" s="159"/>
      <c r="X241" s="68"/>
      <c r="Y241" s="68"/>
      <c r="Z241" s="68"/>
    </row>
    <row r="242" spans="15:26">
      <c r="O242" s="63"/>
      <c r="P242" s="67"/>
      <c r="Q242" s="158"/>
      <c r="R242" s="158"/>
      <c r="S242" s="158"/>
      <c r="T242" s="158"/>
      <c r="U242" s="158"/>
      <c r="V242" s="159"/>
      <c r="X242" s="68"/>
      <c r="Y242" s="68"/>
      <c r="Z242" s="68"/>
    </row>
    <row r="243" spans="15:26">
      <c r="O243" s="63"/>
      <c r="P243" s="67"/>
      <c r="Q243" s="158"/>
      <c r="R243" s="158"/>
      <c r="S243" s="158"/>
      <c r="T243" s="158"/>
      <c r="U243" s="158"/>
      <c r="V243" s="159"/>
      <c r="X243" s="68"/>
      <c r="Y243" s="68"/>
      <c r="Z243" s="68"/>
    </row>
    <row r="244" spans="15:26">
      <c r="O244" s="63"/>
      <c r="P244" s="67"/>
      <c r="Q244" s="158"/>
      <c r="R244" s="158"/>
      <c r="S244" s="158"/>
      <c r="T244" s="158"/>
      <c r="U244" s="158"/>
      <c r="V244" s="159"/>
      <c r="X244" s="68"/>
      <c r="Y244" s="68"/>
      <c r="Z244" s="68"/>
    </row>
    <row r="245" spans="15:26">
      <c r="O245" s="63"/>
      <c r="P245" s="67"/>
      <c r="Q245" s="158"/>
      <c r="R245" s="158"/>
      <c r="S245" s="158"/>
      <c r="T245" s="158"/>
      <c r="U245" s="158"/>
      <c r="V245" s="159"/>
      <c r="X245" s="68"/>
      <c r="Y245" s="68"/>
      <c r="Z245" s="68"/>
    </row>
    <row r="246" spans="15:26">
      <c r="O246" s="63"/>
      <c r="P246" s="67"/>
      <c r="Q246" s="158"/>
      <c r="R246" s="158"/>
      <c r="S246" s="158"/>
      <c r="T246" s="158"/>
      <c r="U246" s="158"/>
      <c r="V246" s="159"/>
      <c r="X246" s="68"/>
      <c r="Y246" s="68"/>
      <c r="Z246" s="68"/>
    </row>
    <row r="247" spans="15:26">
      <c r="O247" s="63"/>
      <c r="P247" s="67"/>
      <c r="Q247" s="158"/>
      <c r="R247" s="158"/>
      <c r="S247" s="158"/>
      <c r="T247" s="158"/>
      <c r="U247" s="158"/>
      <c r="V247" s="159"/>
      <c r="X247" s="68"/>
      <c r="Y247" s="68"/>
      <c r="Z247" s="68"/>
    </row>
    <row r="248" spans="15:26">
      <c r="O248" s="63"/>
      <c r="P248" s="67"/>
      <c r="Q248" s="158"/>
      <c r="R248" s="158"/>
      <c r="S248" s="158"/>
      <c r="T248" s="158"/>
      <c r="U248" s="158"/>
      <c r="V248" s="159"/>
      <c r="X248" s="68"/>
      <c r="Y248" s="68"/>
      <c r="Z248" s="68"/>
    </row>
    <row r="249" spans="15:26">
      <c r="O249" s="63"/>
      <c r="P249" s="67"/>
      <c r="Q249" s="158"/>
      <c r="R249" s="158"/>
      <c r="S249" s="158"/>
      <c r="T249" s="158"/>
      <c r="U249" s="158"/>
      <c r="V249" s="159"/>
      <c r="X249" s="68"/>
      <c r="Y249" s="68"/>
      <c r="Z249" s="68"/>
    </row>
    <row r="250" spans="15:26">
      <c r="O250" s="63"/>
      <c r="P250" s="67"/>
      <c r="Q250" s="158"/>
      <c r="R250" s="158"/>
      <c r="S250" s="158"/>
      <c r="T250" s="158"/>
      <c r="U250" s="158"/>
      <c r="V250" s="159"/>
      <c r="X250" s="68"/>
      <c r="Y250" s="68"/>
      <c r="Z250" s="68"/>
    </row>
    <row r="251" spans="15:26">
      <c r="O251" s="63"/>
      <c r="P251" s="67"/>
      <c r="Q251" s="158"/>
      <c r="R251" s="158"/>
      <c r="S251" s="158"/>
      <c r="T251" s="158"/>
      <c r="U251" s="158"/>
      <c r="V251" s="159"/>
      <c r="X251" s="68"/>
      <c r="Y251" s="68"/>
      <c r="Z251" s="68"/>
    </row>
    <row r="252" spans="15:26">
      <c r="O252" s="63"/>
      <c r="P252" s="67"/>
      <c r="Q252" s="158"/>
      <c r="R252" s="158"/>
      <c r="S252" s="158"/>
      <c r="T252" s="158"/>
      <c r="U252" s="158"/>
      <c r="V252" s="159"/>
      <c r="X252" s="68"/>
      <c r="Y252" s="68"/>
      <c r="Z252" s="68"/>
    </row>
    <row r="253" spans="15:26">
      <c r="O253" s="63"/>
      <c r="P253" s="67"/>
      <c r="Q253" s="158"/>
      <c r="R253" s="158"/>
      <c r="S253" s="158"/>
      <c r="T253" s="158"/>
      <c r="U253" s="158"/>
      <c r="V253" s="159"/>
      <c r="X253" s="68"/>
      <c r="Y253" s="68"/>
      <c r="Z253" s="68"/>
    </row>
    <row r="254" spans="15:26">
      <c r="O254" s="63"/>
      <c r="P254" s="67"/>
      <c r="Q254" s="158"/>
      <c r="R254" s="158"/>
      <c r="S254" s="158"/>
      <c r="T254" s="158"/>
      <c r="U254" s="158"/>
      <c r="V254" s="159"/>
      <c r="X254" s="68"/>
      <c r="Y254" s="68"/>
      <c r="Z254" s="68"/>
    </row>
    <row r="255" spans="15:26">
      <c r="O255" s="63"/>
      <c r="P255" s="67"/>
      <c r="Q255" s="158"/>
      <c r="R255" s="158"/>
      <c r="S255" s="158"/>
      <c r="T255" s="158"/>
      <c r="U255" s="158"/>
      <c r="V255" s="159"/>
      <c r="X255" s="68"/>
      <c r="Y255" s="68"/>
      <c r="Z255" s="68"/>
    </row>
    <row r="256" spans="15:26">
      <c r="O256" s="63"/>
      <c r="P256" s="67"/>
      <c r="Q256" s="158"/>
      <c r="R256" s="158"/>
      <c r="S256" s="158"/>
      <c r="T256" s="158"/>
      <c r="U256" s="158"/>
      <c r="V256" s="159"/>
      <c r="X256" s="68"/>
      <c r="Y256" s="68"/>
      <c r="Z256" s="68"/>
    </row>
    <row r="257" spans="15:26">
      <c r="O257" s="63"/>
      <c r="P257" s="67"/>
      <c r="Q257" s="158"/>
      <c r="R257" s="158"/>
      <c r="S257" s="158"/>
      <c r="T257" s="158"/>
      <c r="U257" s="158"/>
      <c r="V257" s="159"/>
      <c r="X257" s="68"/>
      <c r="Y257" s="68"/>
      <c r="Z257" s="68"/>
    </row>
    <row r="258" spans="15:26">
      <c r="O258" s="63"/>
      <c r="P258" s="67"/>
      <c r="Q258" s="158"/>
      <c r="R258" s="158"/>
      <c r="S258" s="158"/>
      <c r="T258" s="158"/>
      <c r="U258" s="158"/>
      <c r="V258" s="159"/>
      <c r="X258" s="68"/>
      <c r="Y258" s="68"/>
      <c r="Z258" s="68"/>
    </row>
    <row r="259" spans="15:26">
      <c r="O259" s="63"/>
      <c r="P259" s="67"/>
      <c r="Q259" s="158"/>
      <c r="R259" s="158"/>
      <c r="S259" s="158"/>
      <c r="T259" s="158"/>
      <c r="U259" s="158"/>
      <c r="V259" s="159"/>
      <c r="X259" s="68"/>
      <c r="Y259" s="68"/>
      <c r="Z259" s="68"/>
    </row>
    <row r="260" spans="15:26">
      <c r="O260" s="63"/>
      <c r="P260" s="67"/>
      <c r="Q260" s="158"/>
      <c r="R260" s="158"/>
      <c r="S260" s="158"/>
      <c r="T260" s="158"/>
      <c r="U260" s="158"/>
      <c r="V260" s="159"/>
      <c r="X260" s="68"/>
      <c r="Y260" s="68"/>
      <c r="Z260" s="68"/>
    </row>
    <row r="261" spans="15:26">
      <c r="O261" s="63"/>
      <c r="P261" s="67"/>
      <c r="Q261" s="158"/>
      <c r="R261" s="158"/>
      <c r="S261" s="158"/>
      <c r="T261" s="158"/>
      <c r="U261" s="158"/>
      <c r="V261" s="159"/>
      <c r="X261" s="68"/>
      <c r="Y261" s="68"/>
      <c r="Z261" s="68"/>
    </row>
    <row r="262" spans="15:26">
      <c r="O262" s="63"/>
      <c r="P262" s="67"/>
      <c r="Q262" s="158"/>
      <c r="R262" s="158"/>
      <c r="S262" s="158"/>
      <c r="T262" s="158"/>
      <c r="U262" s="158"/>
      <c r="V262" s="159"/>
      <c r="X262" s="68"/>
      <c r="Y262" s="68"/>
      <c r="Z262" s="68"/>
    </row>
    <row r="263" spans="15:26">
      <c r="O263" s="63"/>
      <c r="P263" s="67"/>
      <c r="Q263" s="158"/>
      <c r="R263" s="158"/>
      <c r="S263" s="158"/>
      <c r="T263" s="158"/>
      <c r="U263" s="158"/>
      <c r="V263" s="159"/>
      <c r="X263" s="68"/>
      <c r="Y263" s="68"/>
      <c r="Z263" s="68"/>
    </row>
    <row r="264" spans="15:26">
      <c r="O264" s="63"/>
      <c r="P264" s="67"/>
      <c r="Q264" s="158"/>
      <c r="R264" s="158"/>
      <c r="S264" s="158"/>
      <c r="T264" s="158"/>
      <c r="U264" s="158"/>
      <c r="V264" s="159"/>
      <c r="X264" s="68"/>
      <c r="Y264" s="68"/>
      <c r="Z264" s="68"/>
    </row>
    <row r="265" spans="15:26">
      <c r="O265" s="63"/>
      <c r="P265" s="67"/>
      <c r="Q265" s="158"/>
      <c r="R265" s="158"/>
      <c r="S265" s="158"/>
      <c r="T265" s="158"/>
      <c r="U265" s="158"/>
      <c r="V265" s="159"/>
      <c r="X265" s="68"/>
      <c r="Y265" s="68"/>
      <c r="Z265" s="68"/>
    </row>
    <row r="266" spans="15:26">
      <c r="O266" s="63"/>
      <c r="P266" s="67"/>
      <c r="Q266" s="158"/>
      <c r="R266" s="158"/>
      <c r="S266" s="158"/>
      <c r="T266" s="158"/>
      <c r="U266" s="158"/>
      <c r="V266" s="159"/>
      <c r="X266" s="68"/>
      <c r="Y266" s="68"/>
      <c r="Z266" s="68"/>
    </row>
    <row r="267" spans="15:26">
      <c r="O267" s="64">
        <v>42430</v>
      </c>
      <c r="P267" s="67"/>
      <c r="Q267" s="158"/>
      <c r="R267" s="158"/>
      <c r="S267" s="158"/>
      <c r="T267" s="158"/>
      <c r="U267" s="158"/>
      <c r="V267" s="159"/>
      <c r="X267" s="68"/>
      <c r="Y267" s="68"/>
      <c r="Z267" s="68"/>
    </row>
    <row r="268" spans="15:26">
      <c r="O268" s="63"/>
      <c r="P268" s="67"/>
      <c r="Q268" s="158"/>
      <c r="R268" s="158"/>
      <c r="S268" s="158"/>
      <c r="T268" s="158"/>
      <c r="U268" s="158"/>
      <c r="V268" s="159"/>
      <c r="X268" s="68"/>
      <c r="Y268" s="68"/>
      <c r="Z268" s="68"/>
    </row>
    <row r="269" spans="15:26">
      <c r="O269" s="64"/>
      <c r="P269" s="67"/>
      <c r="Q269" s="158"/>
      <c r="R269" s="158"/>
      <c r="S269" s="158"/>
      <c r="T269" s="158"/>
      <c r="U269" s="158"/>
      <c r="V269" s="159"/>
      <c r="X269" s="68"/>
      <c r="Y269" s="68"/>
      <c r="Z269" s="68"/>
    </row>
    <row r="270" spans="15:26">
      <c r="O270" s="64"/>
      <c r="P270" s="67"/>
      <c r="Q270" s="158"/>
      <c r="R270" s="158"/>
      <c r="S270" s="158"/>
      <c r="T270" s="158"/>
      <c r="U270" s="158"/>
      <c r="V270" s="159"/>
      <c r="X270" s="68"/>
      <c r="Y270" s="68"/>
      <c r="Z270" s="68"/>
    </row>
    <row r="271" spans="15:26">
      <c r="O271" s="63"/>
      <c r="P271" s="67"/>
      <c r="Q271" s="158"/>
      <c r="R271" s="158"/>
      <c r="S271" s="158"/>
      <c r="T271" s="158"/>
      <c r="U271" s="158"/>
      <c r="V271" s="159"/>
      <c r="X271" s="68"/>
      <c r="Y271" s="68"/>
      <c r="Z271" s="68"/>
    </row>
    <row r="272" spans="15:26">
      <c r="O272" s="63"/>
      <c r="P272" s="67"/>
      <c r="Q272" s="158"/>
      <c r="R272" s="158"/>
      <c r="S272" s="158"/>
      <c r="T272" s="158"/>
      <c r="U272" s="158"/>
      <c r="V272" s="159"/>
      <c r="X272" s="68"/>
      <c r="Y272" s="68"/>
      <c r="Z272" s="68"/>
    </row>
    <row r="273" spans="15:26">
      <c r="O273" s="63"/>
      <c r="P273" s="67"/>
      <c r="Q273" s="158"/>
      <c r="R273" s="158"/>
      <c r="S273" s="158"/>
      <c r="T273" s="158"/>
      <c r="U273" s="158"/>
      <c r="V273" s="159"/>
      <c r="X273" s="68"/>
      <c r="Y273" s="68"/>
      <c r="Z273" s="68"/>
    </row>
    <row r="274" spans="15:26">
      <c r="O274" s="63"/>
      <c r="P274" s="67"/>
      <c r="Q274" s="158"/>
      <c r="R274" s="158"/>
      <c r="S274" s="158"/>
      <c r="T274" s="158"/>
      <c r="U274" s="158"/>
      <c r="V274" s="159"/>
      <c r="X274" s="68"/>
      <c r="Y274" s="68"/>
      <c r="Z274" s="68"/>
    </row>
    <row r="275" spans="15:26">
      <c r="O275" s="63"/>
      <c r="P275" s="67"/>
      <c r="Q275" s="158"/>
      <c r="R275" s="158"/>
      <c r="S275" s="158"/>
      <c r="T275" s="158"/>
      <c r="U275" s="158"/>
      <c r="V275" s="159"/>
      <c r="X275" s="68"/>
      <c r="Y275" s="68"/>
      <c r="Z275" s="68"/>
    </row>
    <row r="276" spans="15:26">
      <c r="O276" s="63"/>
      <c r="P276" s="67"/>
      <c r="Q276" s="158"/>
      <c r="R276" s="158"/>
      <c r="S276" s="158"/>
      <c r="T276" s="158"/>
      <c r="U276" s="158"/>
      <c r="V276" s="159"/>
      <c r="X276" s="68"/>
      <c r="Y276" s="68"/>
      <c r="Z276" s="68"/>
    </row>
    <row r="277" spans="15:26">
      <c r="O277" s="63"/>
      <c r="P277" s="67"/>
      <c r="Q277" s="158"/>
      <c r="R277" s="158"/>
      <c r="S277" s="158"/>
      <c r="T277" s="158"/>
      <c r="U277" s="158"/>
      <c r="V277" s="159"/>
      <c r="X277" s="68"/>
      <c r="Y277" s="68"/>
      <c r="Z277" s="68"/>
    </row>
    <row r="278" spans="15:26">
      <c r="O278" s="63"/>
      <c r="P278" s="67"/>
      <c r="Q278" s="158"/>
      <c r="R278" s="158"/>
      <c r="S278" s="158"/>
      <c r="T278" s="158"/>
      <c r="U278" s="158"/>
      <c r="V278" s="159"/>
      <c r="X278" s="68"/>
      <c r="Y278" s="68"/>
      <c r="Z278" s="68"/>
    </row>
    <row r="279" spans="15:26">
      <c r="O279" s="63"/>
      <c r="P279" s="67"/>
      <c r="Q279" s="158"/>
      <c r="R279" s="158"/>
      <c r="S279" s="158"/>
      <c r="T279" s="158"/>
      <c r="U279" s="158"/>
      <c r="V279" s="159"/>
      <c r="X279" s="68"/>
      <c r="Y279" s="68"/>
      <c r="Z279" s="68"/>
    </row>
    <row r="280" spans="15:26">
      <c r="O280" s="63"/>
      <c r="P280" s="67"/>
      <c r="Q280" s="158"/>
      <c r="R280" s="158"/>
      <c r="S280" s="158"/>
      <c r="T280" s="158"/>
      <c r="U280" s="158"/>
      <c r="V280" s="159"/>
      <c r="X280" s="68"/>
      <c r="Y280" s="68"/>
      <c r="Z280" s="68"/>
    </row>
    <row r="281" spans="15:26">
      <c r="O281" s="63"/>
      <c r="P281" s="67"/>
      <c r="Q281" s="158"/>
      <c r="R281" s="158"/>
      <c r="S281" s="158"/>
      <c r="T281" s="158"/>
      <c r="U281" s="158"/>
      <c r="V281" s="159"/>
      <c r="X281" s="68"/>
      <c r="Y281" s="68"/>
      <c r="Z281" s="68"/>
    </row>
    <row r="282" spans="15:26">
      <c r="O282" s="63"/>
      <c r="P282" s="67"/>
      <c r="Q282" s="158"/>
      <c r="R282" s="158"/>
      <c r="S282" s="158"/>
      <c r="T282" s="158"/>
      <c r="U282" s="158"/>
      <c r="V282" s="159"/>
      <c r="X282" s="68"/>
      <c r="Y282" s="68"/>
      <c r="Z282" s="68"/>
    </row>
    <row r="283" spans="15:26">
      <c r="O283" s="63"/>
      <c r="P283" s="67"/>
      <c r="Q283" s="158"/>
      <c r="R283" s="158"/>
      <c r="S283" s="158"/>
      <c r="T283" s="158"/>
      <c r="U283" s="158"/>
      <c r="V283" s="159"/>
      <c r="X283" s="68"/>
      <c r="Y283" s="68"/>
      <c r="Z283" s="68"/>
    </row>
    <row r="284" spans="15:26">
      <c r="O284" s="63"/>
      <c r="P284" s="67"/>
      <c r="Q284" s="158"/>
      <c r="R284" s="158"/>
      <c r="S284" s="158"/>
      <c r="T284" s="158"/>
      <c r="U284" s="158"/>
      <c r="V284" s="159"/>
      <c r="X284" s="68"/>
      <c r="Y284" s="68"/>
      <c r="Z284" s="68"/>
    </row>
    <row r="285" spans="15:26">
      <c r="O285" s="63"/>
      <c r="P285" s="67"/>
      <c r="Q285" s="158"/>
      <c r="R285" s="158"/>
      <c r="S285" s="158"/>
      <c r="T285" s="158"/>
      <c r="U285" s="158"/>
      <c r="V285" s="159"/>
      <c r="X285" s="68"/>
      <c r="Y285" s="68"/>
      <c r="Z285" s="68"/>
    </row>
    <row r="286" spans="15:26">
      <c r="O286" s="63"/>
      <c r="P286" s="67"/>
      <c r="Q286" s="158"/>
      <c r="R286" s="158"/>
      <c r="S286" s="158"/>
      <c r="T286" s="158"/>
      <c r="U286" s="158"/>
      <c r="V286" s="159"/>
      <c r="X286" s="68"/>
      <c r="Y286" s="68"/>
      <c r="Z286" s="68"/>
    </row>
    <row r="287" spans="15:26">
      <c r="O287" s="63"/>
      <c r="P287" s="67"/>
      <c r="Q287" s="158"/>
      <c r="R287" s="158"/>
      <c r="S287" s="158"/>
      <c r="T287" s="158"/>
      <c r="U287" s="158"/>
      <c r="V287" s="159"/>
      <c r="X287" s="68"/>
      <c r="Y287" s="68"/>
      <c r="Z287" s="68"/>
    </row>
    <row r="288" spans="15:26">
      <c r="O288" s="63"/>
      <c r="P288" s="67"/>
      <c r="Q288" s="158"/>
      <c r="R288" s="158"/>
      <c r="S288" s="158"/>
      <c r="T288" s="158"/>
      <c r="U288" s="158"/>
      <c r="V288" s="159"/>
      <c r="X288" s="68"/>
      <c r="Y288" s="68"/>
      <c r="Z288" s="68"/>
    </row>
    <row r="289" spans="15:26">
      <c r="O289" s="63"/>
      <c r="P289" s="67"/>
      <c r="Q289" s="158"/>
      <c r="R289" s="158"/>
      <c r="S289" s="158"/>
      <c r="T289" s="158"/>
      <c r="U289" s="158"/>
      <c r="V289" s="159"/>
      <c r="X289" s="68"/>
      <c r="Y289" s="68"/>
      <c r="Z289" s="68"/>
    </row>
    <row r="290" spans="15:26">
      <c r="O290" s="63"/>
      <c r="P290" s="67"/>
      <c r="Q290" s="158"/>
      <c r="R290" s="158"/>
      <c r="S290" s="158"/>
      <c r="T290" s="158"/>
      <c r="U290" s="158"/>
      <c r="V290" s="159"/>
      <c r="X290" s="68"/>
      <c r="Y290" s="68"/>
      <c r="Z290" s="68"/>
    </row>
    <row r="291" spans="15:26">
      <c r="O291" s="63"/>
      <c r="P291" s="67"/>
      <c r="Q291" s="158"/>
      <c r="R291" s="158"/>
      <c r="S291" s="158"/>
      <c r="T291" s="158"/>
      <c r="U291" s="158"/>
      <c r="V291" s="159"/>
      <c r="X291" s="68"/>
      <c r="Y291" s="68"/>
      <c r="Z291" s="68"/>
    </row>
    <row r="292" spans="15:26">
      <c r="O292" s="63"/>
      <c r="P292" s="67"/>
      <c r="Q292" s="158"/>
      <c r="R292" s="158"/>
      <c r="S292" s="158"/>
      <c r="T292" s="158"/>
      <c r="U292" s="158"/>
      <c r="V292" s="159"/>
      <c r="X292" s="68"/>
      <c r="Y292" s="68"/>
      <c r="Z292" s="68"/>
    </row>
    <row r="293" spans="15:26">
      <c r="O293" s="63"/>
      <c r="P293" s="67"/>
      <c r="Q293" s="158"/>
      <c r="R293" s="158"/>
      <c r="S293" s="158"/>
      <c r="T293" s="158"/>
      <c r="U293" s="158"/>
      <c r="V293" s="159"/>
      <c r="X293" s="68"/>
      <c r="Y293" s="68"/>
      <c r="Z293" s="68"/>
    </row>
    <row r="294" spans="15:26">
      <c r="O294" s="63"/>
      <c r="P294" s="67"/>
      <c r="Q294" s="158"/>
      <c r="R294" s="158"/>
      <c r="S294" s="158"/>
      <c r="T294" s="158"/>
      <c r="U294" s="158"/>
      <c r="V294" s="159"/>
      <c r="X294" s="68"/>
      <c r="Y294" s="68"/>
      <c r="Z294" s="68"/>
    </row>
    <row r="295" spans="15:26">
      <c r="O295" s="63"/>
      <c r="P295" s="67"/>
      <c r="Q295" s="158"/>
      <c r="R295" s="158"/>
      <c r="S295" s="158"/>
      <c r="T295" s="158"/>
      <c r="U295" s="158"/>
      <c r="V295" s="159"/>
      <c r="X295" s="68"/>
      <c r="Y295" s="68"/>
      <c r="Z295" s="68"/>
    </row>
    <row r="296" spans="15:26">
      <c r="O296" s="63"/>
      <c r="P296" s="67"/>
      <c r="Q296" s="158"/>
      <c r="R296" s="158"/>
      <c r="S296" s="158"/>
      <c r="T296" s="158"/>
      <c r="U296" s="158"/>
      <c r="V296" s="159"/>
      <c r="X296" s="68"/>
      <c r="Y296" s="68"/>
      <c r="Z296" s="68"/>
    </row>
    <row r="297" spans="15:26">
      <c r="O297" s="64"/>
      <c r="P297" s="67"/>
      <c r="Q297" s="158"/>
      <c r="R297" s="158"/>
      <c r="S297" s="158"/>
      <c r="T297" s="158"/>
      <c r="U297" s="158"/>
      <c r="V297" s="159"/>
      <c r="X297" s="68"/>
      <c r="Y297" s="68"/>
      <c r="Z297" s="68"/>
    </row>
    <row r="298" spans="15:26">
      <c r="O298" s="64">
        <v>42461</v>
      </c>
      <c r="P298" s="67"/>
      <c r="Q298" s="158"/>
      <c r="R298" s="158"/>
      <c r="S298" s="158"/>
      <c r="T298" s="158"/>
      <c r="U298" s="158"/>
      <c r="V298" s="159"/>
      <c r="X298" s="68"/>
      <c r="Y298" s="68"/>
      <c r="Z298" s="68"/>
    </row>
    <row r="299" spans="15:26">
      <c r="O299" s="63"/>
      <c r="P299" s="67"/>
      <c r="Q299" s="158"/>
      <c r="R299" s="158"/>
      <c r="S299" s="158"/>
      <c r="T299" s="158"/>
      <c r="U299" s="158"/>
      <c r="V299" s="159"/>
      <c r="X299" s="68"/>
      <c r="Y299" s="68"/>
      <c r="Z299" s="68"/>
    </row>
    <row r="300" spans="15:26">
      <c r="O300" s="63"/>
      <c r="P300" s="67"/>
      <c r="Q300" s="158"/>
      <c r="R300" s="158"/>
      <c r="S300" s="158"/>
      <c r="T300" s="158"/>
      <c r="U300" s="158"/>
      <c r="V300" s="159"/>
      <c r="X300" s="68"/>
      <c r="Y300" s="68"/>
      <c r="Z300" s="68"/>
    </row>
    <row r="301" spans="15:26">
      <c r="O301" s="63"/>
      <c r="P301" s="67"/>
      <c r="Q301" s="158"/>
      <c r="R301" s="158"/>
      <c r="S301" s="158"/>
      <c r="T301" s="158"/>
      <c r="U301" s="158"/>
      <c r="V301" s="159"/>
      <c r="X301" s="68"/>
      <c r="Y301" s="68"/>
      <c r="Z301" s="68"/>
    </row>
    <row r="302" spans="15:26">
      <c r="O302" s="63"/>
      <c r="P302" s="67"/>
      <c r="Q302" s="158"/>
      <c r="R302" s="158"/>
      <c r="S302" s="158"/>
      <c r="T302" s="158"/>
      <c r="U302" s="158"/>
      <c r="V302" s="159"/>
      <c r="X302" s="68"/>
      <c r="Y302" s="68"/>
      <c r="Z302" s="68"/>
    </row>
    <row r="303" spans="15:26">
      <c r="O303" s="63"/>
      <c r="P303" s="67"/>
      <c r="Q303" s="158"/>
      <c r="R303" s="158"/>
      <c r="S303" s="158"/>
      <c r="T303" s="158"/>
      <c r="U303" s="158"/>
      <c r="V303" s="159"/>
      <c r="X303" s="68"/>
      <c r="Y303" s="68"/>
      <c r="Z303" s="68"/>
    </row>
    <row r="304" spans="15:26">
      <c r="O304" s="63"/>
      <c r="P304" s="67"/>
      <c r="Q304" s="158"/>
      <c r="R304" s="158"/>
      <c r="S304" s="158"/>
      <c r="T304" s="158"/>
      <c r="U304" s="158"/>
      <c r="V304" s="159"/>
      <c r="X304" s="68"/>
      <c r="Y304" s="68"/>
      <c r="Z304" s="68"/>
    </row>
    <row r="305" spans="15:26">
      <c r="O305" s="63"/>
      <c r="P305" s="67"/>
      <c r="Q305" s="158"/>
      <c r="R305" s="158"/>
      <c r="S305" s="158"/>
      <c r="T305" s="158"/>
      <c r="U305" s="158"/>
      <c r="V305" s="159"/>
      <c r="X305" s="68"/>
      <c r="Y305" s="68"/>
      <c r="Z305" s="68"/>
    </row>
    <row r="306" spans="15:26">
      <c r="O306" s="63"/>
      <c r="P306" s="67"/>
      <c r="Q306" s="158"/>
      <c r="R306" s="158"/>
      <c r="S306" s="158"/>
      <c r="T306" s="158"/>
      <c r="U306" s="158"/>
      <c r="V306" s="159"/>
      <c r="X306" s="68"/>
      <c r="Y306" s="68"/>
      <c r="Z306" s="68"/>
    </row>
    <row r="307" spans="15:26">
      <c r="O307" s="63"/>
      <c r="P307" s="67"/>
      <c r="Q307" s="158"/>
      <c r="R307" s="158"/>
      <c r="S307" s="158"/>
      <c r="T307" s="158"/>
      <c r="U307" s="158"/>
      <c r="V307" s="159"/>
      <c r="X307" s="68"/>
      <c r="Y307" s="68"/>
      <c r="Z307" s="68"/>
    </row>
    <row r="308" spans="15:26">
      <c r="O308" s="63"/>
      <c r="P308" s="67"/>
      <c r="Q308" s="158"/>
      <c r="R308" s="158"/>
      <c r="S308" s="158"/>
      <c r="T308" s="158"/>
      <c r="U308" s="158"/>
      <c r="V308" s="159"/>
      <c r="X308" s="68"/>
      <c r="Y308" s="68"/>
      <c r="Z308" s="68"/>
    </row>
    <row r="309" spans="15:26">
      <c r="O309" s="63"/>
      <c r="P309" s="67"/>
      <c r="Q309" s="158"/>
      <c r="R309" s="158"/>
      <c r="S309" s="158"/>
      <c r="T309" s="158"/>
      <c r="U309" s="158"/>
      <c r="V309" s="159"/>
      <c r="X309" s="68"/>
      <c r="Y309" s="68"/>
      <c r="Z309" s="68"/>
    </row>
    <row r="310" spans="15:26">
      <c r="O310" s="63"/>
      <c r="P310" s="67"/>
      <c r="Q310" s="158"/>
      <c r="R310" s="158"/>
      <c r="S310" s="158"/>
      <c r="T310" s="158"/>
      <c r="U310" s="158"/>
      <c r="V310" s="159"/>
      <c r="X310" s="68"/>
      <c r="Y310" s="68"/>
      <c r="Z310" s="68"/>
    </row>
    <row r="311" spans="15:26">
      <c r="O311" s="63"/>
      <c r="P311" s="67"/>
      <c r="Q311" s="158"/>
      <c r="R311" s="158"/>
      <c r="S311" s="158"/>
      <c r="T311" s="158"/>
      <c r="U311" s="158"/>
      <c r="V311" s="159"/>
      <c r="X311" s="68"/>
      <c r="Y311" s="68"/>
      <c r="Z311" s="68"/>
    </row>
    <row r="312" spans="15:26">
      <c r="O312" s="63"/>
      <c r="P312" s="67"/>
      <c r="Q312" s="158"/>
      <c r="R312" s="158"/>
      <c r="S312" s="158"/>
      <c r="T312" s="158"/>
      <c r="U312" s="158"/>
      <c r="V312" s="159"/>
      <c r="X312" s="68"/>
      <c r="Y312" s="68"/>
      <c r="Z312" s="68"/>
    </row>
    <row r="313" spans="15:26">
      <c r="O313" s="63"/>
      <c r="P313" s="67"/>
      <c r="Q313" s="158"/>
      <c r="R313" s="158"/>
      <c r="S313" s="158"/>
      <c r="T313" s="158"/>
      <c r="U313" s="158"/>
      <c r="V313" s="159"/>
      <c r="X313" s="68"/>
      <c r="Y313" s="68"/>
      <c r="Z313" s="68"/>
    </row>
    <row r="314" spans="15:26">
      <c r="O314" s="63"/>
      <c r="P314" s="67"/>
      <c r="Q314" s="158"/>
      <c r="R314" s="158"/>
      <c r="S314" s="158"/>
      <c r="T314" s="158"/>
      <c r="U314" s="158"/>
      <c r="V314" s="159"/>
      <c r="X314" s="68"/>
      <c r="Y314" s="68"/>
      <c r="Z314" s="68"/>
    </row>
    <row r="315" spans="15:26">
      <c r="O315" s="63"/>
      <c r="P315" s="67"/>
      <c r="Q315" s="158"/>
      <c r="R315" s="158"/>
      <c r="S315" s="158"/>
      <c r="T315" s="158"/>
      <c r="U315" s="158"/>
      <c r="V315" s="159"/>
      <c r="X315" s="68"/>
      <c r="Y315" s="68"/>
      <c r="Z315" s="68"/>
    </row>
    <row r="316" spans="15:26">
      <c r="O316" s="63"/>
      <c r="P316" s="67"/>
      <c r="Q316" s="158"/>
      <c r="R316" s="158"/>
      <c r="S316" s="158"/>
      <c r="T316" s="158"/>
      <c r="U316" s="158"/>
      <c r="V316" s="159"/>
      <c r="X316" s="68"/>
      <c r="Y316" s="68"/>
      <c r="Z316" s="68"/>
    </row>
    <row r="317" spans="15:26">
      <c r="O317" s="63"/>
      <c r="P317" s="67"/>
      <c r="Q317" s="158"/>
      <c r="R317" s="158"/>
      <c r="S317" s="158"/>
      <c r="T317" s="158"/>
      <c r="U317" s="158"/>
      <c r="V317" s="159"/>
      <c r="X317" s="68"/>
      <c r="Y317" s="68"/>
      <c r="Z317" s="68"/>
    </row>
    <row r="318" spans="15:26">
      <c r="O318" s="63"/>
      <c r="P318" s="67"/>
      <c r="Q318" s="158"/>
      <c r="R318" s="158"/>
      <c r="S318" s="158"/>
      <c r="T318" s="158"/>
      <c r="U318" s="158"/>
      <c r="V318" s="159"/>
      <c r="X318" s="68"/>
      <c r="Y318" s="68"/>
      <c r="Z318" s="68"/>
    </row>
    <row r="319" spans="15:26">
      <c r="O319" s="63"/>
      <c r="P319" s="67"/>
      <c r="Q319" s="158"/>
      <c r="R319" s="158"/>
      <c r="S319" s="158"/>
      <c r="T319" s="158"/>
      <c r="U319" s="158"/>
      <c r="V319" s="159"/>
      <c r="X319" s="68"/>
      <c r="Y319" s="68"/>
      <c r="Z319" s="68"/>
    </row>
    <row r="320" spans="15:26">
      <c r="O320" s="63"/>
      <c r="P320" s="67"/>
      <c r="Q320" s="158"/>
      <c r="R320" s="158"/>
      <c r="S320" s="158"/>
      <c r="T320" s="158"/>
      <c r="U320" s="158"/>
      <c r="V320" s="159"/>
      <c r="X320" s="68"/>
      <c r="Y320" s="68"/>
      <c r="Z320" s="68"/>
    </row>
    <row r="321" spans="15:26">
      <c r="O321" s="63"/>
      <c r="P321" s="67"/>
      <c r="Q321" s="158"/>
      <c r="R321" s="158"/>
      <c r="S321" s="158"/>
      <c r="T321" s="158"/>
      <c r="U321" s="158"/>
      <c r="V321" s="159"/>
      <c r="X321" s="68"/>
      <c r="Y321" s="68"/>
      <c r="Z321" s="68"/>
    </row>
    <row r="322" spans="15:26">
      <c r="O322" s="63"/>
      <c r="P322" s="67"/>
      <c r="Q322" s="158"/>
      <c r="R322" s="158"/>
      <c r="S322" s="158"/>
      <c r="T322" s="158"/>
      <c r="U322" s="158"/>
      <c r="V322" s="159"/>
      <c r="X322" s="68"/>
      <c r="Y322" s="68"/>
      <c r="Z322" s="68"/>
    </row>
    <row r="323" spans="15:26">
      <c r="O323" s="63"/>
      <c r="P323" s="67"/>
      <c r="Q323" s="158"/>
      <c r="R323" s="158"/>
      <c r="S323" s="158"/>
      <c r="T323" s="158"/>
      <c r="U323" s="158"/>
      <c r="V323" s="159"/>
      <c r="X323" s="68"/>
      <c r="Y323" s="68"/>
      <c r="Z323" s="68"/>
    </row>
    <row r="324" spans="15:26">
      <c r="O324" s="63"/>
      <c r="P324" s="67"/>
      <c r="Q324" s="158"/>
      <c r="R324" s="158"/>
      <c r="S324" s="158"/>
      <c r="T324" s="158"/>
      <c r="U324" s="158"/>
      <c r="V324" s="159"/>
      <c r="X324" s="68"/>
      <c r="Y324" s="68"/>
      <c r="Z324" s="68"/>
    </row>
    <row r="325" spans="15:26">
      <c r="O325" s="63"/>
      <c r="P325" s="67"/>
      <c r="Q325" s="158"/>
      <c r="R325" s="158"/>
      <c r="S325" s="158"/>
      <c r="T325" s="158"/>
      <c r="U325" s="158"/>
      <c r="V325" s="159"/>
      <c r="X325" s="68"/>
      <c r="Y325" s="68"/>
      <c r="Z325" s="68"/>
    </row>
    <row r="326" spans="15:26">
      <c r="O326" s="63"/>
      <c r="P326" s="67"/>
      <c r="Q326" s="158"/>
      <c r="R326" s="158"/>
      <c r="S326" s="158"/>
      <c r="T326" s="158"/>
      <c r="U326" s="158"/>
      <c r="V326" s="159"/>
      <c r="X326" s="68"/>
      <c r="Y326" s="68"/>
      <c r="Z326" s="68"/>
    </row>
    <row r="327" spans="15:26">
      <c r="O327" s="63"/>
      <c r="P327" s="67"/>
      <c r="Q327" s="158"/>
      <c r="R327" s="158"/>
      <c r="S327" s="158"/>
      <c r="T327" s="158"/>
      <c r="U327" s="158"/>
      <c r="V327" s="159"/>
      <c r="X327" s="68"/>
      <c r="Y327" s="68"/>
      <c r="Z327" s="68"/>
    </row>
    <row r="328" spans="15:26">
      <c r="O328" s="64">
        <v>42491</v>
      </c>
      <c r="P328" s="67"/>
      <c r="Q328" s="158"/>
      <c r="R328" s="158"/>
      <c r="S328" s="158"/>
      <c r="T328" s="158"/>
      <c r="U328" s="158"/>
      <c r="V328" s="159"/>
      <c r="X328" s="68"/>
      <c r="Y328" s="68"/>
      <c r="Z328" s="68"/>
    </row>
    <row r="329" spans="15:26">
      <c r="O329" s="64"/>
      <c r="P329" s="67"/>
      <c r="Q329" s="158"/>
      <c r="R329" s="158"/>
      <c r="S329" s="158"/>
      <c r="T329" s="158"/>
      <c r="U329" s="158"/>
      <c r="V329" s="159"/>
      <c r="X329" s="68"/>
      <c r="Y329" s="68"/>
      <c r="Z329" s="68"/>
    </row>
    <row r="330" spans="15:26">
      <c r="O330" s="63"/>
      <c r="P330" s="67"/>
      <c r="Q330" s="158"/>
      <c r="R330" s="158"/>
      <c r="S330" s="158"/>
      <c r="T330" s="158"/>
      <c r="U330" s="158"/>
      <c r="V330" s="159"/>
      <c r="X330" s="68"/>
      <c r="Y330" s="68"/>
      <c r="Z330" s="68"/>
    </row>
    <row r="331" spans="15:26">
      <c r="O331" s="63"/>
      <c r="P331" s="67"/>
      <c r="Q331" s="158"/>
      <c r="R331" s="158"/>
      <c r="S331" s="158"/>
      <c r="T331" s="158"/>
      <c r="U331" s="158"/>
      <c r="V331" s="159"/>
      <c r="X331" s="68"/>
      <c r="Y331" s="68"/>
      <c r="Z331" s="68"/>
    </row>
    <row r="332" spans="15:26">
      <c r="O332" s="63"/>
      <c r="P332" s="67"/>
      <c r="Q332" s="158"/>
      <c r="R332" s="158"/>
      <c r="S332" s="158"/>
      <c r="T332" s="158"/>
      <c r="U332" s="158"/>
      <c r="V332" s="159"/>
      <c r="X332" s="68"/>
      <c r="Y332" s="68"/>
      <c r="Z332" s="68"/>
    </row>
    <row r="333" spans="15:26">
      <c r="O333" s="63"/>
      <c r="P333" s="67"/>
      <c r="Q333" s="158"/>
      <c r="R333" s="158"/>
      <c r="S333" s="158"/>
      <c r="T333" s="158"/>
      <c r="U333" s="158"/>
      <c r="V333" s="159"/>
      <c r="X333" s="68"/>
      <c r="Y333" s="68"/>
      <c r="Z333" s="68"/>
    </row>
    <row r="334" spans="15:26">
      <c r="O334" s="63"/>
      <c r="P334" s="67"/>
      <c r="Q334" s="158"/>
      <c r="R334" s="158"/>
      <c r="S334" s="158"/>
      <c r="T334" s="158"/>
      <c r="U334" s="158"/>
      <c r="V334" s="159"/>
      <c r="X334" s="68"/>
      <c r="Y334" s="68"/>
      <c r="Z334" s="68"/>
    </row>
    <row r="335" spans="15:26">
      <c r="O335" s="63"/>
      <c r="P335" s="67"/>
      <c r="Q335" s="158"/>
      <c r="R335" s="158"/>
      <c r="S335" s="158"/>
      <c r="T335" s="158"/>
      <c r="U335" s="158"/>
      <c r="V335" s="159"/>
      <c r="X335" s="68"/>
      <c r="Y335" s="68"/>
      <c r="Z335" s="68"/>
    </row>
    <row r="336" spans="15:26">
      <c r="O336" s="63"/>
      <c r="P336" s="67"/>
      <c r="Q336" s="158"/>
      <c r="R336" s="158"/>
      <c r="S336" s="158"/>
      <c r="T336" s="158"/>
      <c r="U336" s="158"/>
      <c r="V336" s="159"/>
      <c r="X336" s="68"/>
      <c r="Y336" s="68"/>
      <c r="Z336" s="68"/>
    </row>
    <row r="337" spans="15:26">
      <c r="O337" s="63"/>
      <c r="P337" s="67"/>
      <c r="Q337" s="158"/>
      <c r="R337" s="158"/>
      <c r="S337" s="158"/>
      <c r="T337" s="158"/>
      <c r="U337" s="158"/>
      <c r="V337" s="159"/>
      <c r="X337" s="68"/>
      <c r="Y337" s="68"/>
      <c r="Z337" s="68"/>
    </row>
    <row r="338" spans="15:26">
      <c r="O338" s="63"/>
      <c r="P338" s="67"/>
      <c r="Q338" s="158"/>
      <c r="R338" s="158"/>
      <c r="S338" s="158"/>
      <c r="T338" s="158"/>
      <c r="U338" s="158"/>
      <c r="V338" s="159"/>
      <c r="X338" s="68"/>
      <c r="Y338" s="68"/>
      <c r="Z338" s="68"/>
    </row>
    <row r="339" spans="15:26">
      <c r="O339" s="63"/>
      <c r="P339" s="67"/>
      <c r="Q339" s="158"/>
      <c r="R339" s="158"/>
      <c r="S339" s="158"/>
      <c r="T339" s="158"/>
      <c r="U339" s="158"/>
      <c r="V339" s="159"/>
      <c r="X339" s="68"/>
      <c r="Y339" s="68"/>
      <c r="Z339" s="68"/>
    </row>
    <row r="340" spans="15:26">
      <c r="O340" s="63"/>
      <c r="P340" s="67"/>
      <c r="Q340" s="158"/>
      <c r="R340" s="158"/>
      <c r="S340" s="158"/>
      <c r="T340" s="158"/>
      <c r="U340" s="158"/>
      <c r="V340" s="159"/>
      <c r="X340" s="68"/>
      <c r="Y340" s="68"/>
      <c r="Z340" s="68"/>
    </row>
    <row r="341" spans="15:26">
      <c r="O341" s="63"/>
      <c r="P341" s="67"/>
      <c r="Q341" s="158"/>
      <c r="R341" s="158"/>
      <c r="S341" s="158"/>
      <c r="T341" s="158"/>
      <c r="U341" s="158"/>
      <c r="V341" s="159"/>
      <c r="X341" s="68"/>
      <c r="Y341" s="68"/>
      <c r="Z341" s="68"/>
    </row>
    <row r="342" spans="15:26">
      <c r="O342" s="63"/>
      <c r="P342" s="67"/>
      <c r="Q342" s="158"/>
      <c r="R342" s="158"/>
      <c r="S342" s="158"/>
      <c r="T342" s="158"/>
      <c r="U342" s="158"/>
      <c r="V342" s="159"/>
      <c r="X342" s="68"/>
      <c r="Y342" s="68"/>
      <c r="Z342" s="68"/>
    </row>
    <row r="343" spans="15:26">
      <c r="O343" s="63"/>
      <c r="P343" s="67"/>
      <c r="Q343" s="158"/>
      <c r="R343" s="158"/>
      <c r="S343" s="158"/>
      <c r="T343" s="158"/>
      <c r="U343" s="158"/>
      <c r="V343" s="159"/>
      <c r="X343" s="68"/>
      <c r="Y343" s="68"/>
      <c r="Z343" s="68"/>
    </row>
    <row r="344" spans="15:26">
      <c r="O344" s="63"/>
      <c r="P344" s="67"/>
      <c r="Q344" s="158"/>
      <c r="R344" s="158"/>
      <c r="S344" s="158"/>
      <c r="T344" s="158"/>
      <c r="U344" s="158"/>
      <c r="V344" s="159"/>
      <c r="X344" s="68"/>
      <c r="Y344" s="68"/>
      <c r="Z344" s="68"/>
    </row>
    <row r="345" spans="15:26">
      <c r="O345" s="63"/>
      <c r="P345" s="67"/>
      <c r="Q345" s="158"/>
      <c r="R345" s="158"/>
      <c r="S345" s="158"/>
      <c r="T345" s="158"/>
      <c r="U345" s="158"/>
      <c r="V345" s="159"/>
      <c r="X345" s="68"/>
      <c r="Y345" s="68"/>
      <c r="Z345" s="68"/>
    </row>
    <row r="346" spans="15:26">
      <c r="O346" s="63"/>
      <c r="P346" s="67"/>
      <c r="Q346" s="158"/>
      <c r="R346" s="158"/>
      <c r="S346" s="158"/>
      <c r="T346" s="158"/>
      <c r="U346" s="158"/>
      <c r="V346" s="159"/>
      <c r="X346" s="68"/>
      <c r="Y346" s="68"/>
      <c r="Z346" s="68"/>
    </row>
    <row r="347" spans="15:26">
      <c r="O347" s="63"/>
      <c r="P347" s="67"/>
      <c r="Q347" s="158"/>
      <c r="R347" s="158"/>
      <c r="S347" s="158"/>
      <c r="T347" s="158"/>
      <c r="U347" s="158"/>
      <c r="V347" s="159"/>
      <c r="X347" s="68"/>
      <c r="Y347" s="68"/>
      <c r="Z347" s="68"/>
    </row>
    <row r="348" spans="15:26">
      <c r="O348" s="63"/>
      <c r="P348" s="67"/>
      <c r="Q348" s="158"/>
      <c r="R348" s="158"/>
      <c r="S348" s="158"/>
      <c r="T348" s="158"/>
      <c r="U348" s="158"/>
      <c r="V348" s="159"/>
      <c r="X348" s="68"/>
      <c r="Y348" s="68"/>
      <c r="Z348" s="68"/>
    </row>
    <row r="349" spans="15:26">
      <c r="O349" s="63"/>
      <c r="P349" s="67"/>
      <c r="Q349" s="158"/>
      <c r="R349" s="158"/>
      <c r="S349" s="158"/>
      <c r="T349" s="158"/>
      <c r="U349" s="158"/>
      <c r="V349" s="159"/>
      <c r="X349" s="68"/>
      <c r="Y349" s="68"/>
      <c r="Z349" s="68"/>
    </row>
    <row r="350" spans="15:26">
      <c r="O350" s="63"/>
      <c r="P350" s="67"/>
      <c r="Q350" s="158"/>
      <c r="R350" s="158"/>
      <c r="S350" s="158"/>
      <c r="T350" s="158"/>
      <c r="U350" s="158"/>
      <c r="V350" s="159"/>
      <c r="X350" s="68"/>
      <c r="Y350" s="68"/>
      <c r="Z350" s="68"/>
    </row>
    <row r="351" spans="15:26">
      <c r="O351" s="63"/>
      <c r="P351" s="67"/>
      <c r="Q351" s="158"/>
      <c r="R351" s="158"/>
      <c r="S351" s="158"/>
      <c r="T351" s="158"/>
      <c r="U351" s="158"/>
      <c r="V351" s="159"/>
      <c r="X351" s="68"/>
      <c r="Y351" s="68"/>
      <c r="Z351" s="68"/>
    </row>
    <row r="352" spans="15:26">
      <c r="O352" s="63"/>
      <c r="P352" s="67"/>
      <c r="Q352" s="158"/>
      <c r="R352" s="158"/>
      <c r="S352" s="158"/>
      <c r="T352" s="158"/>
      <c r="U352" s="158"/>
      <c r="V352" s="159"/>
      <c r="X352" s="68"/>
      <c r="Y352" s="68"/>
      <c r="Z352" s="68"/>
    </row>
    <row r="353" spans="15:26">
      <c r="O353" s="63"/>
      <c r="P353" s="67"/>
      <c r="Q353" s="158"/>
      <c r="R353" s="158"/>
      <c r="S353" s="158"/>
      <c r="T353" s="158"/>
      <c r="U353" s="158"/>
      <c r="V353" s="159"/>
      <c r="X353" s="68"/>
      <c r="Y353" s="68"/>
      <c r="Z353" s="68"/>
    </row>
    <row r="354" spans="15:26">
      <c r="O354" s="63"/>
      <c r="P354" s="67"/>
      <c r="Q354" s="158"/>
      <c r="R354" s="158"/>
      <c r="S354" s="158"/>
      <c r="T354" s="158"/>
      <c r="U354" s="158"/>
      <c r="V354" s="159"/>
      <c r="X354" s="68"/>
      <c r="Y354" s="68"/>
      <c r="Z354" s="68"/>
    </row>
    <row r="355" spans="15:26">
      <c r="O355" s="63"/>
      <c r="P355" s="67"/>
      <c r="Q355" s="158"/>
      <c r="R355" s="158"/>
      <c r="S355" s="158"/>
      <c r="T355" s="158"/>
      <c r="U355" s="158"/>
      <c r="V355" s="159"/>
      <c r="X355" s="68"/>
      <c r="Y355" s="68"/>
      <c r="Z355" s="68"/>
    </row>
    <row r="356" spans="15:26">
      <c r="O356" s="63"/>
      <c r="P356" s="67"/>
      <c r="Q356" s="158"/>
      <c r="R356" s="158"/>
      <c r="S356" s="158"/>
      <c r="T356" s="158"/>
      <c r="U356" s="158"/>
      <c r="V356" s="159"/>
      <c r="X356" s="68"/>
      <c r="Y356" s="68"/>
      <c r="Z356" s="68"/>
    </row>
    <row r="357" spans="15:26">
      <c r="O357" s="63"/>
      <c r="P357" s="67"/>
      <c r="Q357" s="158"/>
      <c r="R357" s="158"/>
      <c r="S357" s="158"/>
      <c r="T357" s="158"/>
      <c r="U357" s="158"/>
      <c r="V357" s="159"/>
      <c r="X357" s="68"/>
      <c r="Y357" s="68"/>
      <c r="Z357" s="68"/>
    </row>
    <row r="358" spans="15:26">
      <c r="O358" s="64"/>
      <c r="P358" s="67"/>
      <c r="Q358" s="158"/>
      <c r="R358" s="158"/>
      <c r="S358" s="158"/>
      <c r="T358" s="158"/>
      <c r="U358" s="158"/>
      <c r="V358" s="159"/>
      <c r="X358" s="68"/>
      <c r="Y358" s="68"/>
      <c r="Z358" s="68"/>
    </row>
    <row r="359" spans="15:26">
      <c r="O359" s="64">
        <v>42522</v>
      </c>
      <c r="P359" s="67"/>
      <c r="Q359" s="158"/>
      <c r="R359" s="158"/>
      <c r="S359" s="158"/>
      <c r="T359" s="158"/>
      <c r="U359" s="158"/>
      <c r="V359" s="159"/>
      <c r="X359" s="68"/>
      <c r="Y359" s="68"/>
      <c r="Z359" s="68"/>
    </row>
    <row r="360" spans="15:26">
      <c r="O360" s="63"/>
      <c r="P360" s="67"/>
      <c r="Q360" s="158"/>
      <c r="R360" s="158"/>
      <c r="S360" s="158"/>
      <c r="T360" s="158"/>
      <c r="U360" s="158"/>
      <c r="V360" s="159"/>
      <c r="X360" s="68"/>
      <c r="Y360" s="68"/>
      <c r="Z360" s="68"/>
    </row>
    <row r="361" spans="15:26">
      <c r="O361" s="63"/>
      <c r="P361" s="67"/>
      <c r="Q361" s="158"/>
      <c r="R361" s="158"/>
      <c r="S361" s="158"/>
      <c r="T361" s="158"/>
      <c r="U361" s="158"/>
      <c r="V361" s="159"/>
      <c r="X361" s="68"/>
      <c r="Y361" s="68"/>
      <c r="Z361" s="68"/>
    </row>
    <row r="362" spans="15:26">
      <c r="O362" s="63"/>
      <c r="P362" s="67"/>
      <c r="Q362" s="158"/>
      <c r="R362" s="158"/>
      <c r="S362" s="158"/>
      <c r="T362" s="158"/>
      <c r="U362" s="158"/>
      <c r="V362" s="159"/>
      <c r="X362" s="68"/>
      <c r="Y362" s="68"/>
      <c r="Z362" s="68"/>
    </row>
    <row r="363" spans="15:26">
      <c r="O363" s="63"/>
      <c r="P363" s="67"/>
      <c r="Q363" s="158"/>
      <c r="R363" s="158"/>
      <c r="S363" s="158"/>
      <c r="T363" s="158"/>
      <c r="U363" s="158"/>
      <c r="V363" s="159"/>
      <c r="X363" s="68"/>
      <c r="Y363" s="68"/>
      <c r="Z363" s="68"/>
    </row>
    <row r="364" spans="15:26">
      <c r="O364" s="63"/>
      <c r="P364" s="67"/>
      <c r="Q364" s="158"/>
      <c r="R364" s="158"/>
      <c r="S364" s="158"/>
      <c r="T364" s="158"/>
      <c r="U364" s="158"/>
      <c r="V364" s="159"/>
      <c r="X364" s="68"/>
      <c r="Y364" s="68"/>
      <c r="Z364" s="68"/>
    </row>
    <row r="365" spans="15:26">
      <c r="O365" s="63"/>
      <c r="P365" s="67"/>
      <c r="Q365" s="158"/>
      <c r="R365" s="158"/>
      <c r="S365" s="158"/>
      <c r="T365" s="158"/>
      <c r="U365" s="158"/>
      <c r="V365" s="159"/>
      <c r="X365" s="68"/>
      <c r="Y365" s="68"/>
      <c r="Z365" s="68"/>
    </row>
    <row r="366" spans="15:26">
      <c r="O366" s="63"/>
      <c r="P366" s="67"/>
      <c r="Q366" s="158"/>
      <c r="R366" s="158"/>
      <c r="S366" s="158"/>
      <c r="T366" s="158"/>
      <c r="U366" s="158"/>
      <c r="V366" s="159"/>
      <c r="X366" s="68"/>
      <c r="Y366" s="68"/>
      <c r="Z366" s="68"/>
    </row>
    <row r="367" spans="15:26">
      <c r="O367" s="63"/>
      <c r="P367" s="67"/>
      <c r="Q367" s="158"/>
      <c r="R367" s="158"/>
      <c r="S367" s="158"/>
      <c r="T367" s="158"/>
      <c r="U367" s="158"/>
      <c r="V367" s="159"/>
      <c r="X367" s="68"/>
      <c r="Y367" s="68"/>
      <c r="Z367" s="68"/>
    </row>
    <row r="368" spans="15:26">
      <c r="O368" s="63"/>
      <c r="P368" s="67"/>
      <c r="Q368" s="158"/>
      <c r="R368" s="158"/>
      <c r="S368" s="158"/>
      <c r="T368" s="158"/>
      <c r="U368" s="158"/>
      <c r="V368" s="159"/>
      <c r="X368" s="68"/>
      <c r="Y368" s="68"/>
      <c r="Z368" s="68"/>
    </row>
    <row r="369" spans="15:26">
      <c r="O369" s="63"/>
      <c r="P369" s="67"/>
      <c r="Q369" s="158"/>
      <c r="R369" s="158"/>
      <c r="S369" s="158"/>
      <c r="T369" s="158"/>
      <c r="U369" s="158"/>
      <c r="V369" s="159"/>
      <c r="X369" s="68"/>
      <c r="Y369" s="68"/>
      <c r="Z369" s="68"/>
    </row>
    <row r="370" spans="15:26">
      <c r="O370" s="63"/>
      <c r="P370" s="67"/>
      <c r="Q370" s="158"/>
      <c r="R370" s="158"/>
      <c r="S370" s="158"/>
      <c r="T370" s="158"/>
      <c r="U370" s="158"/>
      <c r="V370" s="159"/>
      <c r="X370" s="68"/>
      <c r="Y370" s="68"/>
      <c r="Z370" s="68"/>
    </row>
    <row r="371" spans="15:26">
      <c r="O371" s="63"/>
      <c r="P371" s="67"/>
      <c r="Q371" s="158"/>
      <c r="R371" s="158"/>
      <c r="S371" s="158"/>
      <c r="T371" s="158"/>
      <c r="U371" s="158"/>
      <c r="V371" s="159"/>
      <c r="X371" s="68"/>
      <c r="Y371" s="68"/>
      <c r="Z371" s="68"/>
    </row>
    <row r="372" spans="15:26">
      <c r="O372" s="63"/>
      <c r="P372" s="67"/>
      <c r="Q372" s="158"/>
      <c r="R372" s="158"/>
      <c r="S372" s="158"/>
      <c r="T372" s="158"/>
      <c r="U372" s="158"/>
      <c r="V372" s="159"/>
      <c r="X372" s="68"/>
      <c r="Y372" s="68"/>
      <c r="Z372" s="68"/>
    </row>
    <row r="373" spans="15:26">
      <c r="O373" s="63"/>
      <c r="P373" s="67"/>
      <c r="Q373" s="158"/>
      <c r="R373" s="158"/>
      <c r="S373" s="158"/>
      <c r="T373" s="158"/>
      <c r="U373" s="158"/>
      <c r="V373" s="159"/>
      <c r="X373" s="68"/>
      <c r="Y373" s="68"/>
      <c r="Z373" s="68"/>
    </row>
    <row r="374" spans="15:26">
      <c r="O374" s="63"/>
      <c r="P374" s="67"/>
      <c r="Q374" s="158"/>
      <c r="R374" s="158"/>
      <c r="S374" s="158"/>
      <c r="T374" s="158"/>
      <c r="U374" s="158"/>
      <c r="V374" s="159"/>
      <c r="X374" s="68"/>
      <c r="Y374" s="68"/>
      <c r="Z374" s="68"/>
    </row>
    <row r="375" spans="15:26">
      <c r="O375" s="63"/>
      <c r="P375" s="67"/>
      <c r="Q375" s="158"/>
      <c r="R375" s="158"/>
      <c r="S375" s="158"/>
      <c r="T375" s="158"/>
      <c r="U375" s="158"/>
      <c r="V375" s="159"/>
      <c r="X375" s="68"/>
      <c r="Y375" s="68"/>
      <c r="Z375" s="68"/>
    </row>
    <row r="376" spans="15:26">
      <c r="O376" s="63"/>
      <c r="P376" s="67"/>
      <c r="Q376" s="158"/>
      <c r="R376" s="158"/>
      <c r="S376" s="158"/>
      <c r="T376" s="158"/>
      <c r="U376" s="158"/>
      <c r="V376" s="159"/>
      <c r="X376" s="68"/>
      <c r="Y376" s="68"/>
      <c r="Z376" s="68"/>
    </row>
    <row r="377" spans="15:26">
      <c r="O377" s="63"/>
      <c r="P377" s="67"/>
      <c r="Q377" s="158"/>
      <c r="R377" s="158"/>
      <c r="S377" s="158"/>
      <c r="T377" s="158"/>
      <c r="U377" s="158"/>
      <c r="V377" s="159"/>
      <c r="X377" s="68"/>
      <c r="Y377" s="68"/>
      <c r="Z377" s="68"/>
    </row>
    <row r="378" spans="15:26">
      <c r="O378" s="63"/>
      <c r="P378" s="67"/>
      <c r="Q378" s="158"/>
      <c r="R378" s="158"/>
      <c r="S378" s="158"/>
      <c r="T378" s="158"/>
      <c r="U378" s="158"/>
      <c r="V378" s="159"/>
      <c r="X378" s="68"/>
      <c r="Y378" s="68"/>
      <c r="Z378" s="68"/>
    </row>
    <row r="379" spans="15:26">
      <c r="O379" s="63"/>
      <c r="P379" s="67"/>
      <c r="Q379" s="158"/>
      <c r="R379" s="158"/>
      <c r="S379" s="158"/>
      <c r="T379" s="158"/>
      <c r="U379" s="158"/>
      <c r="V379" s="159"/>
      <c r="X379" s="68"/>
      <c r="Y379" s="68"/>
      <c r="Z379" s="68"/>
    </row>
    <row r="380" spans="15:26">
      <c r="O380" s="63"/>
      <c r="P380" s="67"/>
      <c r="Q380" s="158"/>
      <c r="R380" s="158"/>
      <c r="S380" s="158"/>
      <c r="T380" s="158"/>
      <c r="U380" s="158"/>
      <c r="V380" s="159"/>
      <c r="X380" s="68"/>
      <c r="Y380" s="68"/>
      <c r="Z380" s="68"/>
    </row>
    <row r="381" spans="15:26">
      <c r="O381" s="63"/>
      <c r="P381" s="67"/>
      <c r="Q381" s="158"/>
      <c r="R381" s="158"/>
      <c r="S381" s="158"/>
      <c r="T381" s="158"/>
      <c r="U381" s="158"/>
      <c r="V381" s="159"/>
      <c r="X381" s="68"/>
      <c r="Y381" s="68"/>
      <c r="Z381" s="68"/>
    </row>
    <row r="382" spans="15:26">
      <c r="O382" s="63"/>
      <c r="P382" s="67"/>
      <c r="Q382" s="158"/>
      <c r="R382" s="158"/>
      <c r="S382" s="158"/>
      <c r="T382" s="158"/>
      <c r="U382" s="158"/>
      <c r="V382" s="159"/>
      <c r="X382" s="68"/>
      <c r="Y382" s="68"/>
      <c r="Z382" s="68"/>
    </row>
    <row r="383" spans="15:26">
      <c r="O383" s="63"/>
      <c r="P383" s="67"/>
      <c r="Q383" s="158"/>
      <c r="R383" s="158"/>
      <c r="S383" s="158"/>
      <c r="T383" s="158"/>
      <c r="U383" s="158"/>
      <c r="V383" s="159"/>
      <c r="X383" s="68"/>
      <c r="Y383" s="68"/>
      <c r="Z383" s="68"/>
    </row>
    <row r="384" spans="15:26">
      <c r="O384" s="63"/>
      <c r="P384" s="67"/>
      <c r="Q384" s="158"/>
      <c r="R384" s="158"/>
      <c r="S384" s="158"/>
      <c r="T384" s="158"/>
      <c r="U384" s="158"/>
      <c r="V384" s="159"/>
      <c r="X384" s="68"/>
      <c r="Y384" s="68"/>
      <c r="Z384" s="68"/>
    </row>
    <row r="385" spans="15:26">
      <c r="O385" s="63"/>
      <c r="P385" s="67"/>
      <c r="Q385" s="158"/>
      <c r="R385" s="158"/>
      <c r="S385" s="158"/>
      <c r="T385" s="158"/>
      <c r="U385" s="158"/>
      <c r="V385" s="159"/>
      <c r="X385" s="68"/>
      <c r="Y385" s="68"/>
      <c r="Z385" s="68"/>
    </row>
    <row r="386" spans="15:26">
      <c r="O386" s="63"/>
      <c r="P386" s="67"/>
      <c r="Q386" s="158"/>
      <c r="R386" s="158"/>
      <c r="S386" s="158"/>
      <c r="T386" s="158"/>
      <c r="U386" s="158"/>
      <c r="V386" s="159"/>
      <c r="X386" s="68"/>
      <c r="Y386" s="68"/>
      <c r="Z386" s="68"/>
    </row>
    <row r="387" spans="15:26">
      <c r="O387" s="63"/>
      <c r="P387" s="67"/>
      <c r="Q387" s="158"/>
      <c r="R387" s="158"/>
      <c r="S387" s="158"/>
      <c r="T387" s="158"/>
      <c r="U387" s="158"/>
      <c r="V387" s="159"/>
      <c r="X387" s="68"/>
      <c r="Y387" s="68"/>
      <c r="Z387" s="68"/>
    </row>
    <row r="388" spans="15:26">
      <c r="O388" s="64"/>
      <c r="P388" s="67"/>
      <c r="Q388" s="158"/>
      <c r="R388" s="158"/>
      <c r="S388" s="158"/>
      <c r="T388" s="158"/>
      <c r="U388" s="158"/>
      <c r="V388" s="159"/>
      <c r="X388" s="68"/>
      <c r="Y388" s="68"/>
      <c r="Z388" s="68"/>
    </row>
    <row r="389" spans="15:26">
      <c r="O389" s="64">
        <v>42552</v>
      </c>
      <c r="P389" s="67"/>
      <c r="Q389" s="158"/>
      <c r="R389" s="158"/>
      <c r="S389" s="158"/>
      <c r="T389" s="158"/>
      <c r="U389" s="158"/>
      <c r="V389" s="159"/>
      <c r="X389" s="68"/>
      <c r="Y389" s="68"/>
      <c r="Z389" s="68"/>
    </row>
    <row r="390" spans="15:26">
      <c r="O390" s="63"/>
      <c r="P390" s="67"/>
      <c r="Q390" s="158"/>
      <c r="R390" s="158"/>
      <c r="S390" s="158"/>
      <c r="T390" s="158"/>
      <c r="U390" s="158"/>
      <c r="V390" s="159"/>
      <c r="X390" s="68"/>
      <c r="Y390" s="68"/>
      <c r="Z390" s="68"/>
    </row>
    <row r="391" spans="15:26">
      <c r="O391" s="63"/>
      <c r="P391" s="67"/>
      <c r="Q391" s="158"/>
      <c r="R391" s="158"/>
      <c r="S391" s="158"/>
      <c r="T391" s="158"/>
      <c r="U391" s="158"/>
      <c r="V391" s="159"/>
      <c r="X391" s="68"/>
      <c r="Y391" s="68"/>
      <c r="Z391" s="68"/>
    </row>
    <row r="392" spans="15:26">
      <c r="O392" s="63"/>
      <c r="P392" s="67"/>
      <c r="Q392" s="158"/>
      <c r="R392" s="158"/>
      <c r="S392" s="158"/>
      <c r="T392" s="158"/>
      <c r="U392" s="158"/>
      <c r="V392" s="159"/>
      <c r="X392" s="68"/>
      <c r="Y392" s="68"/>
      <c r="Z392" s="68"/>
    </row>
    <row r="393" spans="15:26">
      <c r="O393" s="63"/>
      <c r="P393" s="67"/>
      <c r="Q393" s="158"/>
      <c r="R393" s="158"/>
      <c r="S393" s="158"/>
      <c r="T393" s="158"/>
      <c r="U393" s="158"/>
      <c r="V393" s="159"/>
      <c r="X393" s="68"/>
      <c r="Y393" s="68"/>
      <c r="Z393" s="68"/>
    </row>
    <row r="394" spans="15:26">
      <c r="O394" s="63"/>
      <c r="P394" s="67"/>
      <c r="Q394" s="158"/>
      <c r="R394" s="158"/>
      <c r="S394" s="158"/>
      <c r="T394" s="158"/>
      <c r="U394" s="158"/>
      <c r="V394" s="159"/>
      <c r="X394" s="68"/>
      <c r="Y394" s="68"/>
      <c r="Z394" s="68"/>
    </row>
    <row r="395" spans="15:26">
      <c r="O395" s="63"/>
      <c r="P395" s="67"/>
      <c r="Q395" s="158"/>
      <c r="R395" s="158"/>
      <c r="S395" s="158"/>
      <c r="T395" s="158"/>
      <c r="U395" s="158"/>
      <c r="V395" s="159"/>
      <c r="X395" s="68"/>
      <c r="Y395" s="68"/>
      <c r="Z395" s="68"/>
    </row>
    <row r="396" spans="15:26">
      <c r="O396" s="63"/>
      <c r="P396" s="67"/>
      <c r="Q396" s="158"/>
      <c r="R396" s="158"/>
      <c r="S396" s="158"/>
      <c r="T396" s="158"/>
      <c r="U396" s="158"/>
      <c r="V396" s="159"/>
      <c r="X396" s="68"/>
      <c r="Y396" s="68"/>
      <c r="Z396" s="68"/>
    </row>
    <row r="397" spans="15:26">
      <c r="O397" s="63"/>
      <c r="P397" s="67"/>
      <c r="Q397" s="158"/>
      <c r="R397" s="158"/>
      <c r="S397" s="158"/>
      <c r="T397" s="158"/>
      <c r="U397" s="158"/>
      <c r="V397" s="159"/>
      <c r="X397" s="68"/>
      <c r="Y397" s="68"/>
      <c r="Z397" s="68"/>
    </row>
    <row r="398" spans="15:26">
      <c r="O398" s="63"/>
      <c r="P398" s="67"/>
      <c r="Q398" s="158"/>
      <c r="R398" s="158"/>
      <c r="S398" s="158"/>
      <c r="T398" s="158"/>
      <c r="U398" s="158"/>
      <c r="V398" s="159"/>
      <c r="X398" s="68"/>
      <c r="Y398" s="68"/>
      <c r="Z398" s="68"/>
    </row>
    <row r="399" spans="15:26">
      <c r="O399" s="63"/>
      <c r="P399" s="67"/>
      <c r="Q399" s="158"/>
      <c r="R399" s="158"/>
      <c r="S399" s="158"/>
      <c r="T399" s="158"/>
      <c r="U399" s="158"/>
      <c r="V399" s="159"/>
      <c r="X399" s="68"/>
      <c r="Y399" s="68"/>
      <c r="Z399" s="68"/>
    </row>
    <row r="400" spans="15:26">
      <c r="O400" s="63"/>
      <c r="P400" s="67"/>
      <c r="Q400" s="158"/>
      <c r="R400" s="158"/>
      <c r="S400" s="158"/>
      <c r="T400" s="158"/>
      <c r="U400" s="158"/>
      <c r="V400" s="159"/>
      <c r="X400" s="68"/>
      <c r="Y400" s="68"/>
      <c r="Z400" s="68"/>
    </row>
    <row r="401" spans="15:26">
      <c r="O401" s="63"/>
      <c r="P401" s="67"/>
      <c r="Q401" s="158"/>
      <c r="R401" s="158"/>
      <c r="S401" s="158"/>
      <c r="T401" s="158"/>
      <c r="U401" s="158"/>
      <c r="V401" s="159"/>
      <c r="X401" s="68"/>
      <c r="Y401" s="68"/>
      <c r="Z401" s="68"/>
    </row>
    <row r="402" spans="15:26">
      <c r="O402" s="63"/>
      <c r="P402" s="67"/>
      <c r="Q402" s="158"/>
      <c r="R402" s="158"/>
      <c r="S402" s="158"/>
      <c r="T402" s="158"/>
      <c r="U402" s="158"/>
      <c r="V402" s="159"/>
      <c r="X402" s="68"/>
      <c r="Y402" s="68"/>
      <c r="Z402" s="68"/>
    </row>
    <row r="403" spans="15:26">
      <c r="O403" s="63"/>
      <c r="P403" s="67"/>
      <c r="Q403" s="158"/>
      <c r="R403" s="158"/>
      <c r="S403" s="158"/>
      <c r="T403" s="158"/>
      <c r="U403" s="158"/>
      <c r="V403" s="159"/>
      <c r="X403" s="68"/>
      <c r="Y403" s="68"/>
      <c r="Z403" s="68"/>
    </row>
    <row r="404" spans="15:26">
      <c r="O404" s="63"/>
      <c r="P404" s="67"/>
      <c r="Q404" s="158"/>
      <c r="R404" s="158"/>
      <c r="S404" s="158"/>
      <c r="T404" s="158"/>
      <c r="U404" s="158"/>
      <c r="V404" s="159"/>
      <c r="X404" s="68"/>
      <c r="Y404" s="68"/>
      <c r="Z404" s="68"/>
    </row>
    <row r="405" spans="15:26">
      <c r="O405" s="63"/>
      <c r="P405" s="67"/>
      <c r="Q405" s="158"/>
      <c r="R405" s="158"/>
      <c r="S405" s="158"/>
      <c r="T405" s="158"/>
      <c r="U405" s="158"/>
      <c r="V405" s="159"/>
      <c r="X405" s="68"/>
      <c r="Y405" s="68"/>
      <c r="Z405" s="68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/>
  </sheetPr>
  <dimension ref="A1:R43"/>
  <sheetViews>
    <sheetView showGridLines="0" showRowColHeaders="0" showOutlineSymbols="0" zoomScaleNormal="100" workbookViewId="0">
      <selection activeCell="G24" sqref="G24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59.85546875" style="75" customWidth="1"/>
    <col min="6" max="6" width="11.42578125" style="89"/>
    <col min="7" max="7" width="15.85546875" style="89" customWidth="1"/>
    <col min="8" max="16384" width="11.42578125" style="89"/>
  </cols>
  <sheetData>
    <row r="1" spans="2:18" s="75" customFormat="1" ht="0.75" customHeight="1"/>
    <row r="2" spans="2:18" s="75" customFormat="1" ht="21" customHeight="1">
      <c r="E2" s="106" t="s">
        <v>1</v>
      </c>
    </row>
    <row r="3" spans="2:18" s="75" customFormat="1" ht="15" customHeight="1">
      <c r="E3" s="115" t="str">
        <f>Indice!E3</f>
        <v>Agosto 2018</v>
      </c>
    </row>
    <row r="4" spans="2:18" s="77" customFormat="1" ht="20.25" customHeight="1">
      <c r="B4" s="76"/>
      <c r="C4" s="105" t="s">
        <v>69</v>
      </c>
    </row>
    <row r="5" spans="2:18" s="77" customFormat="1" ht="12.75" customHeight="1">
      <c r="B5" s="76"/>
      <c r="C5" s="78"/>
    </row>
    <row r="6" spans="2:18" s="77" customFormat="1" ht="13.5" customHeight="1">
      <c r="B6" s="76"/>
      <c r="C6" s="79"/>
      <c r="D6" s="80"/>
      <c r="E6" s="80"/>
    </row>
    <row r="7" spans="2:18" s="77" customFormat="1" ht="12.75" customHeight="1">
      <c r="B7" s="76"/>
      <c r="C7" s="297" t="s">
        <v>79</v>
      </c>
      <c r="D7" s="80"/>
      <c r="E7" s="81"/>
      <c r="P7" s="82"/>
      <c r="Q7" s="82"/>
      <c r="R7" s="82"/>
    </row>
    <row r="8" spans="2:18" s="77" customFormat="1" ht="12.75" customHeight="1">
      <c r="B8" s="76"/>
      <c r="C8" s="297"/>
      <c r="D8" s="80"/>
      <c r="E8" s="81"/>
      <c r="P8" s="83"/>
      <c r="Q8" s="83"/>
      <c r="R8" s="83"/>
    </row>
    <row r="9" spans="2:18" s="77" customFormat="1" ht="12.75" customHeight="1">
      <c r="B9" s="76"/>
      <c r="C9" s="297"/>
      <c r="D9" s="80"/>
      <c r="E9" s="81"/>
      <c r="P9" s="84"/>
      <c r="Q9" s="84"/>
      <c r="R9" s="84"/>
    </row>
    <row r="10" spans="2:18" s="77" customFormat="1" ht="12.75" customHeight="1">
      <c r="B10" s="76"/>
      <c r="C10" s="91"/>
      <c r="D10" s="80"/>
      <c r="E10" s="81"/>
      <c r="P10" s="84"/>
      <c r="Q10" s="84"/>
      <c r="R10" s="84"/>
    </row>
    <row r="11" spans="2:18" s="77" customFormat="1" ht="12.75" customHeight="1">
      <c r="B11" s="76"/>
      <c r="C11" s="91"/>
      <c r="D11" s="80"/>
      <c r="E11" s="85"/>
      <c r="P11" s="84"/>
      <c r="Q11" s="84"/>
      <c r="R11" s="84"/>
    </row>
    <row r="12" spans="2:18" s="77" customFormat="1" ht="12.75" customHeight="1">
      <c r="B12" s="76"/>
      <c r="C12" s="91"/>
      <c r="D12" s="80"/>
      <c r="E12" s="85"/>
      <c r="P12" s="84"/>
      <c r="Q12" s="84"/>
      <c r="R12" s="84"/>
    </row>
    <row r="13" spans="2:18" s="77" customFormat="1" ht="12.75" customHeight="1">
      <c r="B13" s="76"/>
      <c r="C13" s="91"/>
      <c r="D13" s="80"/>
      <c r="E13" s="85"/>
      <c r="P13" s="84"/>
      <c r="Q13" s="84"/>
      <c r="R13" s="84"/>
    </row>
    <row r="14" spans="2:18" s="77" customFormat="1" ht="12.75" customHeight="1">
      <c r="B14" s="76"/>
      <c r="C14" s="79"/>
      <c r="D14" s="80"/>
      <c r="E14" s="85"/>
      <c r="P14" s="84"/>
      <c r="Q14" s="84"/>
      <c r="R14" s="84"/>
    </row>
    <row r="15" spans="2:18" s="77" customFormat="1" ht="12.75" customHeight="1">
      <c r="B15" s="76"/>
      <c r="C15" s="79"/>
      <c r="D15" s="80"/>
      <c r="E15" s="85"/>
      <c r="P15" s="84"/>
      <c r="Q15" s="84"/>
      <c r="R15" s="84"/>
    </row>
    <row r="16" spans="2:18" s="77" customFormat="1" ht="12.75" customHeight="1">
      <c r="B16" s="76"/>
      <c r="C16" s="79"/>
      <c r="D16" s="80"/>
      <c r="E16" s="85"/>
      <c r="P16" s="84"/>
      <c r="Q16" s="84"/>
      <c r="R16" s="84"/>
    </row>
    <row r="17" spans="2:9" s="77" customFormat="1" ht="12.75" customHeight="1">
      <c r="B17" s="76"/>
      <c r="C17" s="79"/>
      <c r="D17" s="80"/>
      <c r="E17" s="85"/>
      <c r="G17" s="87"/>
      <c r="H17" s="86"/>
      <c r="I17" s="86"/>
    </row>
    <row r="18" spans="2:9" s="77" customFormat="1" ht="12.75" customHeight="1">
      <c r="B18" s="76"/>
      <c r="C18" s="79"/>
      <c r="D18" s="80"/>
      <c r="E18" s="85"/>
      <c r="G18" s="87"/>
      <c r="H18" s="86"/>
      <c r="I18" s="86"/>
    </row>
    <row r="19" spans="2:9" s="77" customFormat="1" ht="12.75" customHeight="1">
      <c r="B19" s="76"/>
      <c r="C19" s="79"/>
      <c r="D19" s="80"/>
      <c r="E19" s="85"/>
      <c r="G19" s="87"/>
      <c r="H19" s="86"/>
      <c r="I19" s="86"/>
    </row>
    <row r="20" spans="2:9" s="77" customFormat="1" ht="12.75" customHeight="1">
      <c r="B20" s="76"/>
      <c r="C20" s="79"/>
      <c r="D20" s="80"/>
      <c r="E20" s="85"/>
      <c r="G20" s="87"/>
      <c r="H20" s="86"/>
      <c r="I20" s="86"/>
    </row>
    <row r="21" spans="2:9" s="77" customFormat="1" ht="12.75" customHeight="1">
      <c r="B21" s="76"/>
      <c r="C21" s="79"/>
      <c r="D21" s="80"/>
      <c r="E21" s="85"/>
      <c r="G21" s="87"/>
      <c r="H21" s="86"/>
      <c r="I21" s="86"/>
    </row>
    <row r="22" spans="2:9">
      <c r="E22" s="88"/>
      <c r="H22" s="86"/>
      <c r="I22" s="86"/>
    </row>
    <row r="23" spans="2:9" ht="12.75" customHeight="1">
      <c r="E23" s="88"/>
      <c r="H23" s="86"/>
    </row>
    <row r="24" spans="2:9" ht="12.75" customHeight="1">
      <c r="E24" s="88"/>
    </row>
    <row r="25" spans="2:9">
      <c r="E25" s="88"/>
    </row>
    <row r="26" spans="2:9">
      <c r="E26" s="88"/>
    </row>
    <row r="27" spans="2:9">
      <c r="E27" s="88"/>
    </row>
    <row r="28" spans="2:9">
      <c r="E28" s="293"/>
    </row>
    <row r="29" spans="2:9">
      <c r="E29" s="293"/>
    </row>
    <row r="30" spans="2:9">
      <c r="F30" s="90"/>
    </row>
    <row r="31" spans="2:9">
      <c r="F31" s="90"/>
    </row>
    <row r="32" spans="2:9">
      <c r="F32" s="90"/>
    </row>
    <row r="33" spans="6:14">
      <c r="F33" s="90"/>
    </row>
    <row r="34" spans="6:14">
      <c r="F34" s="90"/>
    </row>
    <row r="35" spans="6:14">
      <c r="F35" s="90"/>
    </row>
    <row r="40" spans="6:14">
      <c r="F40" s="75"/>
      <c r="G40" s="75"/>
      <c r="H40" s="75"/>
      <c r="I40" s="75"/>
      <c r="J40" s="75"/>
      <c r="K40" s="75"/>
      <c r="L40" s="75"/>
      <c r="N40" s="75"/>
    </row>
    <row r="41" spans="6:14">
      <c r="F41" s="75"/>
      <c r="G41" s="75"/>
      <c r="H41" s="75"/>
      <c r="I41" s="75"/>
      <c r="J41" s="75"/>
      <c r="K41" s="75"/>
      <c r="L41" s="75"/>
      <c r="N41" s="75"/>
    </row>
    <row r="42" spans="6:14">
      <c r="F42" s="75"/>
      <c r="G42" s="75"/>
      <c r="H42" s="75"/>
      <c r="I42" s="75"/>
      <c r="J42" s="75"/>
      <c r="K42" s="75"/>
      <c r="L42" s="75"/>
      <c r="N42" s="75"/>
    </row>
    <row r="43" spans="6:14">
      <c r="F43" s="75"/>
      <c r="G43" s="75"/>
      <c r="H43" s="75"/>
      <c r="I43" s="75"/>
      <c r="J43" s="75"/>
      <c r="K43" s="75"/>
      <c r="L43" s="75"/>
      <c r="N43" s="75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1"/>
  <sheetViews>
    <sheetView topLeftCell="A28" zoomScale="80" zoomScaleNormal="80" workbookViewId="0">
      <selection activeCell="B45" sqref="B45"/>
    </sheetView>
  </sheetViews>
  <sheetFormatPr baseColWidth="10" defaultRowHeight="12.75"/>
  <cols>
    <col min="1" max="1" width="26" customWidth="1"/>
    <col min="2" max="7" width="14.7109375" customWidth="1"/>
    <col min="8" max="8" width="23.140625" customWidth="1"/>
    <col min="9" max="26" width="17.5703125" customWidth="1"/>
  </cols>
  <sheetData>
    <row r="1" spans="1:10">
      <c r="A1" s="203" t="s">
        <v>30</v>
      </c>
      <c r="B1" s="203" t="s">
        <v>121</v>
      </c>
    </row>
    <row r="2" spans="1:10">
      <c r="A2" s="197" t="s">
        <v>434</v>
      </c>
      <c r="B2" s="197" t="s">
        <v>557</v>
      </c>
    </row>
    <row r="4" spans="1:10">
      <c r="A4" s="194" t="s">
        <v>30</v>
      </c>
      <c r="B4" s="301" t="s">
        <v>434</v>
      </c>
      <c r="C4" s="302"/>
      <c r="D4" s="302"/>
      <c r="E4" s="302"/>
      <c r="F4" s="302"/>
      <c r="G4" s="302"/>
      <c r="I4" s="194" t="s">
        <v>30</v>
      </c>
      <c r="J4" s="234" t="s">
        <v>434</v>
      </c>
    </row>
    <row r="5" spans="1:10">
      <c r="A5" s="194" t="s">
        <v>117</v>
      </c>
      <c r="B5" s="303" t="s">
        <v>110</v>
      </c>
      <c r="C5" s="304"/>
      <c r="D5" s="304"/>
      <c r="E5" s="304"/>
      <c r="F5" s="304"/>
      <c r="G5" s="304"/>
      <c r="I5" s="203" t="s">
        <v>117</v>
      </c>
      <c r="J5" s="195" t="s">
        <v>110</v>
      </c>
    </row>
    <row r="6" spans="1:10">
      <c r="A6" s="194" t="s">
        <v>118</v>
      </c>
      <c r="B6" s="195" t="s">
        <v>111</v>
      </c>
      <c r="C6" s="195" t="s">
        <v>112</v>
      </c>
      <c r="D6" s="195" t="s">
        <v>113</v>
      </c>
      <c r="E6" s="195" t="s">
        <v>114</v>
      </c>
      <c r="F6" s="195" t="s">
        <v>115</v>
      </c>
      <c r="G6" s="195" t="s">
        <v>116</v>
      </c>
      <c r="I6" s="194" t="s">
        <v>118</v>
      </c>
      <c r="J6" s="195" t="s">
        <v>122</v>
      </c>
    </row>
    <row r="7" spans="1:10">
      <c r="A7" s="194" t="s">
        <v>119</v>
      </c>
      <c r="B7" s="196"/>
      <c r="C7" s="196"/>
      <c r="D7" s="196"/>
      <c r="E7" s="196"/>
      <c r="F7" s="196"/>
      <c r="G7" s="196"/>
      <c r="I7" s="194" t="s">
        <v>119</v>
      </c>
      <c r="J7" s="196"/>
    </row>
    <row r="8" spans="1:10">
      <c r="A8" s="197" t="s">
        <v>2</v>
      </c>
      <c r="B8" s="230">
        <v>2110083.4</v>
      </c>
      <c r="C8" s="199">
        <v>0.94937719490000005</v>
      </c>
      <c r="D8" s="230">
        <v>26060793.064831998</v>
      </c>
      <c r="E8" s="199">
        <v>0.80433883589999999</v>
      </c>
      <c r="F8" s="230">
        <v>30063284.520474002</v>
      </c>
      <c r="G8" s="199">
        <v>0.4265974796</v>
      </c>
      <c r="I8" s="197" t="s">
        <v>2</v>
      </c>
      <c r="J8" s="198">
        <v>17048.698629999999</v>
      </c>
    </row>
    <row r="9" spans="1:10">
      <c r="A9" s="197" t="s">
        <v>83</v>
      </c>
      <c r="B9" s="230">
        <v>50643.9</v>
      </c>
      <c r="C9" s="199">
        <v>-0.54864916500000005</v>
      </c>
      <c r="D9" s="230">
        <v>1467420.549168</v>
      </c>
      <c r="E9" s="199">
        <v>1.6562012E-3</v>
      </c>
      <c r="F9" s="230">
        <v>2251390.7435260001</v>
      </c>
      <c r="G9" s="199">
        <v>6.5276750000000001E-3</v>
      </c>
      <c r="I9" s="197" t="s">
        <v>83</v>
      </c>
      <c r="J9" s="198">
        <v>3328.8900000000003</v>
      </c>
    </row>
    <row r="10" spans="1:10">
      <c r="A10" s="197" t="s">
        <v>3</v>
      </c>
      <c r="B10" s="230">
        <v>5140758.5</v>
      </c>
      <c r="C10" s="199">
        <v>1.2169121E-2</v>
      </c>
      <c r="D10" s="230">
        <v>34922402.263999999</v>
      </c>
      <c r="E10" s="199">
        <v>-7.7950802099999994E-2</v>
      </c>
      <c r="F10" s="230">
        <v>52587192.719999999</v>
      </c>
      <c r="G10" s="199">
        <v>-6.2054553899999997E-2</v>
      </c>
      <c r="I10" s="197" t="s">
        <v>3</v>
      </c>
      <c r="J10" s="198">
        <v>7117.29</v>
      </c>
    </row>
    <row r="11" spans="1:10">
      <c r="A11" s="197" t="s">
        <v>4</v>
      </c>
      <c r="B11" s="230">
        <v>3524248.5</v>
      </c>
      <c r="C11" s="199">
        <v>0.1896461861</v>
      </c>
      <c r="D11" s="230">
        <v>20720435.392000001</v>
      </c>
      <c r="E11" s="199">
        <v>-0.22991232</v>
      </c>
      <c r="F11" s="230">
        <v>36235956.230999999</v>
      </c>
      <c r="G11" s="199">
        <v>-0.1938558937</v>
      </c>
      <c r="I11" s="197" t="s">
        <v>4</v>
      </c>
      <c r="J11" s="198">
        <v>9535.869999999999</v>
      </c>
    </row>
    <row r="12" spans="1:10">
      <c r="A12" s="197" t="s">
        <v>107</v>
      </c>
      <c r="B12" s="230">
        <v>0</v>
      </c>
      <c r="C12" s="199">
        <v>-1</v>
      </c>
      <c r="D12" s="230">
        <v>0</v>
      </c>
      <c r="E12" s="199">
        <v>-1</v>
      </c>
      <c r="F12" s="230">
        <v>0</v>
      </c>
      <c r="G12" s="199">
        <v>-1</v>
      </c>
      <c r="I12" s="197" t="s">
        <v>107</v>
      </c>
      <c r="J12" s="198"/>
    </row>
    <row r="13" spans="1:10">
      <c r="A13" s="197" t="s">
        <v>11</v>
      </c>
      <c r="B13" s="230">
        <v>2703953.2</v>
      </c>
      <c r="C13" s="199">
        <v>-0.21724737899999999</v>
      </c>
      <c r="D13" s="230">
        <v>15735908.615</v>
      </c>
      <c r="E13" s="199">
        <v>-0.1729619503</v>
      </c>
      <c r="F13" s="230">
        <v>30357069.015999999</v>
      </c>
      <c r="G13" s="199">
        <v>-2.5087005200000002E-2</v>
      </c>
      <c r="I13" s="197" t="s">
        <v>11</v>
      </c>
      <c r="J13" s="198">
        <v>24561.86</v>
      </c>
    </row>
    <row r="14" spans="1:10">
      <c r="A14" s="197" t="s">
        <v>5</v>
      </c>
      <c r="B14" s="230">
        <v>3056729</v>
      </c>
      <c r="C14" s="199">
        <v>-7.2696085399999999E-2</v>
      </c>
      <c r="D14" s="230">
        <v>33336891.817000002</v>
      </c>
      <c r="E14" s="199">
        <v>4.8552183999999998E-2</v>
      </c>
      <c r="F14" s="230">
        <v>49052064.006999999</v>
      </c>
      <c r="G14" s="199">
        <v>0.1303205268</v>
      </c>
      <c r="I14" s="197" t="s">
        <v>5</v>
      </c>
      <c r="J14" s="198">
        <v>22949.602749999998</v>
      </c>
    </row>
    <row r="15" spans="1:10">
      <c r="A15" s="197" t="s">
        <v>6</v>
      </c>
      <c r="B15" s="230">
        <v>790109.54743100004</v>
      </c>
      <c r="C15" s="199">
        <v>1.3152119300000001E-2</v>
      </c>
      <c r="D15" s="230">
        <v>5354296.4744309997</v>
      </c>
      <c r="E15" s="199">
        <v>-5.7254190699999999E-2</v>
      </c>
      <c r="F15" s="230">
        <v>7674897.2324310001</v>
      </c>
      <c r="G15" s="199">
        <v>-6.6741578999999999E-3</v>
      </c>
      <c r="I15" s="197" t="s">
        <v>6</v>
      </c>
      <c r="J15" s="198">
        <v>4454.2677130001284</v>
      </c>
    </row>
    <row r="16" spans="1:10">
      <c r="A16" s="197" t="s">
        <v>7</v>
      </c>
      <c r="B16" s="230">
        <v>743081.35256899998</v>
      </c>
      <c r="C16" s="199">
        <v>7.3142121300000001E-2</v>
      </c>
      <c r="D16" s="230">
        <v>3532564.9405689999</v>
      </c>
      <c r="E16" s="199">
        <v>-0.1144609325</v>
      </c>
      <c r="F16" s="230">
        <v>4891314.1955690002</v>
      </c>
      <c r="G16" s="199">
        <v>-4.6031641099999999E-2</v>
      </c>
      <c r="I16" s="197" t="s">
        <v>7</v>
      </c>
      <c r="J16" s="198">
        <v>2304.1129999999998</v>
      </c>
    </row>
    <row r="17" spans="1:10">
      <c r="A17" s="197" t="s">
        <v>8</v>
      </c>
      <c r="B17" s="230">
        <v>321391.7</v>
      </c>
      <c r="C17" s="199">
        <v>1.9408694800000001E-2</v>
      </c>
      <c r="D17" s="230">
        <v>2343168.3629999999</v>
      </c>
      <c r="E17" s="199">
        <v>-8.3264736999999998E-3</v>
      </c>
      <c r="F17" s="230">
        <v>3579075.68</v>
      </c>
      <c r="G17" s="199">
        <v>-1.5471839E-3</v>
      </c>
      <c r="I17" s="197" t="s">
        <v>8</v>
      </c>
      <c r="J17" s="198">
        <v>857.53899999999987</v>
      </c>
    </row>
    <row r="18" spans="1:10">
      <c r="A18" s="197" t="s">
        <v>9</v>
      </c>
      <c r="B18" s="230">
        <v>2367308.5</v>
      </c>
      <c r="C18" s="199">
        <v>4.8568202999999997E-2</v>
      </c>
      <c r="D18" s="230">
        <v>19041204.431000002</v>
      </c>
      <c r="E18" s="199">
        <v>2.4887263600000001E-2</v>
      </c>
      <c r="F18" s="230">
        <v>28637672.837000001</v>
      </c>
      <c r="G18" s="199">
        <v>3.5575687100000003E-2</v>
      </c>
      <c r="I18" s="197" t="s">
        <v>9</v>
      </c>
      <c r="J18" s="198">
        <v>5815.243010000002</v>
      </c>
    </row>
    <row r="19" spans="1:10">
      <c r="A19" s="197" t="s">
        <v>71</v>
      </c>
      <c r="B19" s="230">
        <v>66838.45</v>
      </c>
      <c r="C19" s="199">
        <v>1.7309037999999999E-2</v>
      </c>
      <c r="D19" s="230">
        <v>471095.81949999998</v>
      </c>
      <c r="E19" s="199">
        <v>1.7349181700000001E-2</v>
      </c>
      <c r="F19" s="230">
        <v>736184.18099999998</v>
      </c>
      <c r="G19" s="199">
        <v>2.2747034400000001E-2</v>
      </c>
      <c r="I19" s="197" t="s">
        <v>71</v>
      </c>
      <c r="J19" s="198">
        <v>123.0415</v>
      </c>
    </row>
    <row r="20" spans="1:10">
      <c r="A20" s="197" t="s">
        <v>72</v>
      </c>
      <c r="B20" s="230">
        <v>200260.25</v>
      </c>
      <c r="C20" s="199">
        <v>-6.9573063500000004E-2</v>
      </c>
      <c r="D20" s="230">
        <v>1527915.0155</v>
      </c>
      <c r="E20" s="199">
        <v>-4.0464801799999998E-2</v>
      </c>
      <c r="F20" s="230">
        <v>2394679.798</v>
      </c>
      <c r="G20" s="199">
        <v>-2.9709757100000001E-2</v>
      </c>
      <c r="I20" s="197" t="s">
        <v>72</v>
      </c>
      <c r="J20" s="198">
        <v>458.90549999999996</v>
      </c>
    </row>
    <row r="21" spans="1:10">
      <c r="A21" s="200" t="s">
        <v>10</v>
      </c>
      <c r="B21" s="231">
        <v>21075406.300000001</v>
      </c>
      <c r="C21" s="202">
        <v>3.7534782500000002E-2</v>
      </c>
      <c r="D21" s="231">
        <v>164514096.74599999</v>
      </c>
      <c r="E21" s="202">
        <v>2.0620002000000001E-3</v>
      </c>
      <c r="F21" s="231">
        <v>248460781.162</v>
      </c>
      <c r="G21" s="202">
        <v>9.4236527E-3</v>
      </c>
      <c r="I21" s="200" t="s">
        <v>10</v>
      </c>
      <c r="J21" s="201">
        <f>SUM(J8:J20)</f>
        <v>98555.321103000126</v>
      </c>
    </row>
    <row r="22" spans="1:10">
      <c r="A22" s="197" t="s">
        <v>428</v>
      </c>
      <c r="B22" s="230">
        <v>-73144.5</v>
      </c>
      <c r="C22" s="199">
        <v>-0.64305760469999995</v>
      </c>
      <c r="D22" s="230">
        <v>-2366884.6706210002</v>
      </c>
      <c r="E22" s="199">
        <v>-1.19353229E-2</v>
      </c>
      <c r="F22" s="230">
        <v>-3578990.214621</v>
      </c>
      <c r="G22" s="199">
        <v>3.8861286299999999E-2</v>
      </c>
    </row>
    <row r="23" spans="1:10">
      <c r="A23" s="197" t="s">
        <v>109</v>
      </c>
      <c r="B23" s="230">
        <v>-153371.79999999999</v>
      </c>
      <c r="C23" s="199">
        <v>-8.0924909399999995E-2</v>
      </c>
      <c r="D23" s="230">
        <v>-856013.75199999998</v>
      </c>
      <c r="E23" s="199">
        <v>5.9440112000000003E-2</v>
      </c>
      <c r="F23" s="230">
        <v>-1227333.4750000001</v>
      </c>
      <c r="G23" s="199">
        <v>6.5173061000000004E-2</v>
      </c>
    </row>
    <row r="24" spans="1:10">
      <c r="A24" s="197" t="s">
        <v>429</v>
      </c>
      <c r="B24" s="230">
        <v>1234324.1000000001</v>
      </c>
      <c r="C24" s="199">
        <v>-0.3247372416</v>
      </c>
      <c r="D24" s="230">
        <v>9166764.4539999999</v>
      </c>
      <c r="E24" s="199">
        <v>0.12024138180000001</v>
      </c>
      <c r="F24" s="230">
        <v>10152910.42</v>
      </c>
      <c r="G24" s="199">
        <v>-1.3194000000000001E-3</v>
      </c>
    </row>
    <row r="25" spans="1:10">
      <c r="A25" s="200" t="s">
        <v>430</v>
      </c>
      <c r="B25" s="231">
        <v>22083214.100000001</v>
      </c>
      <c r="C25" s="202">
        <v>1.4430078400000001E-2</v>
      </c>
      <c r="D25" s="231">
        <v>170457962.77737901</v>
      </c>
      <c r="E25" s="202">
        <v>7.7030609000000002E-3</v>
      </c>
      <c r="F25" s="231">
        <v>253807367.89237899</v>
      </c>
      <c r="G25" s="202">
        <v>8.3316436000000008E-3</v>
      </c>
    </row>
    <row r="31" spans="1:10">
      <c r="A31" s="108" t="s">
        <v>56</v>
      </c>
      <c r="B31" s="180"/>
      <c r="C31" s="180"/>
      <c r="D31" s="180"/>
      <c r="E31" s="181"/>
      <c r="F31" s="181"/>
    </row>
    <row r="32" spans="1:10">
      <c r="A32" s="109"/>
      <c r="B32" s="92" t="s">
        <v>57</v>
      </c>
      <c r="C32" s="92" t="s">
        <v>14</v>
      </c>
      <c r="D32" s="110"/>
      <c r="E32" s="185"/>
      <c r="F32" s="186" t="s">
        <v>14</v>
      </c>
    </row>
    <row r="33" spans="1:6">
      <c r="A33" s="140" t="s">
        <v>83</v>
      </c>
      <c r="B33" s="136">
        <f>VLOOKUP(A33,I$8:J$22,2,FALSE)</f>
        <v>3328.8900000000003</v>
      </c>
      <c r="C33" s="112">
        <f>B33/$B$45*100</f>
        <v>3.3776867273568905</v>
      </c>
      <c r="D33" s="110"/>
      <c r="E33" s="183" t="s">
        <v>16</v>
      </c>
      <c r="F33" s="184">
        <f>SUM(C33:C38)</f>
        <v>51.562977971417759</v>
      </c>
    </row>
    <row r="34" spans="1:6">
      <c r="A34" s="111" t="s">
        <v>3</v>
      </c>
      <c r="B34" s="136">
        <f t="shared" ref="B34:B44" si="0">VLOOKUP(A34,I$8:J$22,2,FALSE)</f>
        <v>7117.29</v>
      </c>
      <c r="C34" s="112">
        <f t="shared" ref="C34:C44" si="1">B34/$B$45*100</f>
        <v>7.221619208730214</v>
      </c>
      <c r="D34" s="110"/>
      <c r="E34" s="187" t="s">
        <v>17</v>
      </c>
      <c r="F34" s="188">
        <f>SUM(C39:C44)</f>
        <v>48.43702202858222</v>
      </c>
    </row>
    <row r="35" spans="1:6">
      <c r="A35" s="111" t="s">
        <v>4</v>
      </c>
      <c r="B35" s="136">
        <f t="shared" si="0"/>
        <v>9535.869999999999</v>
      </c>
      <c r="C35" s="112">
        <f t="shared" si="1"/>
        <v>9.6756521040949828</v>
      </c>
      <c r="D35" s="110"/>
      <c r="E35" s="181"/>
      <c r="F35" s="181"/>
    </row>
    <row r="36" spans="1:6">
      <c r="A36" s="111" t="s">
        <v>11</v>
      </c>
      <c r="B36" s="136">
        <f t="shared" si="0"/>
        <v>24561.86</v>
      </c>
      <c r="C36" s="112">
        <f t="shared" si="1"/>
        <v>24.921901450993609</v>
      </c>
      <c r="D36" s="110"/>
      <c r="E36" s="181"/>
      <c r="F36" s="181"/>
    </row>
    <row r="37" spans="1:6">
      <c r="A37" s="111" t="s">
        <v>9</v>
      </c>
      <c r="B37" s="136">
        <f t="shared" si="0"/>
        <v>5815.243010000002</v>
      </c>
      <c r="C37" s="112">
        <f t="shared" si="1"/>
        <v>5.9004860873239844</v>
      </c>
      <c r="D37" s="110"/>
      <c r="E37" s="181"/>
      <c r="F37" s="181"/>
    </row>
    <row r="38" spans="1:6">
      <c r="A38" s="111" t="s">
        <v>72</v>
      </c>
      <c r="B38" s="136">
        <f t="shared" si="0"/>
        <v>458.90549999999996</v>
      </c>
      <c r="C38" s="112">
        <f t="shared" si="1"/>
        <v>0.465632392918083</v>
      </c>
      <c r="D38" s="110"/>
      <c r="E38" s="181"/>
      <c r="F38" s="181"/>
    </row>
    <row r="39" spans="1:6">
      <c r="A39" s="111" t="s">
        <v>71</v>
      </c>
      <c r="B39" s="136">
        <f t="shared" si="0"/>
        <v>123.0415</v>
      </c>
      <c r="C39" s="112">
        <f t="shared" si="1"/>
        <v>0.1248451109721507</v>
      </c>
      <c r="D39" s="110"/>
      <c r="E39" s="181"/>
      <c r="F39" s="181"/>
    </row>
    <row r="40" spans="1:6">
      <c r="A40" s="111" t="s">
        <v>5</v>
      </c>
      <c r="B40" s="136">
        <f t="shared" si="0"/>
        <v>22949.602749999998</v>
      </c>
      <c r="C40" s="112">
        <f t="shared" si="1"/>
        <v>23.286010834478816</v>
      </c>
      <c r="D40" s="110"/>
      <c r="E40" s="181"/>
      <c r="F40" s="181"/>
    </row>
    <row r="41" spans="1:6">
      <c r="A41" s="111" t="s">
        <v>2</v>
      </c>
      <c r="B41" s="136">
        <f t="shared" si="0"/>
        <v>17048.698629999999</v>
      </c>
      <c r="C41" s="112">
        <f t="shared" si="1"/>
        <v>17.298607968799988</v>
      </c>
      <c r="D41" s="110"/>
      <c r="E41" s="181"/>
      <c r="F41" s="181"/>
    </row>
    <row r="42" spans="1:6">
      <c r="A42" s="111" t="s">
        <v>6</v>
      </c>
      <c r="B42" s="136">
        <f t="shared" si="0"/>
        <v>4454.2677130001284</v>
      </c>
      <c r="C42" s="112">
        <f t="shared" si="1"/>
        <v>4.5195608549080513</v>
      </c>
      <c r="D42" s="110"/>
      <c r="E42" s="181"/>
      <c r="F42" s="181"/>
    </row>
    <row r="43" spans="1:6">
      <c r="A43" s="111" t="s">
        <v>7</v>
      </c>
      <c r="B43" s="136">
        <f t="shared" si="0"/>
        <v>2304.1129999999998</v>
      </c>
      <c r="C43" s="112">
        <f t="shared" si="1"/>
        <v>2.3378879741987468</v>
      </c>
      <c r="D43" s="110"/>
      <c r="E43" s="181"/>
      <c r="F43" s="181"/>
    </row>
    <row r="44" spans="1:6">
      <c r="A44" s="111" t="s">
        <v>8</v>
      </c>
      <c r="B44" s="136">
        <f t="shared" si="0"/>
        <v>857.53899999999987</v>
      </c>
      <c r="C44" s="112">
        <f t="shared" si="1"/>
        <v>0.87010928522447428</v>
      </c>
      <c r="D44" s="110"/>
      <c r="E44" s="181"/>
      <c r="F44" s="181"/>
    </row>
    <row r="45" spans="1:6">
      <c r="A45" s="113" t="s">
        <v>15</v>
      </c>
      <c r="B45" s="137">
        <f>SUM(B33:B44)</f>
        <v>98555.32110300014</v>
      </c>
      <c r="C45" s="114">
        <f>SUM(C33:C44)</f>
        <v>99.999999999999986</v>
      </c>
      <c r="D45" s="110"/>
      <c r="E45" s="181"/>
      <c r="F45" s="181"/>
    </row>
    <row r="48" spans="1:6">
      <c r="A48" s="108" t="s">
        <v>59</v>
      </c>
      <c r="B48" s="180"/>
      <c r="C48" s="180"/>
      <c r="D48" s="180"/>
      <c r="E48" s="181"/>
      <c r="F48" s="181"/>
    </row>
    <row r="49" spans="1:6">
      <c r="A49" s="109"/>
      <c r="B49" s="92" t="s">
        <v>0</v>
      </c>
      <c r="C49" s="92" t="s">
        <v>14</v>
      </c>
      <c r="D49" s="110"/>
      <c r="E49" s="185"/>
      <c r="F49" s="186" t="s">
        <v>14</v>
      </c>
    </row>
    <row r="50" spans="1:6">
      <c r="A50" s="140" t="s">
        <v>83</v>
      </c>
      <c r="B50" s="191">
        <f>VLOOKUP(A33,A$8:B$22,2,FALSE)/1000</f>
        <v>50.643900000000002</v>
      </c>
      <c r="C50" s="112">
        <f>ROUND(B50/$B$62*100,1)</f>
        <v>0.2</v>
      </c>
      <c r="D50" s="110"/>
      <c r="E50" s="183" t="s">
        <v>16</v>
      </c>
      <c r="F50" s="184">
        <f>SUM(C50:C55)</f>
        <v>66.475039126529197</v>
      </c>
    </row>
    <row r="51" spans="1:6">
      <c r="A51" s="111" t="s">
        <v>3</v>
      </c>
      <c r="B51" s="191">
        <f t="shared" ref="B51:B61" si="2">VLOOKUP(A34,A$8:B$22,2,FALSE)/1000</f>
        <v>5140.7584999999999</v>
      </c>
      <c r="C51" s="112">
        <f t="shared" ref="C51:C60" si="3">ROUND(B51/$B$62*100,1)</f>
        <v>24.4</v>
      </c>
      <c r="D51" s="138"/>
      <c r="E51" s="187" t="s">
        <v>17</v>
      </c>
      <c r="F51" s="188">
        <f>SUM(C56:C61)</f>
        <v>33.524960873470803</v>
      </c>
    </row>
    <row r="52" spans="1:6">
      <c r="A52" s="111" t="s">
        <v>4</v>
      </c>
      <c r="B52" s="191">
        <f t="shared" si="2"/>
        <v>3524.2485000000001</v>
      </c>
      <c r="C52" s="112">
        <f t="shared" si="3"/>
        <v>16.7</v>
      </c>
      <c r="D52" s="138"/>
      <c r="E52" s="181"/>
      <c r="F52" s="181"/>
    </row>
    <row r="53" spans="1:6">
      <c r="A53" s="111" t="s">
        <v>11</v>
      </c>
      <c r="B53" s="191">
        <f t="shared" si="2"/>
        <v>2703.9532000000004</v>
      </c>
      <c r="C53" s="112">
        <f t="shared" si="3"/>
        <v>12.8</v>
      </c>
      <c r="D53" s="138"/>
      <c r="E53" s="181"/>
      <c r="F53" s="181"/>
    </row>
    <row r="54" spans="1:6">
      <c r="A54" s="111" t="s">
        <v>9</v>
      </c>
      <c r="B54" s="191">
        <f t="shared" si="2"/>
        <v>2367.3085000000001</v>
      </c>
      <c r="C54" s="112">
        <f>100-SUM(C50:C53,C55:C61)</f>
        <v>11.375039126529202</v>
      </c>
      <c r="D54" s="138"/>
      <c r="E54" s="181"/>
      <c r="F54" s="182"/>
    </row>
    <row r="55" spans="1:6">
      <c r="A55" s="111" t="s">
        <v>72</v>
      </c>
      <c r="B55" s="191">
        <f t="shared" si="2"/>
        <v>200.26025000000001</v>
      </c>
      <c r="C55" s="112">
        <f t="shared" si="3"/>
        <v>1</v>
      </c>
      <c r="D55" s="138"/>
      <c r="E55" s="181"/>
      <c r="F55" s="181"/>
    </row>
    <row r="56" spans="1:6">
      <c r="A56" s="111" t="s">
        <v>71</v>
      </c>
      <c r="B56" s="191">
        <f t="shared" si="2"/>
        <v>66.838449999999995</v>
      </c>
      <c r="C56" s="112">
        <f t="shared" si="3"/>
        <v>0.3</v>
      </c>
      <c r="D56" s="138"/>
      <c r="E56" s="181"/>
      <c r="F56" s="181"/>
    </row>
    <row r="57" spans="1:6">
      <c r="A57" s="111" t="s">
        <v>5</v>
      </c>
      <c r="B57" s="191">
        <f t="shared" si="2"/>
        <v>3056.7289999999998</v>
      </c>
      <c r="C57" s="112">
        <f t="shared" si="3"/>
        <v>14.5</v>
      </c>
      <c r="D57" s="138"/>
      <c r="E57" s="181"/>
      <c r="F57" s="181"/>
    </row>
    <row r="58" spans="1:6">
      <c r="A58" s="111" t="s">
        <v>2</v>
      </c>
      <c r="B58" s="191">
        <f t="shared" si="2"/>
        <v>2110.0834</v>
      </c>
      <c r="C58" s="112">
        <f t="shared" si="3"/>
        <v>10</v>
      </c>
      <c r="D58" s="138"/>
      <c r="E58" s="181"/>
      <c r="F58" s="181"/>
    </row>
    <row r="59" spans="1:6">
      <c r="A59" s="111" t="s">
        <v>6</v>
      </c>
      <c r="B59" s="191">
        <f t="shared" si="2"/>
        <v>790.10954743100001</v>
      </c>
      <c r="C59" s="112">
        <f t="shared" si="3"/>
        <v>3.7</v>
      </c>
      <c r="D59" s="138"/>
      <c r="E59" s="181"/>
      <c r="F59" s="181"/>
    </row>
    <row r="60" spans="1:6">
      <c r="A60" s="111" t="s">
        <v>7</v>
      </c>
      <c r="B60" s="191">
        <f t="shared" si="2"/>
        <v>743.08135256899993</v>
      </c>
      <c r="C60" s="112">
        <f t="shared" si="3"/>
        <v>3.5</v>
      </c>
      <c r="D60" s="138"/>
      <c r="E60" s="181"/>
      <c r="F60" s="181"/>
    </row>
    <row r="61" spans="1:6">
      <c r="A61" s="111" t="s">
        <v>8</v>
      </c>
      <c r="B61" s="191">
        <f t="shared" si="2"/>
        <v>321.39170000000001</v>
      </c>
      <c r="C61" s="112">
        <f t="shared" ref="C61" si="4">B61/$B$62*100</f>
        <v>1.5249608734708004</v>
      </c>
      <c r="D61" s="138"/>
      <c r="E61" s="181"/>
      <c r="F61" s="181"/>
    </row>
    <row r="62" spans="1:6">
      <c r="A62" s="113" t="s">
        <v>15</v>
      </c>
      <c r="B62" s="137">
        <f>SUM(B50:B61)</f>
        <v>21075.406299999995</v>
      </c>
      <c r="C62" s="114">
        <f>SUM(C50:C61)</f>
        <v>100</v>
      </c>
      <c r="D62" s="181"/>
      <c r="E62" s="181"/>
      <c r="F62" s="181"/>
    </row>
    <row r="66" spans="1:8">
      <c r="A66" s="194" t="s">
        <v>31</v>
      </c>
      <c r="B66" s="234" t="s">
        <v>544</v>
      </c>
      <c r="G66" s="194" t="s">
        <v>31</v>
      </c>
      <c r="H66" s="234" t="s">
        <v>389</v>
      </c>
    </row>
    <row r="67" spans="1:8">
      <c r="A67" s="194" t="s">
        <v>118</v>
      </c>
      <c r="B67" s="195" t="s">
        <v>124</v>
      </c>
      <c r="G67" s="194" t="s">
        <v>118</v>
      </c>
      <c r="H67" s="195" t="s">
        <v>124</v>
      </c>
    </row>
    <row r="68" spans="1:8">
      <c r="A68" s="194" t="s">
        <v>125</v>
      </c>
      <c r="B68" s="196"/>
      <c r="G68" s="194" t="s">
        <v>126</v>
      </c>
      <c r="H68" s="196"/>
    </row>
    <row r="69" spans="1:8">
      <c r="A69" s="197" t="s">
        <v>2</v>
      </c>
      <c r="B69" s="198">
        <v>53.220300000000002</v>
      </c>
      <c r="G69" s="197" t="s">
        <v>2</v>
      </c>
      <c r="H69" s="198">
        <v>171.649528718</v>
      </c>
    </row>
    <row r="70" spans="1:8">
      <c r="A70" s="197" t="s">
        <v>83</v>
      </c>
      <c r="B70" s="198">
        <v>0.8861</v>
      </c>
      <c r="G70" s="197" t="s">
        <v>83</v>
      </c>
      <c r="H70" s="198">
        <v>11.144527282</v>
      </c>
    </row>
    <row r="71" spans="1:8">
      <c r="A71" s="197" t="s">
        <v>3</v>
      </c>
      <c r="B71" s="198">
        <v>166.8972</v>
      </c>
      <c r="G71" s="197" t="s">
        <v>3</v>
      </c>
      <c r="H71" s="198">
        <v>145.826773</v>
      </c>
    </row>
    <row r="72" spans="1:8">
      <c r="A72" s="197" t="s">
        <v>4</v>
      </c>
      <c r="B72" s="198">
        <v>46.7742</v>
      </c>
      <c r="G72" s="197" t="s">
        <v>4</v>
      </c>
      <c r="H72" s="198">
        <v>36.112304999999999</v>
      </c>
    </row>
    <row r="73" spans="1:8">
      <c r="A73" s="197" t="s">
        <v>11</v>
      </c>
      <c r="B73" s="198">
        <v>29.390899999999998</v>
      </c>
      <c r="G73" s="197" t="s">
        <v>107</v>
      </c>
      <c r="H73" s="198">
        <v>0</v>
      </c>
    </row>
    <row r="74" spans="1:8">
      <c r="A74" s="197" t="s">
        <v>5</v>
      </c>
      <c r="B74" s="198">
        <v>170.5181</v>
      </c>
      <c r="G74" s="197" t="s">
        <v>11</v>
      </c>
      <c r="H74" s="198">
        <v>35.756722000000003</v>
      </c>
    </row>
    <row r="75" spans="1:8">
      <c r="A75" s="197" t="s">
        <v>6</v>
      </c>
      <c r="B75" s="198">
        <v>23.062315343000002</v>
      </c>
      <c r="G75" s="197" t="s">
        <v>5</v>
      </c>
      <c r="H75" s="198">
        <v>326.30455899999998</v>
      </c>
    </row>
    <row r="76" spans="1:8">
      <c r="A76" s="197" t="s">
        <v>7</v>
      </c>
      <c r="B76" s="198">
        <v>23.590284657000002</v>
      </c>
      <c r="G76" s="197" t="s">
        <v>6</v>
      </c>
      <c r="H76" s="198">
        <v>19.784490000000002</v>
      </c>
    </row>
    <row r="77" spans="1:8">
      <c r="A77" s="197" t="s">
        <v>8</v>
      </c>
      <c r="B77" s="198">
        <v>11.0519</v>
      </c>
      <c r="G77" s="197" t="s">
        <v>7</v>
      </c>
      <c r="H77" s="198">
        <v>11.256307</v>
      </c>
    </row>
    <row r="78" spans="1:8">
      <c r="A78" s="197" t="s">
        <v>9</v>
      </c>
      <c r="B78" s="198">
        <v>73.441599999999994</v>
      </c>
      <c r="G78" s="197" t="s">
        <v>8</v>
      </c>
      <c r="H78" s="198">
        <v>7.9947780000000002</v>
      </c>
    </row>
    <row r="79" spans="1:8">
      <c r="A79" s="197" t="s">
        <v>71</v>
      </c>
      <c r="B79" s="198">
        <v>2.1623000000000001</v>
      </c>
      <c r="G79" s="197" t="s">
        <v>9</v>
      </c>
      <c r="H79" s="198">
        <v>79.388683</v>
      </c>
    </row>
    <row r="80" spans="1:8">
      <c r="A80" s="197" t="s">
        <v>72</v>
      </c>
      <c r="B80" s="198">
        <v>6.4488000000000003</v>
      </c>
      <c r="G80" s="197" t="s">
        <v>71</v>
      </c>
      <c r="H80" s="198">
        <v>2.128638</v>
      </c>
    </row>
    <row r="81" spans="1:11">
      <c r="A81" s="200" t="s">
        <v>10</v>
      </c>
      <c r="B81" s="201">
        <v>607.44399999999996</v>
      </c>
      <c r="G81" s="197" t="s">
        <v>72</v>
      </c>
      <c r="H81" s="198">
        <v>7.1086039999999997</v>
      </c>
    </row>
    <row r="82" spans="1:11">
      <c r="A82" s="197" t="s">
        <v>428</v>
      </c>
      <c r="B82" s="198">
        <v>-7.6260000000000003</v>
      </c>
      <c r="G82" s="200" t="s">
        <v>10</v>
      </c>
      <c r="H82" s="201">
        <v>854.455915</v>
      </c>
    </row>
    <row r="83" spans="1:11">
      <c r="A83" s="197" t="s">
        <v>109</v>
      </c>
      <c r="B83" s="198">
        <v>-3.109</v>
      </c>
      <c r="G83" s="197" t="s">
        <v>428</v>
      </c>
      <c r="H83" s="198">
        <v>-16.683171999999999</v>
      </c>
    </row>
    <row r="84" spans="1:11">
      <c r="A84" s="197" t="s">
        <v>429</v>
      </c>
      <c r="B84" s="198">
        <v>16.032900000000001</v>
      </c>
      <c r="G84" s="197" t="s">
        <v>109</v>
      </c>
      <c r="H84" s="198">
        <v>-2.1485099999999999</v>
      </c>
    </row>
    <row r="85" spans="1:11">
      <c r="A85" s="200" t="s">
        <v>430</v>
      </c>
      <c r="B85" s="201">
        <v>612.74189999999999</v>
      </c>
      <c r="G85" s="197" t="s">
        <v>429</v>
      </c>
      <c r="H85" s="198">
        <v>-47.434305999999999</v>
      </c>
    </row>
    <row r="86" spans="1:11">
      <c r="G86" s="200" t="s">
        <v>430</v>
      </c>
      <c r="H86" s="201">
        <v>788.18992700000001</v>
      </c>
    </row>
    <row r="91" spans="1:11">
      <c r="B91" s="208" t="str">
        <f>"Mes " &amp;B66</f>
        <v>Mes 18/08/2018</v>
      </c>
      <c r="H91" s="208" t="str">
        <f>"Histórico " &amp;H66</f>
        <v>Histórico 20/03/2018</v>
      </c>
    </row>
    <row r="92" spans="1:11">
      <c r="A92" s="160" t="str">
        <f>"Estructura de generacion mensual de energía eléctrica peninsular " &amp; B66</f>
        <v>Estructura de generacion mensual de energía eléctrica peninsular 18/08/2018</v>
      </c>
      <c r="B92" s="180"/>
      <c r="C92" s="180"/>
      <c r="D92" s="180"/>
      <c r="E92" s="207" t="str">
        <f>CONCATENATE("Mes",CHAR(13),MID(A92,66,10))</f>
        <v>Mes_x000D_18/08/2018</v>
      </c>
      <c r="G92" s="160" t="str">
        <f>"Estructura de generacion mensual de energía eléctrica peninsular " &amp; H66</f>
        <v>Estructura de generacion mensual de energía eléctrica peninsular 20/03/2018</v>
      </c>
      <c r="H92" s="180"/>
      <c r="I92" s="180"/>
      <c r="J92" s="180"/>
      <c r="K92" s="180"/>
    </row>
    <row r="93" spans="1:11">
      <c r="A93" s="109"/>
      <c r="B93" s="92" t="s">
        <v>14</v>
      </c>
      <c r="C93" s="110"/>
      <c r="G93" s="109"/>
      <c r="H93" s="92" t="s">
        <v>14</v>
      </c>
      <c r="I93" s="110"/>
    </row>
    <row r="94" spans="1:11">
      <c r="A94" s="111" t="s">
        <v>83</v>
      </c>
      <c r="B94" s="206">
        <f>ROUND(VLOOKUP(A94,A$69:B$84,2,FALSE)/VLOOKUP("Generación",A$69:B$84,2,FALSE)*100,1)</f>
        <v>0.1</v>
      </c>
      <c r="C94" s="110"/>
      <c r="G94" s="111" t="s">
        <v>83</v>
      </c>
      <c r="H94" s="206">
        <f>ROUND(VLOOKUP(G94,G$69:H$84,2,FALSE)/VLOOKUP("Generación",G$69:H$84,2,FALSE)*100,1)</f>
        <v>1.3</v>
      </c>
      <c r="I94" s="110"/>
    </row>
    <row r="95" spans="1:11">
      <c r="A95" s="111" t="s">
        <v>3</v>
      </c>
      <c r="B95" s="206">
        <f>ROUND(VLOOKUP(A95,A$69:B$84,2,FALSE)/VLOOKUP("Generación",A$69:B$84,2,FALSE)*100,1)</f>
        <v>27.5</v>
      </c>
      <c r="C95" s="110"/>
      <c r="G95" s="111" t="s">
        <v>3</v>
      </c>
      <c r="H95" s="206">
        <f>ROUND(VLOOKUP(G95,G$69:H$84,2,FALSE)/VLOOKUP("Generación",G$69:H$84,2,FALSE)*100,1)</f>
        <v>17.100000000000001</v>
      </c>
      <c r="I95" s="110"/>
    </row>
    <row r="96" spans="1:11">
      <c r="A96" s="111" t="s">
        <v>4</v>
      </c>
      <c r="B96" s="206">
        <f>ROUND(VLOOKUP(A96,A$69:B$84,2,FALSE)/VLOOKUP("Generación",A$69:B$84,2,FALSE)*100,1)</f>
        <v>7.7</v>
      </c>
      <c r="C96" s="110"/>
      <c r="D96" s="181"/>
      <c r="E96" s="181"/>
      <c r="G96" s="111" t="s">
        <v>4</v>
      </c>
      <c r="H96" s="206">
        <f>ROUND(VLOOKUP(G96,G$69:H$84,2,FALSE)/VLOOKUP("Generación",G$69:H$84,2,FALSE)*100,1)</f>
        <v>4.2</v>
      </c>
      <c r="I96" s="110"/>
      <c r="J96" s="181"/>
      <c r="K96" s="181"/>
    </row>
    <row r="97" spans="1:11">
      <c r="A97" s="111" t="s">
        <v>11</v>
      </c>
      <c r="B97" s="206">
        <f>ROUND(VLOOKUP(A97,A$69:B$84,2,FALSE)/VLOOKUP("Generación",A$69:B$84,2,FALSE)*100,1)</f>
        <v>4.8</v>
      </c>
      <c r="C97" s="110"/>
      <c r="D97" s="181"/>
      <c r="E97" s="181"/>
      <c r="G97" s="111" t="s">
        <v>11</v>
      </c>
      <c r="H97" s="206">
        <f>ROUND(VLOOKUP(G97,G$69:H$84,2,FALSE)/VLOOKUP("Generación",G$69:H$84,2,FALSE)*100,1)</f>
        <v>4.2</v>
      </c>
      <c r="I97" s="110"/>
      <c r="J97" s="181"/>
      <c r="K97" s="181"/>
    </row>
    <row r="98" spans="1:11">
      <c r="A98" s="111" t="s">
        <v>9</v>
      </c>
      <c r="B98" s="206">
        <f>100-SUM(B94:B97,B99:B105)</f>
        <v>12</v>
      </c>
      <c r="C98" s="110"/>
      <c r="D98" s="110"/>
      <c r="E98" s="110"/>
      <c r="G98" s="111" t="s">
        <v>9</v>
      </c>
      <c r="H98" s="206">
        <f>100-SUM(H94:H97,H99:H105)</f>
        <v>9.4000000000000057</v>
      </c>
      <c r="I98" s="110"/>
      <c r="J98" s="110"/>
      <c r="K98" s="110"/>
    </row>
    <row r="99" spans="1:11">
      <c r="A99" s="111" t="s">
        <v>72</v>
      </c>
      <c r="B99" s="206">
        <f t="shared" ref="B99:B105" si="5">ROUND(VLOOKUP(A99,A$69:B$84,2,FALSE)/VLOOKUP("Generación",A$69:B$84,2,FALSE)*100,1)</f>
        <v>1.1000000000000001</v>
      </c>
      <c r="C99" s="110"/>
      <c r="D99" s="110"/>
      <c r="E99" s="110"/>
      <c r="G99" s="111" t="s">
        <v>72</v>
      </c>
      <c r="H99" s="206">
        <f t="shared" ref="H99:H105" si="6">ROUND(VLOOKUP(G99,G$69:H$84,2,FALSE)/VLOOKUP("Generación",G$69:H$84,2,FALSE)*100,1)</f>
        <v>0.8</v>
      </c>
      <c r="I99" s="110"/>
      <c r="J99" s="110"/>
      <c r="K99" s="110"/>
    </row>
    <row r="100" spans="1:11">
      <c r="A100" s="111" t="s">
        <v>71</v>
      </c>
      <c r="B100" s="206">
        <f>ROUND(VLOOKUP(A100,A$69:B$84,2,FALSE)/VLOOKUP("Generación",A$69:B$84,2,FALSE)*100,1)</f>
        <v>0.4</v>
      </c>
      <c r="C100" s="110"/>
      <c r="D100" s="110"/>
      <c r="E100" s="110"/>
      <c r="G100" s="111" t="s">
        <v>71</v>
      </c>
      <c r="H100" s="206">
        <f t="shared" si="6"/>
        <v>0.2</v>
      </c>
      <c r="I100" s="110"/>
      <c r="J100" s="110"/>
      <c r="K100" s="110"/>
    </row>
    <row r="101" spans="1:11">
      <c r="A101" s="111" t="s">
        <v>5</v>
      </c>
      <c r="B101" s="206">
        <f t="shared" si="5"/>
        <v>28.1</v>
      </c>
      <c r="C101" s="110"/>
      <c r="D101" s="110"/>
      <c r="E101" s="110"/>
      <c r="G101" s="111" t="s">
        <v>5</v>
      </c>
      <c r="H101" s="206">
        <f t="shared" si="6"/>
        <v>38.200000000000003</v>
      </c>
      <c r="I101" s="110"/>
      <c r="J101" s="110"/>
      <c r="K101" s="110"/>
    </row>
    <row r="102" spans="1:11">
      <c r="A102" s="111" t="s">
        <v>2</v>
      </c>
      <c r="B102" s="206">
        <f t="shared" si="5"/>
        <v>8.8000000000000007</v>
      </c>
      <c r="C102" s="110"/>
      <c r="D102" s="110"/>
      <c r="E102" s="110"/>
      <c r="G102" s="111" t="s">
        <v>2</v>
      </c>
      <c r="H102" s="206">
        <f t="shared" si="6"/>
        <v>20.100000000000001</v>
      </c>
      <c r="I102" s="110"/>
      <c r="J102" s="110"/>
      <c r="K102" s="110"/>
    </row>
    <row r="103" spans="1:11">
      <c r="A103" s="111" t="s">
        <v>6</v>
      </c>
      <c r="B103" s="206">
        <f t="shared" si="5"/>
        <v>3.8</v>
      </c>
      <c r="C103" s="110"/>
      <c r="D103" s="110"/>
      <c r="E103" s="110"/>
      <c r="G103" s="111" t="s">
        <v>6</v>
      </c>
      <c r="H103" s="206">
        <f t="shared" si="6"/>
        <v>2.2999999999999998</v>
      </c>
      <c r="I103" s="110"/>
      <c r="J103" s="110"/>
      <c r="K103" s="110"/>
    </row>
    <row r="104" spans="1:11">
      <c r="A104" s="111" t="s">
        <v>7</v>
      </c>
      <c r="B104" s="206">
        <f t="shared" si="5"/>
        <v>3.9</v>
      </c>
      <c r="C104" s="110"/>
      <c r="D104" s="110"/>
      <c r="E104" s="110"/>
      <c r="G104" s="111" t="s">
        <v>7</v>
      </c>
      <c r="H104" s="206">
        <f t="shared" si="6"/>
        <v>1.3</v>
      </c>
      <c r="I104" s="110"/>
      <c r="J104" s="110"/>
      <c r="K104" s="110"/>
    </row>
    <row r="105" spans="1:11">
      <c r="A105" s="111" t="s">
        <v>8</v>
      </c>
      <c r="B105" s="206">
        <f t="shared" si="5"/>
        <v>1.8</v>
      </c>
      <c r="C105" s="180"/>
      <c r="D105" s="180"/>
      <c r="E105" s="180"/>
      <c r="G105" s="111" t="s">
        <v>8</v>
      </c>
      <c r="H105" s="206">
        <f t="shared" si="6"/>
        <v>0.9</v>
      </c>
      <c r="I105" s="181"/>
      <c r="J105" s="181"/>
      <c r="K105" s="181"/>
    </row>
    <row r="106" spans="1:11">
      <c r="A106" s="113" t="s">
        <v>15</v>
      </c>
      <c r="B106" s="114">
        <f>SUM(B94:B105)</f>
        <v>100</v>
      </c>
      <c r="C106" s="180"/>
      <c r="D106" s="180"/>
      <c r="E106" s="180"/>
      <c r="G106" s="113" t="s">
        <v>15</v>
      </c>
      <c r="H106" s="114">
        <f>SUM(H94:H105)</f>
        <v>100</v>
      </c>
      <c r="I106" s="181"/>
      <c r="J106" s="181"/>
      <c r="K106" s="181"/>
    </row>
    <row r="108" spans="1:11">
      <c r="A108" s="185"/>
      <c r="B108" s="186" t="s">
        <v>14</v>
      </c>
      <c r="G108" s="185"/>
      <c r="H108" s="186" t="s">
        <v>14</v>
      </c>
    </row>
    <row r="109" spans="1:11">
      <c r="A109" s="183" t="s">
        <v>16</v>
      </c>
      <c r="B109" s="184">
        <f>SUM(B94:B99)</f>
        <v>53.2</v>
      </c>
      <c r="G109" s="183" t="s">
        <v>16</v>
      </c>
      <c r="H109" s="184">
        <f>SUM(H94:H99)</f>
        <v>37</v>
      </c>
    </row>
    <row r="110" spans="1:11">
      <c r="A110" s="187" t="s">
        <v>17</v>
      </c>
      <c r="B110" s="188">
        <f>SUM(B100:B105)</f>
        <v>46.79999999999999</v>
      </c>
      <c r="G110" s="187" t="s">
        <v>17</v>
      </c>
      <c r="H110" s="188">
        <f>SUM(H100:H105)</f>
        <v>63</v>
      </c>
    </row>
    <row r="115" spans="1:26">
      <c r="A115" s="194" t="s">
        <v>117</v>
      </c>
      <c r="B115" s="301" t="s">
        <v>110</v>
      </c>
      <c r="C115" s="302"/>
      <c r="D115" s="302"/>
      <c r="E115" s="302"/>
      <c r="F115" s="302"/>
      <c r="G115" s="302"/>
      <c r="H115" s="302"/>
      <c r="I115" s="302"/>
      <c r="J115" s="302"/>
      <c r="K115" s="302"/>
      <c r="L115" s="302"/>
      <c r="M115" s="302"/>
      <c r="N115" s="302"/>
      <c r="O115" s="302"/>
      <c r="P115" s="302"/>
      <c r="Q115" s="302"/>
      <c r="R115" s="302"/>
      <c r="S115" s="302"/>
      <c r="T115" s="302"/>
      <c r="U115" s="302"/>
      <c r="V115" s="302"/>
      <c r="W115" s="302"/>
      <c r="X115" s="302"/>
      <c r="Y115" s="302"/>
      <c r="Z115" s="302"/>
    </row>
    <row r="116" spans="1:26">
      <c r="A116" s="194" t="s">
        <v>118</v>
      </c>
      <c r="B116" s="305" t="s">
        <v>124</v>
      </c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</row>
    <row r="117" spans="1:26">
      <c r="A117" s="203" t="s">
        <v>30</v>
      </c>
      <c r="B117" s="234" t="s">
        <v>127</v>
      </c>
      <c r="C117" s="234" t="s">
        <v>128</v>
      </c>
      <c r="D117" s="234" t="s">
        <v>129</v>
      </c>
      <c r="E117" s="234" t="s">
        <v>130</v>
      </c>
      <c r="F117" s="234" t="s">
        <v>131</v>
      </c>
      <c r="G117" s="234" t="s">
        <v>132</v>
      </c>
      <c r="H117" s="234" t="s">
        <v>133</v>
      </c>
      <c r="I117" s="234" t="s">
        <v>134</v>
      </c>
      <c r="J117" s="234" t="s">
        <v>135</v>
      </c>
      <c r="K117" s="234" t="s">
        <v>136</v>
      </c>
      <c r="L117" s="234" t="s">
        <v>137</v>
      </c>
      <c r="M117" s="234" t="s">
        <v>138</v>
      </c>
      <c r="N117" s="234" t="s">
        <v>139</v>
      </c>
      <c r="O117" s="234" t="s">
        <v>140</v>
      </c>
      <c r="P117" s="234" t="s">
        <v>141</v>
      </c>
      <c r="Q117" s="234" t="s">
        <v>142</v>
      </c>
      <c r="R117" s="234" t="s">
        <v>143</v>
      </c>
      <c r="S117" s="234" t="s">
        <v>144</v>
      </c>
      <c r="T117" s="234" t="s">
        <v>96</v>
      </c>
      <c r="U117" s="234" t="s">
        <v>369</v>
      </c>
      <c r="V117" s="234" t="s">
        <v>360</v>
      </c>
      <c r="W117" s="234" t="s">
        <v>431</v>
      </c>
      <c r="X117" s="234" t="s">
        <v>432</v>
      </c>
      <c r="Y117" s="234" t="s">
        <v>433</v>
      </c>
      <c r="Z117" s="234" t="s">
        <v>434</v>
      </c>
    </row>
    <row r="118" spans="1:26">
      <c r="A118" s="194" t="s">
        <v>119</v>
      </c>
      <c r="B118" s="209"/>
      <c r="C118" s="209"/>
      <c r="D118" s="209"/>
      <c r="E118" s="209"/>
      <c r="F118" s="209"/>
      <c r="G118" s="209"/>
      <c r="H118" s="209"/>
      <c r="I118" s="209"/>
      <c r="J118" s="209"/>
      <c r="K118" s="209"/>
      <c r="L118" s="209"/>
      <c r="M118" s="209"/>
      <c r="N118" s="209"/>
      <c r="O118" s="209"/>
      <c r="P118" s="209"/>
      <c r="Q118" s="209"/>
      <c r="R118" s="209"/>
      <c r="S118" s="209"/>
      <c r="T118" s="209"/>
      <c r="U118" s="209"/>
      <c r="V118" s="209"/>
      <c r="W118" s="209"/>
      <c r="X118" s="209"/>
      <c r="Y118" s="209"/>
      <c r="Z118" s="209"/>
    </row>
    <row r="119" spans="1:26">
      <c r="A119" s="197" t="s">
        <v>2</v>
      </c>
      <c r="B119" s="198">
        <v>2046.8134319440001</v>
      </c>
      <c r="C119" s="198">
        <v>1653.36592744</v>
      </c>
      <c r="D119" s="198">
        <v>1631.5607705919999</v>
      </c>
      <c r="E119" s="198">
        <v>1498.794683218</v>
      </c>
      <c r="F119" s="198">
        <v>1846.2932175420001</v>
      </c>
      <c r="G119" s="198">
        <v>2040.378652334</v>
      </c>
      <c r="H119" s="198">
        <v>1956.351218862</v>
      </c>
      <c r="I119" s="198">
        <v>2700.9675717360001</v>
      </c>
      <c r="J119" s="198">
        <v>1897.7219954679999</v>
      </c>
      <c r="K119" s="198">
        <v>1935.158531156</v>
      </c>
      <c r="L119" s="198">
        <v>1637.6011437760001</v>
      </c>
      <c r="M119" s="198">
        <v>1192.784178952</v>
      </c>
      <c r="N119" s="198">
        <v>1082.4397687339999</v>
      </c>
      <c r="O119" s="198">
        <v>1147.5808360619999</v>
      </c>
      <c r="P119" s="198">
        <v>773.35631237799998</v>
      </c>
      <c r="Q119" s="198">
        <v>831.61728853199998</v>
      </c>
      <c r="R119" s="198">
        <v>1249.93701867</v>
      </c>
      <c r="S119" s="198">
        <v>2193.9237987860001</v>
      </c>
      <c r="T119" s="198">
        <v>2387.5167263500002</v>
      </c>
      <c r="U119" s="198">
        <v>4399.0090775560002</v>
      </c>
      <c r="V119" s="198">
        <v>4716.4282802460002</v>
      </c>
      <c r="W119" s="198">
        <v>3520.7950463239999</v>
      </c>
      <c r="X119" s="198">
        <v>3708.6988255840001</v>
      </c>
      <c r="Y119" s="198">
        <v>3024.3379099859999</v>
      </c>
      <c r="Z119" s="198">
        <v>2110.0834</v>
      </c>
    </row>
    <row r="120" spans="1:26">
      <c r="A120" s="197" t="s">
        <v>83</v>
      </c>
      <c r="B120" s="198">
        <v>110.35765205600001</v>
      </c>
      <c r="C120" s="198">
        <v>101.23997756</v>
      </c>
      <c r="D120" s="198">
        <v>161.43736240800001</v>
      </c>
      <c r="E120" s="198">
        <v>258.23356678200003</v>
      </c>
      <c r="F120" s="198">
        <v>250.884576458</v>
      </c>
      <c r="G120" s="198">
        <v>291.21301766599998</v>
      </c>
      <c r="H120" s="198">
        <v>267.73958013800001</v>
      </c>
      <c r="I120" s="198">
        <v>241.22357426400001</v>
      </c>
      <c r="J120" s="198">
        <v>199.433449532</v>
      </c>
      <c r="K120" s="198">
        <v>162.454982844</v>
      </c>
      <c r="L120" s="198">
        <v>91.897749223999995</v>
      </c>
      <c r="M120" s="198">
        <v>98.826694047999993</v>
      </c>
      <c r="N120" s="198">
        <v>112.205176266</v>
      </c>
      <c r="O120" s="198">
        <v>118.471554938</v>
      </c>
      <c r="P120" s="198">
        <v>133.820917622</v>
      </c>
      <c r="Q120" s="198">
        <v>222.09125546800001</v>
      </c>
      <c r="R120" s="198">
        <v>309.58646633000001</v>
      </c>
      <c r="S120" s="198">
        <v>273.43523521399999</v>
      </c>
      <c r="T120" s="198">
        <v>180.62302364999999</v>
      </c>
      <c r="U120" s="198">
        <v>369.77771444400003</v>
      </c>
      <c r="V120" s="198">
        <v>345.63732475400002</v>
      </c>
      <c r="W120" s="198">
        <v>153.27436067599999</v>
      </c>
      <c r="X120" s="198">
        <v>58.722846416000003</v>
      </c>
      <c r="Y120" s="198">
        <v>35.306144013999997</v>
      </c>
      <c r="Z120" s="198">
        <v>50.643900000000002</v>
      </c>
    </row>
    <row r="121" spans="1:26">
      <c r="A121" s="197" t="s">
        <v>3</v>
      </c>
      <c r="B121" s="198">
        <v>5150.5210360000001</v>
      </c>
      <c r="C121" s="198">
        <v>5008.646428</v>
      </c>
      <c r="D121" s="198">
        <v>5093.0410350000002</v>
      </c>
      <c r="E121" s="198">
        <v>3762.5391300000001</v>
      </c>
      <c r="F121" s="198">
        <v>4327.3684130000001</v>
      </c>
      <c r="G121" s="198">
        <v>5283.5543349999998</v>
      </c>
      <c r="H121" s="198">
        <v>4766.6571869999998</v>
      </c>
      <c r="I121" s="198">
        <v>5269.1337249999997</v>
      </c>
      <c r="J121" s="198">
        <v>4926.0698920000004</v>
      </c>
      <c r="K121" s="198">
        <v>4130.8703100000002</v>
      </c>
      <c r="L121" s="198">
        <v>4034.3327380000001</v>
      </c>
      <c r="M121" s="198">
        <v>4385.200742</v>
      </c>
      <c r="N121" s="198">
        <v>5078.9521169999998</v>
      </c>
      <c r="O121" s="198">
        <v>4722.5735260000001</v>
      </c>
      <c r="P121" s="198">
        <v>4301.3254559999996</v>
      </c>
      <c r="Q121" s="198">
        <v>3601.78287</v>
      </c>
      <c r="R121" s="198">
        <v>5039.108604</v>
      </c>
      <c r="S121" s="198">
        <v>5096.5286329999999</v>
      </c>
      <c r="T121" s="198">
        <v>4592.3205680000001</v>
      </c>
      <c r="U121" s="198">
        <v>4488.9170219999996</v>
      </c>
      <c r="V121" s="198">
        <v>3812.588835</v>
      </c>
      <c r="W121" s="198">
        <v>3728.673667</v>
      </c>
      <c r="X121" s="198">
        <v>3591.591351</v>
      </c>
      <c r="Y121" s="198">
        <v>4471.0236880000002</v>
      </c>
      <c r="Z121" s="198">
        <v>5140.7584999999999</v>
      </c>
    </row>
    <row r="122" spans="1:26">
      <c r="A122" s="197" t="s">
        <v>4</v>
      </c>
      <c r="B122" s="198">
        <v>3380.0246780000002</v>
      </c>
      <c r="C122" s="198">
        <v>4295.6507499999998</v>
      </c>
      <c r="D122" s="198">
        <v>4273.1180869999998</v>
      </c>
      <c r="E122" s="198">
        <v>4448.3559960000002</v>
      </c>
      <c r="F122" s="198">
        <v>5026.0080959999996</v>
      </c>
      <c r="G122" s="198">
        <v>5158.2484850000001</v>
      </c>
      <c r="H122" s="198">
        <v>3313.4886609999999</v>
      </c>
      <c r="I122" s="198">
        <v>1765.5673360000001</v>
      </c>
      <c r="J122" s="198">
        <v>1874.962368</v>
      </c>
      <c r="K122" s="198">
        <v>3525.0074169999998</v>
      </c>
      <c r="L122" s="198">
        <v>4275.5782120000003</v>
      </c>
      <c r="M122" s="198">
        <v>4031.3058569999998</v>
      </c>
      <c r="N122" s="198">
        <v>2962.4341599999998</v>
      </c>
      <c r="O122" s="198">
        <v>2821.1507489999999</v>
      </c>
      <c r="P122" s="198">
        <v>3901.3327119999999</v>
      </c>
      <c r="Q122" s="198">
        <v>4664.8877439999997</v>
      </c>
      <c r="R122" s="198">
        <v>4128.1496340000003</v>
      </c>
      <c r="S122" s="198">
        <v>3020.0704609999998</v>
      </c>
      <c r="T122" s="198">
        <v>3488.6857300000001</v>
      </c>
      <c r="U122" s="198">
        <v>1310.6821359999999</v>
      </c>
      <c r="V122" s="198">
        <v>1360.590295</v>
      </c>
      <c r="W122" s="198">
        <v>2254.3341909999999</v>
      </c>
      <c r="X122" s="198">
        <v>2273.6508990000002</v>
      </c>
      <c r="Y122" s="198">
        <v>3488.1731799999998</v>
      </c>
      <c r="Z122" s="198">
        <v>3524.2485000000001</v>
      </c>
    </row>
    <row r="123" spans="1:26">
      <c r="A123" s="197" t="s">
        <v>107</v>
      </c>
      <c r="B123" s="198">
        <v>0</v>
      </c>
      <c r="C123" s="198">
        <v>-9.9999999999999995E-7</v>
      </c>
      <c r="D123" s="198">
        <v>0</v>
      </c>
      <c r="E123" s="198">
        <v>0</v>
      </c>
      <c r="F123" s="198">
        <v>0</v>
      </c>
      <c r="G123" s="198">
        <v>0</v>
      </c>
      <c r="H123" s="198">
        <v>0</v>
      </c>
      <c r="I123" s="198">
        <v>9.9999999999999995E-7</v>
      </c>
      <c r="J123" s="198">
        <v>-9.9999999999999995E-7</v>
      </c>
      <c r="K123" s="198">
        <v>0</v>
      </c>
      <c r="L123" s="198">
        <v>0</v>
      </c>
      <c r="M123" s="198">
        <v>0</v>
      </c>
      <c r="N123" s="198">
        <v>-9.9999999999999995E-7</v>
      </c>
      <c r="O123" s="198">
        <v>0</v>
      </c>
      <c r="P123" s="198">
        <v>0</v>
      </c>
      <c r="Q123" s="198">
        <v>0</v>
      </c>
      <c r="R123" s="198">
        <v>0</v>
      </c>
      <c r="S123" s="198">
        <v>0</v>
      </c>
      <c r="T123" s="198">
        <v>0</v>
      </c>
      <c r="U123" s="198">
        <v>0</v>
      </c>
      <c r="V123" s="198">
        <v>0</v>
      </c>
      <c r="W123" s="198">
        <v>-9.9999999999999995E-7</v>
      </c>
      <c r="X123" s="198">
        <v>0</v>
      </c>
      <c r="Y123" s="198">
        <v>9.9999999999999995E-7</v>
      </c>
      <c r="Z123" s="198">
        <v>0</v>
      </c>
    </row>
    <row r="124" spans="1:26">
      <c r="A124" s="197" t="s">
        <v>11</v>
      </c>
      <c r="B124" s="198">
        <v>2002.2220150000001</v>
      </c>
      <c r="C124" s="198">
        <v>2126.5412970000002</v>
      </c>
      <c r="D124" s="198">
        <v>3282.4430419999999</v>
      </c>
      <c r="E124" s="198">
        <v>3414.9835800000001</v>
      </c>
      <c r="F124" s="198">
        <v>3287.440685</v>
      </c>
      <c r="G124" s="198">
        <v>2911.5413090000002</v>
      </c>
      <c r="H124" s="198">
        <v>1505.758904</v>
      </c>
      <c r="I124" s="198">
        <v>1428.431296</v>
      </c>
      <c r="J124" s="198">
        <v>1228.2553559999999</v>
      </c>
      <c r="K124" s="198">
        <v>1593.5105450000001</v>
      </c>
      <c r="L124" s="198">
        <v>3169.0061089999999</v>
      </c>
      <c r="M124" s="198">
        <v>3735.905906</v>
      </c>
      <c r="N124" s="198">
        <v>3454.4160280000001</v>
      </c>
      <c r="O124" s="198">
        <v>3197.9247850000002</v>
      </c>
      <c r="P124" s="198">
        <v>3848.6854699999999</v>
      </c>
      <c r="Q124" s="198">
        <v>4546.437715</v>
      </c>
      <c r="R124" s="198">
        <v>3028.112431</v>
      </c>
      <c r="S124" s="198">
        <v>2254.6323689999999</v>
      </c>
      <c r="T124" s="198">
        <v>1950.724201</v>
      </c>
      <c r="U124" s="198">
        <v>1248.0405949999999</v>
      </c>
      <c r="V124" s="198">
        <v>1200.6612050000001</v>
      </c>
      <c r="W124" s="198">
        <v>1968.4294669999999</v>
      </c>
      <c r="X124" s="198">
        <v>2180.1881910000002</v>
      </c>
      <c r="Y124" s="198">
        <v>2229.279387</v>
      </c>
      <c r="Z124" s="198">
        <v>2703.9531999999999</v>
      </c>
    </row>
    <row r="125" spans="1:26">
      <c r="A125" s="197" t="s">
        <v>5</v>
      </c>
      <c r="B125" s="198">
        <v>3603.8620529999998</v>
      </c>
      <c r="C125" s="198">
        <v>2666.8878199999999</v>
      </c>
      <c r="D125" s="198">
        <v>2376.0109069999999</v>
      </c>
      <c r="E125" s="198">
        <v>3888.7489650000002</v>
      </c>
      <c r="F125" s="198">
        <v>2671.6893479999999</v>
      </c>
      <c r="G125" s="198">
        <v>4796.9646359999997</v>
      </c>
      <c r="H125" s="198">
        <v>4905.5372690000004</v>
      </c>
      <c r="I125" s="198">
        <v>4687.8387709999997</v>
      </c>
      <c r="J125" s="198">
        <v>4177.3396290000001</v>
      </c>
      <c r="K125" s="198">
        <v>3440.3491309999999</v>
      </c>
      <c r="L125" s="198">
        <v>3152.0795880000001</v>
      </c>
      <c r="M125" s="198">
        <v>3336.7890189999998</v>
      </c>
      <c r="N125" s="198">
        <v>3296.3615829999999</v>
      </c>
      <c r="O125" s="198">
        <v>2817.340224</v>
      </c>
      <c r="P125" s="198">
        <v>3186.7215689999998</v>
      </c>
      <c r="Q125" s="198">
        <v>3957.8393489999999</v>
      </c>
      <c r="R125" s="198">
        <v>5753.2710479999996</v>
      </c>
      <c r="S125" s="198">
        <v>5286.0049170000002</v>
      </c>
      <c r="T125" s="198">
        <v>4625.0512550000003</v>
      </c>
      <c r="U125" s="198">
        <v>7650.1390380000003</v>
      </c>
      <c r="V125" s="198">
        <v>4409.5657819999997</v>
      </c>
      <c r="W125" s="198">
        <v>3253.8841389999998</v>
      </c>
      <c r="X125" s="198">
        <v>2577.227746</v>
      </c>
      <c r="Y125" s="198">
        <v>2478.2899400000001</v>
      </c>
      <c r="Z125" s="198">
        <v>3056.7289999999998</v>
      </c>
    </row>
    <row r="126" spans="1:26">
      <c r="A126" s="197" t="s">
        <v>6</v>
      </c>
      <c r="B126" s="198">
        <v>855.09481500000004</v>
      </c>
      <c r="C126" s="198">
        <v>730.02335900000003</v>
      </c>
      <c r="D126" s="198">
        <v>555.78306199999997</v>
      </c>
      <c r="E126" s="198">
        <v>402.9502</v>
      </c>
      <c r="F126" s="198">
        <v>358.23832900000002</v>
      </c>
      <c r="G126" s="198">
        <v>452.33744200000001</v>
      </c>
      <c r="H126" s="198">
        <v>419.297686</v>
      </c>
      <c r="I126" s="198">
        <v>679.82795399999998</v>
      </c>
      <c r="J126" s="198">
        <v>798.19205199999999</v>
      </c>
      <c r="K126" s="198">
        <v>834.11876600000005</v>
      </c>
      <c r="L126" s="198">
        <v>840.61535100000003</v>
      </c>
      <c r="M126" s="198">
        <v>875.22784799999999</v>
      </c>
      <c r="N126" s="198">
        <v>779.85283000000004</v>
      </c>
      <c r="O126" s="198">
        <v>742.38754800000004</v>
      </c>
      <c r="P126" s="198">
        <v>652.66983100000004</v>
      </c>
      <c r="Q126" s="198">
        <v>516.57625399999995</v>
      </c>
      <c r="R126" s="198">
        <v>408.96712500000001</v>
      </c>
      <c r="S126" s="198">
        <v>418.21396900000002</v>
      </c>
      <c r="T126" s="198">
        <v>487.24947700000001</v>
      </c>
      <c r="U126" s="198">
        <v>555.35785499999997</v>
      </c>
      <c r="V126" s="198">
        <v>664.19763599999999</v>
      </c>
      <c r="W126" s="198">
        <v>777.59795799999995</v>
      </c>
      <c r="X126" s="198">
        <v>775.23778600000003</v>
      </c>
      <c r="Y126" s="198">
        <v>886.33224600000005</v>
      </c>
      <c r="Z126" s="198">
        <v>790.10954743100001</v>
      </c>
    </row>
    <row r="127" spans="1:26">
      <c r="A127" s="197" t="s">
        <v>7</v>
      </c>
      <c r="B127" s="198">
        <v>805.81879700000002</v>
      </c>
      <c r="C127" s="198">
        <v>595.62669300000005</v>
      </c>
      <c r="D127" s="198">
        <v>284.70289100000002</v>
      </c>
      <c r="E127" s="198">
        <v>139.69961799999999</v>
      </c>
      <c r="F127" s="198">
        <v>118.135645</v>
      </c>
      <c r="G127" s="198">
        <v>149.21208100000001</v>
      </c>
      <c r="H127" s="198">
        <v>88.740902000000006</v>
      </c>
      <c r="I127" s="198">
        <v>340.84468500000003</v>
      </c>
      <c r="J127" s="198">
        <v>535.25547800000004</v>
      </c>
      <c r="K127" s="198">
        <v>607.89817700000003</v>
      </c>
      <c r="L127" s="198">
        <v>761.902153</v>
      </c>
      <c r="M127" s="198">
        <v>812.88028599999996</v>
      </c>
      <c r="N127" s="198">
        <v>692.43517499999996</v>
      </c>
      <c r="O127" s="198">
        <v>608.14265499999999</v>
      </c>
      <c r="P127" s="198">
        <v>398.79322200000001</v>
      </c>
      <c r="Q127" s="198">
        <v>220.652322</v>
      </c>
      <c r="R127" s="198">
        <v>131.161056</v>
      </c>
      <c r="S127" s="198">
        <v>112.387517</v>
      </c>
      <c r="T127" s="198">
        <v>229.80815100000001</v>
      </c>
      <c r="U127" s="198">
        <v>233.95594299999999</v>
      </c>
      <c r="V127" s="198">
        <v>325.935092</v>
      </c>
      <c r="W127" s="198">
        <v>477.20963399999999</v>
      </c>
      <c r="X127" s="198">
        <v>551.29260299999999</v>
      </c>
      <c r="Y127" s="198">
        <v>858.89464799999996</v>
      </c>
      <c r="Z127" s="198">
        <v>743.08135256900005</v>
      </c>
    </row>
    <row r="128" spans="1:26">
      <c r="A128" s="197" t="s">
        <v>8</v>
      </c>
      <c r="B128" s="198">
        <v>325.98802899999998</v>
      </c>
      <c r="C128" s="198">
        <v>306.89180199999998</v>
      </c>
      <c r="D128" s="198">
        <v>305.478792</v>
      </c>
      <c r="E128" s="198">
        <v>303.91302000000002</v>
      </c>
      <c r="F128" s="198">
        <v>305.49562600000002</v>
      </c>
      <c r="G128" s="198">
        <v>326.48964100000001</v>
      </c>
      <c r="H128" s="198">
        <v>288.82950099999999</v>
      </c>
      <c r="I128" s="198">
        <v>268.625631</v>
      </c>
      <c r="J128" s="198">
        <v>231.78274200000001</v>
      </c>
      <c r="K128" s="198">
        <v>297.73007899999999</v>
      </c>
      <c r="L128" s="198">
        <v>301.62935900000002</v>
      </c>
      <c r="M128" s="198">
        <v>332.48288700000001</v>
      </c>
      <c r="N128" s="198">
        <v>315.27266900000001</v>
      </c>
      <c r="O128" s="198">
        <v>308.60664700000001</v>
      </c>
      <c r="P128" s="198">
        <v>308.82652000000002</v>
      </c>
      <c r="Q128" s="198">
        <v>306.82307200000002</v>
      </c>
      <c r="R128" s="198">
        <v>311.65107799999998</v>
      </c>
      <c r="S128" s="198">
        <v>295.34965499999998</v>
      </c>
      <c r="T128" s="198">
        <v>301.51934999999997</v>
      </c>
      <c r="U128" s="198">
        <v>269.07042999999999</v>
      </c>
      <c r="V128" s="198">
        <v>237.13678899999999</v>
      </c>
      <c r="W128" s="198">
        <v>290.867997</v>
      </c>
      <c r="X128" s="198">
        <v>304.44358</v>
      </c>
      <c r="Y128" s="198">
        <v>323.38886200000002</v>
      </c>
      <c r="Z128" s="198">
        <v>321.39170000000001</v>
      </c>
    </row>
    <row r="129" spans="1:26">
      <c r="A129" s="197" t="s">
        <v>9</v>
      </c>
      <c r="B129" s="198">
        <v>2120.5986720000001</v>
      </c>
      <c r="C129" s="198">
        <v>2135.1723550000002</v>
      </c>
      <c r="D129" s="198">
        <v>2318.6465240000002</v>
      </c>
      <c r="E129" s="198">
        <v>2295.9331069999998</v>
      </c>
      <c r="F129" s="198">
        <v>2325.28728</v>
      </c>
      <c r="G129" s="198">
        <v>2449.5983719999999</v>
      </c>
      <c r="H129" s="198">
        <v>2206.4584759999998</v>
      </c>
      <c r="I129" s="198">
        <v>2390.974647</v>
      </c>
      <c r="J129" s="198">
        <v>2233.4769799999999</v>
      </c>
      <c r="K129" s="198">
        <v>2327.2263800000001</v>
      </c>
      <c r="L129" s="198">
        <v>2315.3605090000001</v>
      </c>
      <c r="M129" s="198">
        <v>2398.0747679999999</v>
      </c>
      <c r="N129" s="198">
        <v>2257.6581030000002</v>
      </c>
      <c r="O129" s="198">
        <v>2272.5539779999999</v>
      </c>
      <c r="P129" s="198">
        <v>2392.9653020000001</v>
      </c>
      <c r="Q129" s="198">
        <v>2441.5411549999999</v>
      </c>
      <c r="R129" s="198">
        <v>2489.4079710000001</v>
      </c>
      <c r="S129" s="198">
        <v>2480.4490580000002</v>
      </c>
      <c r="T129" s="198">
        <v>2251.2689540000001</v>
      </c>
      <c r="U129" s="198">
        <v>2335.5272960000002</v>
      </c>
      <c r="V129" s="198">
        <v>2353.5895970000001</v>
      </c>
      <c r="W129" s="198">
        <v>2418.3062</v>
      </c>
      <c r="X129" s="198">
        <v>2402.7120199999999</v>
      </c>
      <c r="Y129" s="198">
        <v>2432.0428059999999</v>
      </c>
      <c r="Z129" s="198">
        <v>2367.3085000000001</v>
      </c>
    </row>
    <row r="130" spans="1:26">
      <c r="A130" s="197" t="s">
        <v>71</v>
      </c>
      <c r="B130" s="198">
        <v>60.315487500000003</v>
      </c>
      <c r="C130" s="198">
        <v>62.051794000000001</v>
      </c>
      <c r="D130" s="198">
        <v>60.050152500000003</v>
      </c>
      <c r="E130" s="198">
        <v>64.739298500000004</v>
      </c>
      <c r="F130" s="198">
        <v>69.907307500000002</v>
      </c>
      <c r="G130" s="198">
        <v>64.737576000000004</v>
      </c>
      <c r="H130" s="198">
        <v>55.999209499999999</v>
      </c>
      <c r="I130" s="198">
        <v>59.911041500000003</v>
      </c>
      <c r="J130" s="198">
        <v>46.575312500000003</v>
      </c>
      <c r="K130" s="198">
        <v>34.262042999999998</v>
      </c>
      <c r="L130" s="198">
        <v>66.986296999999993</v>
      </c>
      <c r="M130" s="198">
        <v>68.889366999999993</v>
      </c>
      <c r="N130" s="198">
        <v>65.701224999999994</v>
      </c>
      <c r="O130" s="198">
        <v>62.429442000000002</v>
      </c>
      <c r="P130" s="198">
        <v>66.129401999999999</v>
      </c>
      <c r="Q130" s="198">
        <v>66.557590000000005</v>
      </c>
      <c r="R130" s="198">
        <v>69.971927500000007</v>
      </c>
      <c r="S130" s="198">
        <v>69.2635705</v>
      </c>
      <c r="T130" s="198">
        <v>62.195681999999998</v>
      </c>
      <c r="U130" s="198">
        <v>65.909200499999997</v>
      </c>
      <c r="V130" s="198">
        <v>66.929152000000002</v>
      </c>
      <c r="W130" s="198">
        <v>24.344857999999999</v>
      </c>
      <c r="X130" s="198">
        <v>50.801109500000003</v>
      </c>
      <c r="Y130" s="198">
        <v>64.813796999999994</v>
      </c>
      <c r="Z130" s="198">
        <v>66.838449999999995</v>
      </c>
    </row>
    <row r="131" spans="1:26">
      <c r="A131" s="197" t="s">
        <v>72</v>
      </c>
      <c r="B131" s="198">
        <v>243.1547295</v>
      </c>
      <c r="C131" s="198">
        <v>236.99320800000001</v>
      </c>
      <c r="D131" s="198">
        <v>230.03787149999999</v>
      </c>
      <c r="E131" s="198">
        <v>205.3221455</v>
      </c>
      <c r="F131" s="198">
        <v>203.3012535</v>
      </c>
      <c r="G131" s="198">
        <v>216.856933</v>
      </c>
      <c r="H131" s="198">
        <v>190.8861225</v>
      </c>
      <c r="I131" s="198">
        <v>209.13019650000001</v>
      </c>
      <c r="J131" s="198">
        <v>172.6677655</v>
      </c>
      <c r="K131" s="198">
        <v>175.58351999999999</v>
      </c>
      <c r="L131" s="198">
        <v>211.361659</v>
      </c>
      <c r="M131" s="198">
        <v>200.62811600000001</v>
      </c>
      <c r="N131" s="198">
        <v>215.23479399999999</v>
      </c>
      <c r="O131" s="198">
        <v>213.315484</v>
      </c>
      <c r="P131" s="198">
        <v>228.412195</v>
      </c>
      <c r="Q131" s="198">
        <v>206.525261</v>
      </c>
      <c r="R131" s="198">
        <v>218.5118425</v>
      </c>
      <c r="S131" s="198">
        <v>226.5715625</v>
      </c>
      <c r="T131" s="198">
        <v>204.21008800000001</v>
      </c>
      <c r="U131" s="198">
        <v>215.3954785</v>
      </c>
      <c r="V131" s="198">
        <v>169.464494</v>
      </c>
      <c r="W131" s="198">
        <v>137.027331</v>
      </c>
      <c r="X131" s="198">
        <v>175.4103795</v>
      </c>
      <c r="Y131" s="198">
        <v>199.57543200000001</v>
      </c>
      <c r="Z131" s="198">
        <v>200.26025000000001</v>
      </c>
    </row>
    <row r="132" spans="1:26">
      <c r="A132" s="200" t="s">
        <v>10</v>
      </c>
      <c r="B132" s="201">
        <v>20704.771396</v>
      </c>
      <c r="C132" s="201">
        <v>19919.091410000001</v>
      </c>
      <c r="D132" s="201">
        <v>20572.310496999999</v>
      </c>
      <c r="E132" s="201">
        <v>20684.213309999999</v>
      </c>
      <c r="F132" s="201">
        <v>20790.049777</v>
      </c>
      <c r="G132" s="201">
        <v>24141.13248</v>
      </c>
      <c r="H132" s="201">
        <v>19965.744717000001</v>
      </c>
      <c r="I132" s="201">
        <v>20042.476429999999</v>
      </c>
      <c r="J132" s="201">
        <v>18321.733018999999</v>
      </c>
      <c r="K132" s="201">
        <v>19064.169881999998</v>
      </c>
      <c r="L132" s="201">
        <v>20858.350868000001</v>
      </c>
      <c r="M132" s="201">
        <v>21468.995669</v>
      </c>
      <c r="N132" s="201">
        <v>20312.963628000001</v>
      </c>
      <c r="O132" s="201">
        <v>19032.477428999999</v>
      </c>
      <c r="P132" s="201">
        <v>20193.038908999999</v>
      </c>
      <c r="Q132" s="201">
        <v>21583.331876</v>
      </c>
      <c r="R132" s="201">
        <v>23137.836201999999</v>
      </c>
      <c r="S132" s="201">
        <v>21726.830746</v>
      </c>
      <c r="T132" s="201">
        <v>20761.173205999999</v>
      </c>
      <c r="U132" s="201">
        <v>23141.781786</v>
      </c>
      <c r="V132" s="201">
        <v>19662.724482000001</v>
      </c>
      <c r="W132" s="201">
        <v>19004.744847999998</v>
      </c>
      <c r="X132" s="201">
        <v>18649.977337</v>
      </c>
      <c r="Y132" s="201">
        <v>20491.458041000002</v>
      </c>
      <c r="Z132" s="201">
        <v>21075.406299999999</v>
      </c>
    </row>
    <row r="133" spans="1:26">
      <c r="A133" s="197" t="s">
        <v>428</v>
      </c>
      <c r="B133" s="198">
        <v>-161.324649776</v>
      </c>
      <c r="C133" s="198">
        <v>-122.898689</v>
      </c>
      <c r="D133" s="198">
        <v>-230.009151952</v>
      </c>
      <c r="E133" s="198">
        <v>-353.599471376</v>
      </c>
      <c r="F133" s="198">
        <v>-343.12609700000002</v>
      </c>
      <c r="G133" s="198">
        <v>-434.60426672</v>
      </c>
      <c r="H133" s="198">
        <v>-482.99988120799998</v>
      </c>
      <c r="I133" s="198">
        <v>-334.470282166</v>
      </c>
      <c r="J133" s="198">
        <v>-342.53471273999997</v>
      </c>
      <c r="K133" s="198">
        <v>-229.22229382399999</v>
      </c>
      <c r="L133" s="198">
        <v>-192.691575</v>
      </c>
      <c r="M133" s="198">
        <v>-174.03281200000001</v>
      </c>
      <c r="N133" s="198">
        <v>-204.91962000000001</v>
      </c>
      <c r="O133" s="198">
        <v>-164.38873100000001</v>
      </c>
      <c r="P133" s="198">
        <v>-222.16092699999999</v>
      </c>
      <c r="Q133" s="198">
        <v>-270.17416400000002</v>
      </c>
      <c r="R133" s="198">
        <v>-555.38172199999997</v>
      </c>
      <c r="S133" s="198">
        <v>-391.47835199999997</v>
      </c>
      <c r="T133" s="198">
        <v>-253.86108899999999</v>
      </c>
      <c r="U133" s="198">
        <v>-733.49642400000005</v>
      </c>
      <c r="V133" s="198">
        <v>-560.06841218399995</v>
      </c>
      <c r="W133" s="198">
        <v>-213.24354462900001</v>
      </c>
      <c r="X133" s="198">
        <v>-83.652090872000002</v>
      </c>
      <c r="Y133" s="198">
        <v>-57.940257936000002</v>
      </c>
      <c r="Z133" s="198">
        <v>-73.144499999999994</v>
      </c>
    </row>
    <row r="134" spans="1:26">
      <c r="A134" s="197" t="s">
        <v>109</v>
      </c>
      <c r="B134" s="198">
        <v>-152.53868</v>
      </c>
      <c r="C134" s="198">
        <v>-109.260447</v>
      </c>
      <c r="D134" s="198">
        <v>-90.883770999999996</v>
      </c>
      <c r="E134" s="198">
        <v>-58.978757000000002</v>
      </c>
      <c r="F134" s="198">
        <v>-85.128666999999993</v>
      </c>
      <c r="G134" s="198">
        <v>-96.651403000000002</v>
      </c>
      <c r="H134" s="198">
        <v>-64.562011999999996</v>
      </c>
      <c r="I134" s="198">
        <v>-78.352012000000002</v>
      </c>
      <c r="J134" s="198">
        <v>-57.072946000000002</v>
      </c>
      <c r="K134" s="198">
        <v>-75.027427000000003</v>
      </c>
      <c r="L134" s="198">
        <v>-114.23341499999999</v>
      </c>
      <c r="M134" s="198">
        <v>-155.21145899999999</v>
      </c>
      <c r="N134" s="198">
        <v>-166.87624500000001</v>
      </c>
      <c r="O134" s="198">
        <v>-116.104623</v>
      </c>
      <c r="P134" s="198">
        <v>-93.286300999999995</v>
      </c>
      <c r="Q134" s="198">
        <v>-70.161934000000002</v>
      </c>
      <c r="R134" s="198">
        <v>-91.766864999999996</v>
      </c>
      <c r="S134" s="198">
        <v>-86.203828999999999</v>
      </c>
      <c r="T134" s="198">
        <v>-99.993398999999997</v>
      </c>
      <c r="U134" s="198">
        <v>-89.996875000000003</v>
      </c>
      <c r="V134" s="198">
        <v>-66.467519999999993</v>
      </c>
      <c r="W134" s="198">
        <v>-89.565090999999995</v>
      </c>
      <c r="X134" s="198">
        <v>-108.62363499999999</v>
      </c>
      <c r="Y134" s="198">
        <v>-161.79160300000001</v>
      </c>
      <c r="Z134" s="198">
        <v>-153.37180000000001</v>
      </c>
    </row>
    <row r="135" spans="1:26">
      <c r="A135" s="197" t="s">
        <v>429</v>
      </c>
      <c r="B135" s="198">
        <v>1034.6561139999999</v>
      </c>
      <c r="C135" s="198">
        <v>1121.321048</v>
      </c>
      <c r="D135" s="198">
        <v>-433.77812599999999</v>
      </c>
      <c r="E135" s="198">
        <v>357.21121499999998</v>
      </c>
      <c r="F135" s="198">
        <v>938.722174</v>
      </c>
      <c r="G135" s="198">
        <v>-531.54929800000002</v>
      </c>
      <c r="H135" s="198">
        <v>541.13476000000003</v>
      </c>
      <c r="I135" s="198">
        <v>1457.080766</v>
      </c>
      <c r="J135" s="198">
        <v>1040.955944</v>
      </c>
      <c r="K135" s="198">
        <v>1444.9895650000001</v>
      </c>
      <c r="L135" s="198">
        <v>1128.8756840000001</v>
      </c>
      <c r="M135" s="198">
        <v>1273.4433959999999</v>
      </c>
      <c r="N135" s="198">
        <v>1827.9167399999999</v>
      </c>
      <c r="O135" s="198">
        <v>1393.3093409999999</v>
      </c>
      <c r="P135" s="198">
        <v>282.97961800000002</v>
      </c>
      <c r="Q135" s="198">
        <v>-350.214877</v>
      </c>
      <c r="R135" s="198">
        <v>-339.92811599999999</v>
      </c>
      <c r="S135" s="198">
        <v>1340.2982629999999</v>
      </c>
      <c r="T135" s="198">
        <v>857.11326899999995</v>
      </c>
      <c r="U135" s="198">
        <v>-273.62203199999999</v>
      </c>
      <c r="V135" s="198">
        <v>882.59852599999999</v>
      </c>
      <c r="W135" s="198">
        <v>1368.3609369999999</v>
      </c>
      <c r="X135" s="198">
        <v>1863.9643000000001</v>
      </c>
      <c r="Y135" s="198">
        <v>1893.727091</v>
      </c>
      <c r="Z135" s="198">
        <v>1234.3241</v>
      </c>
    </row>
    <row r="136" spans="1:26">
      <c r="A136" s="200" t="s">
        <v>430</v>
      </c>
      <c r="B136" s="201">
        <v>21425.564180223999</v>
      </c>
      <c r="C136" s="201">
        <v>20808.253322</v>
      </c>
      <c r="D136" s="201">
        <v>19817.639448048001</v>
      </c>
      <c r="E136" s="201">
        <v>20628.846296624</v>
      </c>
      <c r="F136" s="201">
        <v>21300.517187000001</v>
      </c>
      <c r="G136" s="201">
        <v>23078.327512280001</v>
      </c>
      <c r="H136" s="201">
        <v>19959.317583791999</v>
      </c>
      <c r="I136" s="201">
        <v>21086.734901833999</v>
      </c>
      <c r="J136" s="201">
        <v>18963.081304259998</v>
      </c>
      <c r="K136" s="201">
        <v>20204.909726176</v>
      </c>
      <c r="L136" s="201">
        <v>21680.301562000001</v>
      </c>
      <c r="M136" s="201">
        <v>22413.194793999999</v>
      </c>
      <c r="N136" s="201">
        <v>21769.084502999998</v>
      </c>
      <c r="O136" s="201">
        <v>20145.293416</v>
      </c>
      <c r="P136" s="201">
        <v>20160.571298999999</v>
      </c>
      <c r="Q136" s="201">
        <v>20892.780900999998</v>
      </c>
      <c r="R136" s="201">
        <v>22150.759499</v>
      </c>
      <c r="S136" s="201">
        <v>22589.446828</v>
      </c>
      <c r="T136" s="201">
        <v>21264.431987</v>
      </c>
      <c r="U136" s="201">
        <v>22044.666454999999</v>
      </c>
      <c r="V136" s="201">
        <v>19918.787075815999</v>
      </c>
      <c r="W136" s="201">
        <v>20070.297149370999</v>
      </c>
      <c r="X136" s="201">
        <v>20321.665911127999</v>
      </c>
      <c r="Y136" s="201">
        <v>22165.453271064001</v>
      </c>
      <c r="Z136" s="201">
        <v>22083.214100000001</v>
      </c>
    </row>
    <row r="140" spans="1:26" s="210" customFormat="1" ht="12">
      <c r="A140" s="216" t="s">
        <v>30</v>
      </c>
      <c r="B140" s="216" t="str">
        <f>MID(UPPER(TEXT(B141,"mmm")),1,1)</f>
        <v>A</v>
      </c>
      <c r="C140" s="216" t="str">
        <f t="shared" ref="C140:N140" si="7">MID(UPPER(TEXT(C141,"mmm")),1,1)</f>
        <v>S</v>
      </c>
      <c r="D140" s="216" t="str">
        <f t="shared" si="7"/>
        <v>O</v>
      </c>
      <c r="E140" s="216" t="str">
        <f t="shared" si="7"/>
        <v>N</v>
      </c>
      <c r="F140" s="216" t="str">
        <f t="shared" si="7"/>
        <v>D</v>
      </c>
      <c r="G140" s="216" t="str">
        <f t="shared" si="7"/>
        <v>E</v>
      </c>
      <c r="H140" s="216" t="str">
        <f t="shared" si="7"/>
        <v>F</v>
      </c>
      <c r="I140" s="216" t="str">
        <f t="shared" si="7"/>
        <v>M</v>
      </c>
      <c r="J140" s="216" t="str">
        <f t="shared" si="7"/>
        <v>A</v>
      </c>
      <c r="K140" s="216" t="str">
        <f t="shared" si="7"/>
        <v>M</v>
      </c>
      <c r="L140" s="216" t="str">
        <f t="shared" si="7"/>
        <v>J</v>
      </c>
      <c r="M140" s="216" t="str">
        <f t="shared" si="7"/>
        <v>J</v>
      </c>
      <c r="N140" s="216" t="str">
        <f t="shared" si="7"/>
        <v>A</v>
      </c>
    </row>
    <row r="141" spans="1:26" s="210" customFormat="1" ht="12">
      <c r="A141" s="216" t="s">
        <v>145</v>
      </c>
      <c r="B141" s="216" t="str">
        <f t="shared" ref="B141:L141" si="8">TEXT(EDATE(C141,-1),"mmmm aaaa")</f>
        <v>agosto 2017</v>
      </c>
      <c r="C141" s="216" t="str">
        <f t="shared" si="8"/>
        <v>septiembre 2017</v>
      </c>
      <c r="D141" s="216" t="str">
        <f t="shared" si="8"/>
        <v>octubre 2017</v>
      </c>
      <c r="E141" s="216" t="str">
        <f t="shared" si="8"/>
        <v>noviembre 2017</v>
      </c>
      <c r="F141" s="216" t="str">
        <f t="shared" si="8"/>
        <v>diciembre 2017</v>
      </c>
      <c r="G141" s="216" t="str">
        <f t="shared" si="8"/>
        <v>enero 2018</v>
      </c>
      <c r="H141" s="216" t="str">
        <f t="shared" si="8"/>
        <v>febrero 2018</v>
      </c>
      <c r="I141" s="216" t="str">
        <f t="shared" si="8"/>
        <v>marzo 2018</v>
      </c>
      <c r="J141" s="216" t="str">
        <f t="shared" si="8"/>
        <v>abril 2018</v>
      </c>
      <c r="K141" s="216" t="str">
        <f t="shared" si="8"/>
        <v>mayo 2018</v>
      </c>
      <c r="L141" s="216" t="str">
        <f t="shared" si="8"/>
        <v>junio 2018</v>
      </c>
      <c r="M141" s="216" t="str">
        <f>TEXT(EDATE(N141,-1),"mmmm aaaa")</f>
        <v>julio 2018</v>
      </c>
      <c r="N141" s="216" t="str">
        <f>A2</f>
        <v>Agosto 2018</v>
      </c>
    </row>
    <row r="142" spans="1:26" s="213" customFormat="1" ht="12">
      <c r="A142" s="211" t="s">
        <v>2</v>
      </c>
      <c r="B142" s="212">
        <f t="shared" ref="B142:N142" si="9">HLOOKUP(B$141,$117:$133,3,FALSE)</f>
        <v>1082.4397687339999</v>
      </c>
      <c r="C142" s="212">
        <f t="shared" si="9"/>
        <v>1147.5808360619999</v>
      </c>
      <c r="D142" s="212">
        <f t="shared" si="9"/>
        <v>773.35631237799998</v>
      </c>
      <c r="E142" s="212">
        <f t="shared" si="9"/>
        <v>831.61728853199998</v>
      </c>
      <c r="F142" s="212">
        <f t="shared" si="9"/>
        <v>1249.93701867</v>
      </c>
      <c r="G142" s="212">
        <f t="shared" si="9"/>
        <v>2193.9237987860001</v>
      </c>
      <c r="H142" s="212">
        <f t="shared" si="9"/>
        <v>2387.5167263500002</v>
      </c>
      <c r="I142" s="212">
        <f t="shared" si="9"/>
        <v>4399.0090775560002</v>
      </c>
      <c r="J142" s="212">
        <f t="shared" si="9"/>
        <v>4716.4282802460002</v>
      </c>
      <c r="K142" s="212">
        <f t="shared" si="9"/>
        <v>3520.7950463239999</v>
      </c>
      <c r="L142" s="212">
        <f t="shared" si="9"/>
        <v>3708.6988255840001</v>
      </c>
      <c r="M142" s="212">
        <f t="shared" si="9"/>
        <v>3024.3379099859999</v>
      </c>
      <c r="N142" s="212">
        <f t="shared" si="9"/>
        <v>2110.0834</v>
      </c>
    </row>
    <row r="143" spans="1:26" s="213" customFormat="1" ht="12">
      <c r="A143" s="211" t="s">
        <v>83</v>
      </c>
      <c r="B143" s="212">
        <f t="shared" ref="B143:N143" si="10">HLOOKUP(B$141,$117:$133,4,FALSE)</f>
        <v>112.205176266</v>
      </c>
      <c r="C143" s="212">
        <f t="shared" si="10"/>
        <v>118.471554938</v>
      </c>
      <c r="D143" s="212">
        <f t="shared" si="10"/>
        <v>133.820917622</v>
      </c>
      <c r="E143" s="212">
        <f t="shared" si="10"/>
        <v>222.09125546800001</v>
      </c>
      <c r="F143" s="212">
        <f t="shared" si="10"/>
        <v>309.58646633000001</v>
      </c>
      <c r="G143" s="212">
        <f t="shared" si="10"/>
        <v>273.43523521399999</v>
      </c>
      <c r="H143" s="212">
        <f t="shared" si="10"/>
        <v>180.62302364999999</v>
      </c>
      <c r="I143" s="212">
        <f t="shared" si="10"/>
        <v>369.77771444400003</v>
      </c>
      <c r="J143" s="212">
        <f t="shared" si="10"/>
        <v>345.63732475400002</v>
      </c>
      <c r="K143" s="212">
        <f t="shared" si="10"/>
        <v>153.27436067599999</v>
      </c>
      <c r="L143" s="212">
        <f t="shared" si="10"/>
        <v>58.722846416000003</v>
      </c>
      <c r="M143" s="212">
        <f t="shared" si="10"/>
        <v>35.306144013999997</v>
      </c>
      <c r="N143" s="212">
        <f t="shared" si="10"/>
        <v>50.643900000000002</v>
      </c>
    </row>
    <row r="144" spans="1:26" s="213" customFormat="1" ht="12">
      <c r="A144" s="211" t="s">
        <v>3</v>
      </c>
      <c r="B144" s="212">
        <f t="shared" ref="B144:N144" si="11">HLOOKUP(B$141,$117:$133,5,FALSE)</f>
        <v>5078.9521169999998</v>
      </c>
      <c r="C144" s="212">
        <f t="shared" si="11"/>
        <v>4722.5735260000001</v>
      </c>
      <c r="D144" s="212">
        <f t="shared" si="11"/>
        <v>4301.3254559999996</v>
      </c>
      <c r="E144" s="212">
        <f t="shared" si="11"/>
        <v>3601.78287</v>
      </c>
      <c r="F144" s="212">
        <f t="shared" si="11"/>
        <v>5039.108604</v>
      </c>
      <c r="G144" s="212">
        <f t="shared" si="11"/>
        <v>5096.5286329999999</v>
      </c>
      <c r="H144" s="212">
        <f t="shared" si="11"/>
        <v>4592.3205680000001</v>
      </c>
      <c r="I144" s="212">
        <f t="shared" si="11"/>
        <v>4488.9170219999996</v>
      </c>
      <c r="J144" s="212">
        <f t="shared" si="11"/>
        <v>3812.588835</v>
      </c>
      <c r="K144" s="212">
        <f t="shared" si="11"/>
        <v>3728.673667</v>
      </c>
      <c r="L144" s="212">
        <f t="shared" si="11"/>
        <v>3591.591351</v>
      </c>
      <c r="M144" s="212">
        <f t="shared" si="11"/>
        <v>4471.0236880000002</v>
      </c>
      <c r="N144" s="212">
        <f t="shared" si="11"/>
        <v>5140.7584999999999</v>
      </c>
    </row>
    <row r="145" spans="1:14" s="213" customFormat="1" ht="12">
      <c r="A145" s="211" t="s">
        <v>4</v>
      </c>
      <c r="B145" s="212">
        <f t="shared" ref="B145:N145" si="12">HLOOKUP(B$141,$117:$133,6,FALSE)</f>
        <v>2962.4341599999998</v>
      </c>
      <c r="C145" s="212">
        <f t="shared" si="12"/>
        <v>2821.1507489999999</v>
      </c>
      <c r="D145" s="212">
        <f t="shared" si="12"/>
        <v>3901.3327119999999</v>
      </c>
      <c r="E145" s="212">
        <f t="shared" si="12"/>
        <v>4664.8877439999997</v>
      </c>
      <c r="F145" s="212">
        <f t="shared" si="12"/>
        <v>4128.1496340000003</v>
      </c>
      <c r="G145" s="212">
        <f t="shared" si="12"/>
        <v>3020.0704609999998</v>
      </c>
      <c r="H145" s="212">
        <f t="shared" si="12"/>
        <v>3488.6857300000001</v>
      </c>
      <c r="I145" s="212">
        <f t="shared" si="12"/>
        <v>1310.6821359999999</v>
      </c>
      <c r="J145" s="212">
        <f t="shared" si="12"/>
        <v>1360.590295</v>
      </c>
      <c r="K145" s="212">
        <f t="shared" si="12"/>
        <v>2254.3341909999999</v>
      </c>
      <c r="L145" s="212">
        <f t="shared" si="12"/>
        <v>2273.6508990000002</v>
      </c>
      <c r="M145" s="212">
        <f t="shared" si="12"/>
        <v>3488.1731799999998</v>
      </c>
      <c r="N145" s="212">
        <f t="shared" si="12"/>
        <v>3524.2485000000001</v>
      </c>
    </row>
    <row r="146" spans="1:14" s="213" customFormat="1" ht="12">
      <c r="A146" s="211" t="s">
        <v>11</v>
      </c>
      <c r="B146" s="212">
        <f t="shared" ref="B146:N146" si="13">HLOOKUP(B$141,$117:$133,8,FALSE)</f>
        <v>3454.4160280000001</v>
      </c>
      <c r="C146" s="212">
        <f t="shared" si="13"/>
        <v>3197.9247850000002</v>
      </c>
      <c r="D146" s="212">
        <f t="shared" si="13"/>
        <v>3848.6854699999999</v>
      </c>
      <c r="E146" s="212">
        <f t="shared" si="13"/>
        <v>4546.437715</v>
      </c>
      <c r="F146" s="212">
        <f t="shared" si="13"/>
        <v>3028.112431</v>
      </c>
      <c r="G146" s="212">
        <f t="shared" si="13"/>
        <v>2254.6323689999999</v>
      </c>
      <c r="H146" s="212">
        <f t="shared" si="13"/>
        <v>1950.724201</v>
      </c>
      <c r="I146" s="212">
        <f t="shared" si="13"/>
        <v>1248.0405949999999</v>
      </c>
      <c r="J146" s="212">
        <f t="shared" si="13"/>
        <v>1200.6612050000001</v>
      </c>
      <c r="K146" s="212">
        <f t="shared" si="13"/>
        <v>1968.4294669999999</v>
      </c>
      <c r="L146" s="212">
        <f t="shared" si="13"/>
        <v>2180.1881910000002</v>
      </c>
      <c r="M146" s="212">
        <f t="shared" si="13"/>
        <v>2229.279387</v>
      </c>
      <c r="N146" s="212">
        <f t="shared" si="13"/>
        <v>2703.9531999999999</v>
      </c>
    </row>
    <row r="147" spans="1:14" s="213" customFormat="1" ht="12">
      <c r="A147" s="211" t="s">
        <v>5</v>
      </c>
      <c r="B147" s="212">
        <f t="shared" ref="B147:N147" si="14">HLOOKUP(B$141,$117:$133,9,FALSE)</f>
        <v>3296.3615829999999</v>
      </c>
      <c r="C147" s="212">
        <f t="shared" si="14"/>
        <v>2817.340224</v>
      </c>
      <c r="D147" s="212">
        <f t="shared" si="14"/>
        <v>3186.7215689999998</v>
      </c>
      <c r="E147" s="212">
        <f t="shared" si="14"/>
        <v>3957.8393489999999</v>
      </c>
      <c r="F147" s="212">
        <f t="shared" si="14"/>
        <v>5753.2710479999996</v>
      </c>
      <c r="G147" s="212">
        <f t="shared" si="14"/>
        <v>5286.0049170000002</v>
      </c>
      <c r="H147" s="212">
        <f t="shared" si="14"/>
        <v>4625.0512550000003</v>
      </c>
      <c r="I147" s="212">
        <f t="shared" si="14"/>
        <v>7650.1390380000003</v>
      </c>
      <c r="J147" s="212">
        <f t="shared" si="14"/>
        <v>4409.5657819999997</v>
      </c>
      <c r="K147" s="212">
        <f t="shared" si="14"/>
        <v>3253.8841389999998</v>
      </c>
      <c r="L147" s="212">
        <f t="shared" si="14"/>
        <v>2577.227746</v>
      </c>
      <c r="M147" s="212">
        <f t="shared" si="14"/>
        <v>2478.2899400000001</v>
      </c>
      <c r="N147" s="212">
        <f t="shared" si="14"/>
        <v>3056.7289999999998</v>
      </c>
    </row>
    <row r="148" spans="1:14" s="213" customFormat="1" ht="12">
      <c r="A148" s="211" t="s">
        <v>6</v>
      </c>
      <c r="B148" s="212">
        <f t="shared" ref="B148:N148" si="15">HLOOKUP(B$141,$117:$133,10,FALSE)</f>
        <v>779.85283000000004</v>
      </c>
      <c r="C148" s="212">
        <f t="shared" si="15"/>
        <v>742.38754800000004</v>
      </c>
      <c r="D148" s="212">
        <f t="shared" si="15"/>
        <v>652.66983100000004</v>
      </c>
      <c r="E148" s="212">
        <f t="shared" si="15"/>
        <v>516.57625399999995</v>
      </c>
      <c r="F148" s="212">
        <f t="shared" si="15"/>
        <v>408.96712500000001</v>
      </c>
      <c r="G148" s="212">
        <f t="shared" si="15"/>
        <v>418.21396900000002</v>
      </c>
      <c r="H148" s="212">
        <f t="shared" si="15"/>
        <v>487.24947700000001</v>
      </c>
      <c r="I148" s="212">
        <f t="shared" si="15"/>
        <v>555.35785499999997</v>
      </c>
      <c r="J148" s="212">
        <f t="shared" si="15"/>
        <v>664.19763599999999</v>
      </c>
      <c r="K148" s="212">
        <f t="shared" si="15"/>
        <v>777.59795799999995</v>
      </c>
      <c r="L148" s="212">
        <f t="shared" si="15"/>
        <v>775.23778600000003</v>
      </c>
      <c r="M148" s="212">
        <f t="shared" si="15"/>
        <v>886.33224600000005</v>
      </c>
      <c r="N148" s="212">
        <f t="shared" si="15"/>
        <v>790.10954743100001</v>
      </c>
    </row>
    <row r="149" spans="1:14" s="213" customFormat="1" ht="12">
      <c r="A149" s="211" t="s">
        <v>7</v>
      </c>
      <c r="B149" s="212">
        <f t="shared" ref="B149:N149" si="16">HLOOKUP(B$141,$117:$133,11,FALSE)</f>
        <v>692.43517499999996</v>
      </c>
      <c r="C149" s="212">
        <f t="shared" si="16"/>
        <v>608.14265499999999</v>
      </c>
      <c r="D149" s="212">
        <f t="shared" si="16"/>
        <v>398.79322200000001</v>
      </c>
      <c r="E149" s="212">
        <f t="shared" si="16"/>
        <v>220.652322</v>
      </c>
      <c r="F149" s="212">
        <f t="shared" si="16"/>
        <v>131.161056</v>
      </c>
      <c r="G149" s="212">
        <f t="shared" si="16"/>
        <v>112.387517</v>
      </c>
      <c r="H149" s="212">
        <f t="shared" si="16"/>
        <v>229.80815100000001</v>
      </c>
      <c r="I149" s="212">
        <f t="shared" si="16"/>
        <v>233.95594299999999</v>
      </c>
      <c r="J149" s="212">
        <f t="shared" si="16"/>
        <v>325.935092</v>
      </c>
      <c r="K149" s="212">
        <f t="shared" si="16"/>
        <v>477.20963399999999</v>
      </c>
      <c r="L149" s="212">
        <f t="shared" si="16"/>
        <v>551.29260299999999</v>
      </c>
      <c r="M149" s="212">
        <f t="shared" si="16"/>
        <v>858.89464799999996</v>
      </c>
      <c r="N149" s="212">
        <f t="shared" si="16"/>
        <v>743.08135256900005</v>
      </c>
    </row>
    <row r="150" spans="1:14" s="213" customFormat="1" ht="12">
      <c r="A150" s="211" t="s">
        <v>8</v>
      </c>
      <c r="B150" s="212">
        <f t="shared" ref="B150:N150" si="17">HLOOKUP(B$141,$117:$133,12,FALSE)</f>
        <v>315.27266900000001</v>
      </c>
      <c r="C150" s="212">
        <f t="shared" si="17"/>
        <v>308.60664700000001</v>
      </c>
      <c r="D150" s="212">
        <f t="shared" si="17"/>
        <v>308.82652000000002</v>
      </c>
      <c r="E150" s="212">
        <f t="shared" si="17"/>
        <v>306.82307200000002</v>
      </c>
      <c r="F150" s="212">
        <f t="shared" si="17"/>
        <v>311.65107799999998</v>
      </c>
      <c r="G150" s="212">
        <f t="shared" si="17"/>
        <v>295.34965499999998</v>
      </c>
      <c r="H150" s="212">
        <f t="shared" si="17"/>
        <v>301.51934999999997</v>
      </c>
      <c r="I150" s="212">
        <f t="shared" si="17"/>
        <v>269.07042999999999</v>
      </c>
      <c r="J150" s="212">
        <f t="shared" si="17"/>
        <v>237.13678899999999</v>
      </c>
      <c r="K150" s="212">
        <f t="shared" si="17"/>
        <v>290.867997</v>
      </c>
      <c r="L150" s="212">
        <f t="shared" si="17"/>
        <v>304.44358</v>
      </c>
      <c r="M150" s="212">
        <f t="shared" si="17"/>
        <v>323.38886200000002</v>
      </c>
      <c r="N150" s="212">
        <f t="shared" si="17"/>
        <v>321.39170000000001</v>
      </c>
    </row>
    <row r="151" spans="1:14" s="213" customFormat="1" ht="12">
      <c r="A151" s="211" t="s">
        <v>9</v>
      </c>
      <c r="B151" s="212">
        <f t="shared" ref="B151:N151" si="18">HLOOKUP(B$141,$117:$133,13,FALSE)</f>
        <v>2257.6581030000002</v>
      </c>
      <c r="C151" s="212">
        <f t="shared" si="18"/>
        <v>2272.5539779999999</v>
      </c>
      <c r="D151" s="212">
        <f t="shared" si="18"/>
        <v>2392.9653020000001</v>
      </c>
      <c r="E151" s="212">
        <f t="shared" si="18"/>
        <v>2441.5411549999999</v>
      </c>
      <c r="F151" s="212">
        <f t="shared" si="18"/>
        <v>2489.4079710000001</v>
      </c>
      <c r="G151" s="212">
        <f t="shared" si="18"/>
        <v>2480.4490580000002</v>
      </c>
      <c r="H151" s="212">
        <f t="shared" si="18"/>
        <v>2251.2689540000001</v>
      </c>
      <c r="I151" s="212">
        <f t="shared" si="18"/>
        <v>2335.5272960000002</v>
      </c>
      <c r="J151" s="212">
        <f t="shared" si="18"/>
        <v>2353.5895970000001</v>
      </c>
      <c r="K151" s="212">
        <f t="shared" si="18"/>
        <v>2418.3062</v>
      </c>
      <c r="L151" s="212">
        <f t="shared" si="18"/>
        <v>2402.7120199999999</v>
      </c>
      <c r="M151" s="212">
        <f t="shared" si="18"/>
        <v>2432.0428059999999</v>
      </c>
      <c r="N151" s="212">
        <f t="shared" si="18"/>
        <v>2367.3085000000001</v>
      </c>
    </row>
    <row r="152" spans="1:14" s="213" customFormat="1" ht="12">
      <c r="A152" s="211" t="s">
        <v>72</v>
      </c>
      <c r="B152" s="212">
        <f t="shared" ref="B152:M152" si="19">HLOOKUP(B$141,$117:$133,15,FALSE)</f>
        <v>215.23479399999999</v>
      </c>
      <c r="C152" s="212">
        <f t="shared" si="19"/>
        <v>213.315484</v>
      </c>
      <c r="D152" s="212">
        <f t="shared" si="19"/>
        <v>228.412195</v>
      </c>
      <c r="E152" s="212">
        <f t="shared" si="19"/>
        <v>206.525261</v>
      </c>
      <c r="F152" s="212">
        <f t="shared" si="19"/>
        <v>218.5118425</v>
      </c>
      <c r="G152" s="212">
        <f t="shared" si="19"/>
        <v>226.5715625</v>
      </c>
      <c r="H152" s="212">
        <f t="shared" si="19"/>
        <v>204.21008800000001</v>
      </c>
      <c r="I152" s="212">
        <f t="shared" si="19"/>
        <v>215.3954785</v>
      </c>
      <c r="J152" s="212">
        <f t="shared" si="19"/>
        <v>169.464494</v>
      </c>
      <c r="K152" s="212">
        <f t="shared" si="19"/>
        <v>137.027331</v>
      </c>
      <c r="L152" s="212">
        <f t="shared" si="19"/>
        <v>175.4103795</v>
      </c>
      <c r="M152" s="212">
        <f t="shared" si="19"/>
        <v>199.57543200000001</v>
      </c>
      <c r="N152" s="212">
        <f>HLOOKUP(N$141,$117:$133,15,FALSE)</f>
        <v>200.26025000000001</v>
      </c>
    </row>
    <row r="153" spans="1:14" s="213" customFormat="1" ht="12">
      <c r="A153" s="211" t="s">
        <v>71</v>
      </c>
      <c r="B153" s="212">
        <f t="shared" ref="B153:M153" si="20">HLOOKUP(B$141,$117:$133,14,FALSE)</f>
        <v>65.701224999999994</v>
      </c>
      <c r="C153" s="212">
        <f t="shared" si="20"/>
        <v>62.429442000000002</v>
      </c>
      <c r="D153" s="212">
        <f t="shared" si="20"/>
        <v>66.129401999999999</v>
      </c>
      <c r="E153" s="212">
        <f t="shared" si="20"/>
        <v>66.557590000000005</v>
      </c>
      <c r="F153" s="212">
        <f t="shared" si="20"/>
        <v>69.971927500000007</v>
      </c>
      <c r="G153" s="212">
        <f t="shared" si="20"/>
        <v>69.2635705</v>
      </c>
      <c r="H153" s="212">
        <f t="shared" si="20"/>
        <v>62.195681999999998</v>
      </c>
      <c r="I153" s="212">
        <f t="shared" si="20"/>
        <v>65.909200499999997</v>
      </c>
      <c r="J153" s="212">
        <f t="shared" si="20"/>
        <v>66.929152000000002</v>
      </c>
      <c r="K153" s="212">
        <f t="shared" si="20"/>
        <v>24.344857999999999</v>
      </c>
      <c r="L153" s="212">
        <f t="shared" si="20"/>
        <v>50.801109500000003</v>
      </c>
      <c r="M153" s="212">
        <f t="shared" si="20"/>
        <v>64.813796999999994</v>
      </c>
      <c r="N153" s="212">
        <f>HLOOKUP(N$141,$117:$133,14,FALSE)</f>
        <v>66.838449999999995</v>
      </c>
    </row>
    <row r="154" spans="1:14" s="213" customFormat="1" ht="12">
      <c r="A154" s="214" t="s">
        <v>108</v>
      </c>
      <c r="B154" s="215">
        <f>SUM(B142:B153)</f>
        <v>20312.963629000002</v>
      </c>
      <c r="C154" s="215">
        <f t="shared" ref="C154:N154" si="21">SUM(C142:C153)</f>
        <v>19032.477428999999</v>
      </c>
      <c r="D154" s="215">
        <f t="shared" si="21"/>
        <v>20193.038908999999</v>
      </c>
      <c r="E154" s="215">
        <f t="shared" si="21"/>
        <v>21583.331875999997</v>
      </c>
      <c r="F154" s="215">
        <f t="shared" si="21"/>
        <v>23137.836201999999</v>
      </c>
      <c r="G154" s="215">
        <f t="shared" si="21"/>
        <v>21726.830746</v>
      </c>
      <c r="H154" s="215">
        <f t="shared" si="21"/>
        <v>20761.173205999999</v>
      </c>
      <c r="I154" s="215">
        <f t="shared" si="21"/>
        <v>23141.781785999996</v>
      </c>
      <c r="J154" s="215">
        <f t="shared" si="21"/>
        <v>19662.724482000001</v>
      </c>
      <c r="K154" s="215">
        <f t="shared" si="21"/>
        <v>19004.744849000002</v>
      </c>
      <c r="L154" s="215">
        <f t="shared" si="21"/>
        <v>18649.977337</v>
      </c>
      <c r="M154" s="215">
        <f t="shared" si="21"/>
        <v>20491.458040000005</v>
      </c>
      <c r="N154" s="215">
        <f t="shared" si="21"/>
        <v>21075.406299999995</v>
      </c>
    </row>
    <row r="156" spans="1:14" s="213" customFormat="1" ht="12">
      <c r="A156" s="217" t="s">
        <v>148</v>
      </c>
      <c r="B156" s="235">
        <f>B142+B147+B148+B149+B150+B153</f>
        <v>6232.0632507339988</v>
      </c>
      <c r="C156" s="235">
        <f t="shared" ref="C156:M156" si="22">C142+C147+C148+C149+C150+C153</f>
        <v>5686.4873520619985</v>
      </c>
      <c r="D156" s="235">
        <f t="shared" si="22"/>
        <v>5386.4968563779994</v>
      </c>
      <c r="E156" s="235">
        <f t="shared" si="22"/>
        <v>5900.0658755320001</v>
      </c>
      <c r="F156" s="235">
        <f t="shared" si="22"/>
        <v>7924.9592531699991</v>
      </c>
      <c r="G156" s="235">
        <f t="shared" si="22"/>
        <v>8375.1434272859988</v>
      </c>
      <c r="H156" s="235">
        <f t="shared" si="22"/>
        <v>8093.3406413500006</v>
      </c>
      <c r="I156" s="235">
        <f t="shared" si="22"/>
        <v>13173.441544056001</v>
      </c>
      <c r="J156" s="235">
        <f t="shared" si="22"/>
        <v>10420.192731246001</v>
      </c>
      <c r="K156" s="235">
        <f t="shared" si="22"/>
        <v>8344.699632324</v>
      </c>
      <c r="L156" s="235">
        <f t="shared" si="22"/>
        <v>7967.701650084</v>
      </c>
      <c r="M156" s="235">
        <f t="shared" si="22"/>
        <v>7636.057402985999</v>
      </c>
      <c r="N156" s="235">
        <f>N142+N147+N148+N149+N150+N153</f>
        <v>7088.2334499999997</v>
      </c>
    </row>
    <row r="157" spans="1:14" s="213" customFormat="1" ht="12">
      <c r="A157" s="217" t="s">
        <v>149</v>
      </c>
      <c r="B157" s="235">
        <f>B143+B144+B145+B146+B151+B152</f>
        <v>14080.900378266</v>
      </c>
      <c r="C157" s="235">
        <f t="shared" ref="C157:N157" si="23">C143+C144+C145+C146+C151+C152</f>
        <v>13345.990076938002</v>
      </c>
      <c r="D157" s="235">
        <f t="shared" si="23"/>
        <v>14806.542052622</v>
      </c>
      <c r="E157" s="235">
        <f t="shared" si="23"/>
        <v>15683.266000467998</v>
      </c>
      <c r="F157" s="235">
        <f t="shared" si="23"/>
        <v>15212.87694883</v>
      </c>
      <c r="G157" s="235">
        <f t="shared" si="23"/>
        <v>13351.687318714001</v>
      </c>
      <c r="H157" s="235">
        <f t="shared" si="23"/>
        <v>12667.832564649998</v>
      </c>
      <c r="I157" s="235">
        <f t="shared" si="23"/>
        <v>9968.3402419440008</v>
      </c>
      <c r="J157" s="235">
        <f t="shared" si="23"/>
        <v>9242.5317507540003</v>
      </c>
      <c r="K157" s="235">
        <f t="shared" si="23"/>
        <v>10660.045216675999</v>
      </c>
      <c r="L157" s="235">
        <f t="shared" si="23"/>
        <v>10682.275686915998</v>
      </c>
      <c r="M157" s="235">
        <f t="shared" si="23"/>
        <v>12855.400637014</v>
      </c>
      <c r="N157" s="235">
        <f t="shared" si="23"/>
        <v>13987.172849999999</v>
      </c>
    </row>
    <row r="158" spans="1:14" s="213" customFormat="1" ht="12">
      <c r="A158" s="217" t="s">
        <v>150</v>
      </c>
      <c r="B158" s="218">
        <f t="shared" ref="B158:M158" si="24">ROUND(B142/B$154*100,1)+ROUND(B147/B$154*100,1)+ROUND(B148/B$154*100,1)+ROUND(B149/B$154*100,1)+ROUND(B150/B$154*100,1)+ROUND(B153/B$154*100,1)</f>
        <v>30.6</v>
      </c>
      <c r="C158" s="218">
        <f t="shared" si="24"/>
        <v>29.8</v>
      </c>
      <c r="D158" s="218">
        <f t="shared" si="24"/>
        <v>26.6</v>
      </c>
      <c r="E158" s="218">
        <f t="shared" si="24"/>
        <v>27.299999999999997</v>
      </c>
      <c r="F158" s="218">
        <f t="shared" si="24"/>
        <v>34.29999999999999</v>
      </c>
      <c r="G158" s="218">
        <f t="shared" si="24"/>
        <v>38.499999999999993</v>
      </c>
      <c r="H158" s="218">
        <f t="shared" si="24"/>
        <v>38.999999999999993</v>
      </c>
      <c r="I158" s="218">
        <f t="shared" si="24"/>
        <v>57</v>
      </c>
      <c r="J158" s="218">
        <f t="shared" si="24"/>
        <v>53</v>
      </c>
      <c r="K158" s="218">
        <f t="shared" si="24"/>
        <v>43.800000000000004</v>
      </c>
      <c r="L158" s="218">
        <f t="shared" si="24"/>
        <v>42.800000000000004</v>
      </c>
      <c r="M158" s="218">
        <f t="shared" si="24"/>
        <v>37.299999999999997</v>
      </c>
      <c r="N158" s="218">
        <f>ROUND(N142/N$154*100,1)+ROUND(N147/N$154*100,1)+ROUND(N148/N$154*100,1)+ROUND(N149/N$154*100,1)+ROUND(N150/N$154*100,1)+ROUND(N153/N$154*100,1)</f>
        <v>33.5</v>
      </c>
    </row>
    <row r="159" spans="1:14" s="213" customFormat="1" ht="12">
      <c r="A159" s="217" t="s">
        <v>151</v>
      </c>
      <c r="B159" s="218">
        <f t="shared" ref="B159:M159" si="25">100-B158</f>
        <v>69.400000000000006</v>
      </c>
      <c r="C159" s="218">
        <f t="shared" si="25"/>
        <v>70.2</v>
      </c>
      <c r="D159" s="218">
        <f t="shared" si="25"/>
        <v>73.400000000000006</v>
      </c>
      <c r="E159" s="218">
        <f t="shared" si="25"/>
        <v>72.7</v>
      </c>
      <c r="F159" s="218">
        <f t="shared" si="25"/>
        <v>65.700000000000017</v>
      </c>
      <c r="G159" s="218">
        <f t="shared" si="25"/>
        <v>61.500000000000007</v>
      </c>
      <c r="H159" s="218">
        <f t="shared" si="25"/>
        <v>61.000000000000007</v>
      </c>
      <c r="I159" s="218">
        <f t="shared" si="25"/>
        <v>43</v>
      </c>
      <c r="J159" s="218">
        <f t="shared" si="25"/>
        <v>47</v>
      </c>
      <c r="K159" s="218">
        <f t="shared" si="25"/>
        <v>56.199999999999996</v>
      </c>
      <c r="L159" s="218">
        <f t="shared" si="25"/>
        <v>57.199999999999996</v>
      </c>
      <c r="M159" s="218">
        <f t="shared" si="25"/>
        <v>62.7</v>
      </c>
      <c r="N159" s="218">
        <f t="shared" ref="N159" si="26">100-N158</f>
        <v>66.5</v>
      </c>
    </row>
    <row r="160" spans="1:14" s="213" customFormat="1" ht="12">
      <c r="A160" s="217"/>
      <c r="B160" s="217"/>
    </row>
    <row r="161" spans="1:22" s="213" customFormat="1" ht="12">
      <c r="A161" s="217" t="s">
        <v>92</v>
      </c>
      <c r="B161" s="217"/>
    </row>
    <row r="162" spans="1:22" s="213" customFormat="1" ht="12">
      <c r="A162" s="217" t="s">
        <v>93</v>
      </c>
      <c r="B162" s="217"/>
    </row>
    <row r="164" spans="1:22" s="213" customFormat="1" ht="12">
      <c r="A164" s="217" t="s">
        <v>19</v>
      </c>
      <c r="B164" s="212">
        <f t="shared" ref="B164:M164" si="27">B142+B143+B144+B147+B148+B149+B150+B153</f>
        <v>11423.220544</v>
      </c>
      <c r="C164" s="212">
        <f t="shared" si="27"/>
        <v>10527.532433000002</v>
      </c>
      <c r="D164" s="212">
        <f t="shared" si="27"/>
        <v>9821.6432299999997</v>
      </c>
      <c r="E164" s="212">
        <f t="shared" si="27"/>
        <v>9723.940000999999</v>
      </c>
      <c r="F164" s="212">
        <f t="shared" si="27"/>
        <v>13273.654323500003</v>
      </c>
      <c r="G164" s="212">
        <f t="shared" si="27"/>
        <v>13745.1072955</v>
      </c>
      <c r="H164" s="212">
        <f t="shared" si="27"/>
        <v>12866.284232999998</v>
      </c>
      <c r="I164" s="212">
        <f t="shared" si="27"/>
        <v>18032.136280499999</v>
      </c>
      <c r="J164" s="212">
        <f t="shared" si="27"/>
        <v>14578.418891000001</v>
      </c>
      <c r="K164" s="212">
        <f t="shared" si="27"/>
        <v>12226.647660000001</v>
      </c>
      <c r="L164" s="212">
        <f t="shared" si="27"/>
        <v>11618.015847499999</v>
      </c>
      <c r="M164" s="212">
        <f t="shared" si="27"/>
        <v>12142.387235</v>
      </c>
      <c r="N164" s="212">
        <f>N142+N143+N144+N147+N148+N149+N150+N153</f>
        <v>12279.635849999999</v>
      </c>
    </row>
    <row r="165" spans="1:22" s="213" customFormat="1" ht="12">
      <c r="A165" s="217" t="s">
        <v>20</v>
      </c>
      <c r="B165" s="212">
        <f t="shared" ref="B165:M165" si="28">B145+B146+B151+B152</f>
        <v>8889.7430850000001</v>
      </c>
      <c r="C165" s="212">
        <f t="shared" si="28"/>
        <v>8504.9449960000002</v>
      </c>
      <c r="D165" s="212">
        <f t="shared" si="28"/>
        <v>10371.395679000001</v>
      </c>
      <c r="E165" s="212">
        <f t="shared" si="28"/>
        <v>11859.391874999999</v>
      </c>
      <c r="F165" s="212">
        <f t="shared" si="28"/>
        <v>9864.1818785000014</v>
      </c>
      <c r="G165" s="212">
        <f t="shared" si="28"/>
        <v>7981.7234505000006</v>
      </c>
      <c r="H165" s="212">
        <f t="shared" si="28"/>
        <v>7894.8889730000001</v>
      </c>
      <c r="I165" s="212">
        <f t="shared" si="28"/>
        <v>5109.6455054999997</v>
      </c>
      <c r="J165" s="212">
        <f t="shared" si="28"/>
        <v>5084.3055910000003</v>
      </c>
      <c r="K165" s="212">
        <f t="shared" si="28"/>
        <v>6778.0971890000001</v>
      </c>
      <c r="L165" s="212">
        <f t="shared" si="28"/>
        <v>7031.9614895000004</v>
      </c>
      <c r="M165" s="212">
        <f t="shared" si="28"/>
        <v>8349.0708049999994</v>
      </c>
      <c r="N165" s="212">
        <f>N145+N146+N151+N152</f>
        <v>8795.77045</v>
      </c>
    </row>
    <row r="166" spans="1:22" s="213" customFormat="1" ht="12">
      <c r="A166" s="217" t="s">
        <v>146</v>
      </c>
      <c r="B166" s="218">
        <f t="shared" ref="B166:M166" si="29">ROUND(B142/B$154*100,1)+ROUND(B143/B$154*100,1)+ROUND(B147/B$154*100,1)+ROUND(B148/B$154*100,1)+ROUND(B149/B$154*100,1)+ROUND(B150/B$154*100,1)+ROUND(B144/B$154*100,1)+ROUND(B153/B$154*100,1)</f>
        <v>56.199999999999996</v>
      </c>
      <c r="C166" s="218">
        <f t="shared" si="29"/>
        <v>55.199999999999996</v>
      </c>
      <c r="D166" s="218">
        <f t="shared" si="29"/>
        <v>48.599999999999994</v>
      </c>
      <c r="E166" s="218">
        <f t="shared" si="29"/>
        <v>45</v>
      </c>
      <c r="F166" s="218">
        <f t="shared" si="29"/>
        <v>57.399999999999991</v>
      </c>
      <c r="G166" s="218">
        <f t="shared" si="29"/>
        <v>63.3</v>
      </c>
      <c r="H166" s="218">
        <f t="shared" si="29"/>
        <v>62</v>
      </c>
      <c r="I166" s="218">
        <f t="shared" si="29"/>
        <v>78</v>
      </c>
      <c r="J166" s="218">
        <f t="shared" si="29"/>
        <v>74.2</v>
      </c>
      <c r="K166" s="218">
        <f t="shared" si="29"/>
        <v>64.2</v>
      </c>
      <c r="L166" s="218">
        <f t="shared" si="29"/>
        <v>62.400000000000006</v>
      </c>
      <c r="M166" s="218">
        <f t="shared" si="29"/>
        <v>59.3</v>
      </c>
      <c r="N166" s="218">
        <f>ROUND(N142/N$154*100,1)+ROUND(N143/N$154*100,1)+ROUND(N147/N$154*100,1)+ROUND(N148/N$154*100,1)+ROUND(N149/N$154*100,1)+ROUND(N150/N$154*100,1)+ROUND(N144/N$154*100,1)+ROUND(N153/N$154*100,1)</f>
        <v>58.099999999999994</v>
      </c>
    </row>
    <row r="167" spans="1:22" s="213" customFormat="1" ht="12">
      <c r="A167" s="217" t="s">
        <v>147</v>
      </c>
      <c r="B167" s="218">
        <f t="shared" ref="B167:M167" si="30">100-B166</f>
        <v>43.800000000000004</v>
      </c>
      <c r="C167" s="218">
        <f t="shared" si="30"/>
        <v>44.800000000000004</v>
      </c>
      <c r="D167" s="218">
        <f t="shared" si="30"/>
        <v>51.400000000000006</v>
      </c>
      <c r="E167" s="218">
        <f t="shared" si="30"/>
        <v>55</v>
      </c>
      <c r="F167" s="218">
        <f t="shared" si="30"/>
        <v>42.600000000000009</v>
      </c>
      <c r="G167" s="218">
        <f t="shared" si="30"/>
        <v>36.700000000000003</v>
      </c>
      <c r="H167" s="218">
        <f t="shared" si="30"/>
        <v>38</v>
      </c>
      <c r="I167" s="218">
        <f t="shared" si="30"/>
        <v>22</v>
      </c>
      <c r="J167" s="218">
        <f t="shared" si="30"/>
        <v>25.799999999999997</v>
      </c>
      <c r="K167" s="218">
        <f t="shared" si="30"/>
        <v>35.799999999999997</v>
      </c>
      <c r="L167" s="218">
        <f t="shared" si="30"/>
        <v>37.599999999999994</v>
      </c>
      <c r="M167" s="218">
        <f t="shared" si="30"/>
        <v>40.700000000000003</v>
      </c>
      <c r="N167" s="218">
        <f t="shared" ref="N167" si="31">100-N166</f>
        <v>41.900000000000006</v>
      </c>
    </row>
    <row r="168" spans="1:22" s="213" customFormat="1" ht="12">
      <c r="A168" s="217"/>
      <c r="B168" s="217"/>
    </row>
    <row r="169" spans="1:22" s="213" customFormat="1" ht="12">
      <c r="A169" s="217" t="s">
        <v>573</v>
      </c>
      <c r="B169" s="217"/>
    </row>
    <row r="170" spans="1:22" s="213" customFormat="1" ht="12">
      <c r="A170" s="217" t="s">
        <v>574</v>
      </c>
      <c r="B170" s="217"/>
    </row>
    <row r="175" spans="1:22">
      <c r="A175" s="194" t="s">
        <v>117</v>
      </c>
      <c r="B175" s="301" t="s">
        <v>110</v>
      </c>
      <c r="C175" s="302"/>
      <c r="D175" s="302"/>
      <c r="E175" s="302"/>
      <c r="F175" s="302"/>
      <c r="G175" s="302"/>
      <c r="H175" s="302"/>
      <c r="I175" s="302"/>
      <c r="J175" s="302"/>
      <c r="K175" s="302"/>
      <c r="L175" s="302"/>
      <c r="M175" s="302"/>
      <c r="N175" s="302"/>
      <c r="O175" s="302"/>
      <c r="P175" s="302"/>
      <c r="Q175" s="302"/>
      <c r="R175" s="302"/>
    </row>
    <row r="176" spans="1:22">
      <c r="A176" s="194" t="s">
        <v>118</v>
      </c>
      <c r="B176" s="305" t="s">
        <v>152</v>
      </c>
      <c r="C176" s="306"/>
      <c r="D176" s="306"/>
      <c r="E176" s="306"/>
      <c r="F176" s="306"/>
      <c r="G176" s="306"/>
      <c r="H176" s="306"/>
      <c r="I176" s="306"/>
      <c r="J176" s="306"/>
      <c r="K176" s="306"/>
      <c r="L176" s="306"/>
      <c r="M176" s="306"/>
      <c r="N176" s="306"/>
      <c r="O176" s="306"/>
      <c r="P176" s="306"/>
      <c r="Q176" s="306"/>
      <c r="R176" s="306"/>
      <c r="V176" s="225">
        <f>MAX(V180:V210)</f>
        <v>28.07141069794088</v>
      </c>
    </row>
    <row r="177" spans="1:23">
      <c r="A177" s="203" t="s">
        <v>30</v>
      </c>
      <c r="B177" s="303" t="s">
        <v>434</v>
      </c>
      <c r="C177" s="304"/>
      <c r="D177" s="304"/>
      <c r="E177" s="304"/>
      <c r="F177" s="304"/>
      <c r="G177" s="304"/>
      <c r="H177" s="304"/>
      <c r="I177" s="304"/>
      <c r="J177" s="304"/>
      <c r="K177" s="304"/>
      <c r="L177" s="304"/>
      <c r="M177" s="304"/>
      <c r="N177" s="304"/>
      <c r="O177" s="304"/>
      <c r="P177" s="304"/>
      <c r="Q177" s="304"/>
      <c r="R177" s="304"/>
    </row>
    <row r="178" spans="1:23">
      <c r="A178" s="203" t="s">
        <v>119</v>
      </c>
      <c r="B178" s="234" t="s">
        <v>2</v>
      </c>
      <c r="C178" s="234" t="s">
        <v>83</v>
      </c>
      <c r="D178" s="234" t="s">
        <v>3</v>
      </c>
      <c r="E178" s="234" t="s">
        <v>4</v>
      </c>
      <c r="F178" s="234" t="s">
        <v>11</v>
      </c>
      <c r="G178" s="234" t="s">
        <v>5</v>
      </c>
      <c r="H178" s="234" t="s">
        <v>6</v>
      </c>
      <c r="I178" s="234" t="s">
        <v>7</v>
      </c>
      <c r="J178" s="234" t="s">
        <v>8</v>
      </c>
      <c r="K178" s="234" t="s">
        <v>9</v>
      </c>
      <c r="L178" s="234" t="s">
        <v>71</v>
      </c>
      <c r="M178" s="234" t="s">
        <v>72</v>
      </c>
      <c r="N178" s="219" t="s">
        <v>10</v>
      </c>
      <c r="O178" s="234" t="s">
        <v>428</v>
      </c>
      <c r="P178" s="234" t="s">
        <v>109</v>
      </c>
      <c r="Q178" s="234" t="s">
        <v>429</v>
      </c>
      <c r="R178" s="219" t="s">
        <v>430</v>
      </c>
      <c r="V178" s="221" t="s">
        <v>23</v>
      </c>
      <c r="W178" s="221" t="s">
        <v>22</v>
      </c>
    </row>
    <row r="179" spans="1:23" ht="14.25">
      <c r="A179" s="194" t="s">
        <v>31</v>
      </c>
      <c r="B179" s="209"/>
      <c r="C179" s="209"/>
      <c r="D179" s="209"/>
      <c r="E179" s="209"/>
      <c r="F179" s="209"/>
      <c r="G179" s="209"/>
      <c r="H179" s="209"/>
      <c r="I179" s="209"/>
      <c r="J179" s="209"/>
      <c r="K179" s="209"/>
      <c r="L179" s="209"/>
      <c r="M179" s="209"/>
      <c r="N179" s="220"/>
      <c r="O179" s="209"/>
      <c r="P179" s="209"/>
      <c r="Q179" s="209"/>
      <c r="R179" s="220"/>
      <c r="V179" s="222"/>
      <c r="W179" s="222"/>
    </row>
    <row r="180" spans="1:23" ht="14.25">
      <c r="A180" s="224">
        <v>1</v>
      </c>
      <c r="B180" s="198">
        <v>76109.5</v>
      </c>
      <c r="C180" s="198">
        <v>881.5</v>
      </c>
      <c r="D180" s="198">
        <v>168034</v>
      </c>
      <c r="E180" s="198">
        <v>127946</v>
      </c>
      <c r="F180" s="198">
        <v>96827.7</v>
      </c>
      <c r="G180" s="198">
        <v>109253</v>
      </c>
      <c r="H180" s="198">
        <v>28673.357894000001</v>
      </c>
      <c r="I180" s="198">
        <v>30629.042106000001</v>
      </c>
      <c r="J180" s="198">
        <v>10640</v>
      </c>
      <c r="K180" s="198">
        <v>77259.5</v>
      </c>
      <c r="L180" s="198">
        <v>2223.35</v>
      </c>
      <c r="M180" s="198">
        <v>6540.85</v>
      </c>
      <c r="N180" s="201">
        <v>735017.8</v>
      </c>
      <c r="O180" s="198">
        <v>-1914.4</v>
      </c>
      <c r="P180" s="198">
        <v>-5435</v>
      </c>
      <c r="Q180" s="198">
        <v>50755.7</v>
      </c>
      <c r="R180" s="201">
        <v>778424.1</v>
      </c>
      <c r="V180" s="223">
        <f>IFERROR(G180/N180*100,"")</f>
        <v>14.863993769946795</v>
      </c>
      <c r="W180" s="222">
        <f>IF(G180=0,"",G180/1000)</f>
        <v>109.253</v>
      </c>
    </row>
    <row r="181" spans="1:23" ht="14.25">
      <c r="A181" s="224">
        <v>2</v>
      </c>
      <c r="B181" s="198">
        <v>87042.8</v>
      </c>
      <c r="C181" s="198">
        <v>3992.6</v>
      </c>
      <c r="D181" s="198">
        <v>167686.6</v>
      </c>
      <c r="E181" s="198">
        <v>135799.1</v>
      </c>
      <c r="F181" s="198">
        <v>130405.7</v>
      </c>
      <c r="G181" s="198">
        <v>94386.5</v>
      </c>
      <c r="H181" s="198">
        <v>26445.694736000001</v>
      </c>
      <c r="I181" s="198">
        <v>25782.705264</v>
      </c>
      <c r="J181" s="198">
        <v>10402.4</v>
      </c>
      <c r="K181" s="198">
        <v>78897.600000000006</v>
      </c>
      <c r="L181" s="198">
        <v>2082.9499999999998</v>
      </c>
      <c r="M181" s="198">
        <v>6663.45</v>
      </c>
      <c r="N181" s="201">
        <v>769588.1</v>
      </c>
      <c r="O181" s="198">
        <v>-2012.4</v>
      </c>
      <c r="P181" s="198">
        <v>-6041</v>
      </c>
      <c r="Q181" s="198">
        <v>40432.699999999997</v>
      </c>
      <c r="R181" s="201">
        <v>801967.4</v>
      </c>
      <c r="V181" s="223">
        <f t="shared" ref="V181:V210" si="32">IFERROR(G181/N181*100,"")</f>
        <v>12.264547749633863</v>
      </c>
      <c r="W181" s="222">
        <f t="shared" ref="W181:W210" si="33">IF(G181=0,"",G181/1000)</f>
        <v>94.386499999999998</v>
      </c>
    </row>
    <row r="182" spans="1:23" ht="14.25">
      <c r="A182" s="224">
        <v>3</v>
      </c>
      <c r="B182" s="198">
        <v>103903.1</v>
      </c>
      <c r="C182" s="198">
        <v>3415.9</v>
      </c>
      <c r="D182" s="198">
        <v>167288.79999999999</v>
      </c>
      <c r="E182" s="198">
        <v>146675.70000000001</v>
      </c>
      <c r="F182" s="198">
        <v>155481.4</v>
      </c>
      <c r="G182" s="198">
        <v>76282.399999999994</v>
      </c>
      <c r="H182" s="198">
        <v>24638.031576000001</v>
      </c>
      <c r="I182" s="198">
        <v>23709.768424000002</v>
      </c>
      <c r="J182" s="198">
        <v>9949.1</v>
      </c>
      <c r="K182" s="198">
        <v>80032.899999999994</v>
      </c>
      <c r="L182" s="198">
        <v>2147.35</v>
      </c>
      <c r="M182" s="198">
        <v>6693.35</v>
      </c>
      <c r="N182" s="201">
        <v>800217.8</v>
      </c>
      <c r="O182" s="198">
        <v>-1248</v>
      </c>
      <c r="P182" s="198">
        <v>-6226.6</v>
      </c>
      <c r="Q182" s="198">
        <v>18522.099999999999</v>
      </c>
      <c r="R182" s="201">
        <v>811265.3</v>
      </c>
      <c r="V182" s="223">
        <f t="shared" si="32"/>
        <v>9.5327047211396696</v>
      </c>
      <c r="W182" s="222">
        <f t="shared" si="33"/>
        <v>76.282399999999996</v>
      </c>
    </row>
    <row r="183" spans="1:23" ht="14.25">
      <c r="A183" s="224">
        <v>4</v>
      </c>
      <c r="B183" s="198">
        <v>78345.600000000006</v>
      </c>
      <c r="C183" s="198">
        <v>135.9</v>
      </c>
      <c r="D183" s="198">
        <v>158405.6</v>
      </c>
      <c r="E183" s="198">
        <v>133594.4</v>
      </c>
      <c r="F183" s="198">
        <v>82856.3</v>
      </c>
      <c r="G183" s="198">
        <v>93499.3</v>
      </c>
      <c r="H183" s="198">
        <v>23109.073681999998</v>
      </c>
      <c r="I183" s="198">
        <v>20994.226318000001</v>
      </c>
      <c r="J183" s="198">
        <v>9224.9</v>
      </c>
      <c r="K183" s="198">
        <v>74616.100000000006</v>
      </c>
      <c r="L183" s="198">
        <v>2165.65</v>
      </c>
      <c r="M183" s="198">
        <v>6758.75</v>
      </c>
      <c r="N183" s="201">
        <v>683705.8</v>
      </c>
      <c r="O183" s="198">
        <v>-2154.6</v>
      </c>
      <c r="P183" s="198">
        <v>-5845</v>
      </c>
      <c r="Q183" s="198">
        <v>44543.8</v>
      </c>
      <c r="R183" s="201">
        <v>720250</v>
      </c>
      <c r="V183" s="223">
        <f t="shared" si="32"/>
        <v>13.67537031278658</v>
      </c>
      <c r="W183" s="222">
        <f t="shared" si="33"/>
        <v>93.499300000000005</v>
      </c>
    </row>
    <row r="184" spans="1:23" ht="14.25">
      <c r="A184" s="224">
        <v>5</v>
      </c>
      <c r="B184" s="198">
        <v>68761.899999999994</v>
      </c>
      <c r="C184" s="198">
        <v>18</v>
      </c>
      <c r="D184" s="198">
        <v>152315.20000000001</v>
      </c>
      <c r="E184" s="198">
        <v>129530.4</v>
      </c>
      <c r="F184" s="198">
        <v>73128.3</v>
      </c>
      <c r="G184" s="198">
        <v>80483.7</v>
      </c>
      <c r="H184" s="198">
        <v>27265.815789</v>
      </c>
      <c r="I184" s="198">
        <v>21461.384211000001</v>
      </c>
      <c r="J184" s="198">
        <v>9794.6</v>
      </c>
      <c r="K184" s="198">
        <v>70986.2</v>
      </c>
      <c r="L184" s="198">
        <v>2168.9499999999998</v>
      </c>
      <c r="M184" s="198">
        <v>6729.25</v>
      </c>
      <c r="N184" s="201">
        <v>642643.69999999995</v>
      </c>
      <c r="O184" s="198">
        <v>-2560.1999999999998</v>
      </c>
      <c r="P184" s="198">
        <v>-5637</v>
      </c>
      <c r="Q184" s="198">
        <v>31870.6</v>
      </c>
      <c r="R184" s="201">
        <v>666317.1</v>
      </c>
      <c r="V184" s="223">
        <f t="shared" si="32"/>
        <v>12.523844861468339</v>
      </c>
      <c r="W184" s="222">
        <f t="shared" si="33"/>
        <v>80.483699999999999</v>
      </c>
    </row>
    <row r="185" spans="1:23" ht="14.25">
      <c r="A185" s="224">
        <v>6</v>
      </c>
      <c r="B185" s="198">
        <v>83110.600000000006</v>
      </c>
      <c r="C185" s="198">
        <v>591.6</v>
      </c>
      <c r="D185" s="198">
        <v>157771.4</v>
      </c>
      <c r="E185" s="198">
        <v>154118.29999999999</v>
      </c>
      <c r="F185" s="198">
        <v>150525.70000000001</v>
      </c>
      <c r="G185" s="198">
        <v>59899.199999999997</v>
      </c>
      <c r="H185" s="198">
        <v>25600.321049999999</v>
      </c>
      <c r="I185" s="198">
        <v>22674.178950000001</v>
      </c>
      <c r="J185" s="198">
        <v>10467.5</v>
      </c>
      <c r="K185" s="198">
        <v>73708.899999999994</v>
      </c>
      <c r="L185" s="198">
        <v>2143.9499999999998</v>
      </c>
      <c r="M185" s="198">
        <v>6727.15</v>
      </c>
      <c r="N185" s="201">
        <v>747338.8</v>
      </c>
      <c r="O185" s="198">
        <v>-943.8</v>
      </c>
      <c r="P185" s="198">
        <v>-5012</v>
      </c>
      <c r="Q185" s="198">
        <v>41995.8</v>
      </c>
      <c r="R185" s="201">
        <v>783378.8</v>
      </c>
      <c r="V185" s="223">
        <f t="shared" si="32"/>
        <v>8.0149993550448588</v>
      </c>
      <c r="W185" s="222">
        <f t="shared" si="33"/>
        <v>59.8992</v>
      </c>
    </row>
    <row r="186" spans="1:23" ht="14.25">
      <c r="A186" s="224">
        <v>7</v>
      </c>
      <c r="B186" s="198">
        <v>73168.7</v>
      </c>
      <c r="C186" s="198">
        <v>65</v>
      </c>
      <c r="D186" s="198">
        <v>166480.20000000001</v>
      </c>
      <c r="E186" s="198">
        <v>144803.9</v>
      </c>
      <c r="F186" s="198">
        <v>130858.7</v>
      </c>
      <c r="G186" s="198">
        <v>99285.1</v>
      </c>
      <c r="H186" s="198">
        <v>23541.052629999998</v>
      </c>
      <c r="I186" s="198">
        <v>21162.447370000002</v>
      </c>
      <c r="J186" s="198">
        <v>10158.700000000001</v>
      </c>
      <c r="K186" s="198">
        <v>74579.100000000006</v>
      </c>
      <c r="L186" s="198">
        <v>2116.4</v>
      </c>
      <c r="M186" s="198">
        <v>6529</v>
      </c>
      <c r="N186" s="201">
        <v>752748.3</v>
      </c>
      <c r="O186" s="198">
        <v>-1089</v>
      </c>
      <c r="P186" s="198">
        <v>-5387</v>
      </c>
      <c r="Q186" s="198">
        <v>41837.300000000003</v>
      </c>
      <c r="R186" s="201">
        <v>788109.6</v>
      </c>
      <c r="V186" s="223">
        <f t="shared" si="32"/>
        <v>13.189681066034955</v>
      </c>
      <c r="W186" s="222">
        <f t="shared" si="33"/>
        <v>99.2851</v>
      </c>
    </row>
    <row r="187" spans="1:23" ht="14.25">
      <c r="A187" s="224">
        <v>8</v>
      </c>
      <c r="B187" s="198">
        <v>69076.800000000003</v>
      </c>
      <c r="C187" s="198">
        <v>0</v>
      </c>
      <c r="D187" s="198">
        <v>166191</v>
      </c>
      <c r="E187" s="198">
        <v>137260.29999999999</v>
      </c>
      <c r="F187" s="198">
        <v>105030.5</v>
      </c>
      <c r="G187" s="198">
        <v>98385.3</v>
      </c>
      <c r="H187" s="198">
        <v>24322.352631000002</v>
      </c>
      <c r="I187" s="198">
        <v>23452.447369000001</v>
      </c>
      <c r="J187" s="198">
        <v>10522.5</v>
      </c>
      <c r="K187" s="198">
        <v>75258</v>
      </c>
      <c r="L187" s="198">
        <v>2158.15</v>
      </c>
      <c r="M187" s="198">
        <v>6479.85</v>
      </c>
      <c r="N187" s="201">
        <v>718137.2</v>
      </c>
      <c r="O187" s="198">
        <v>-1520.9</v>
      </c>
      <c r="P187" s="198">
        <v>-5972.3</v>
      </c>
      <c r="Q187" s="198">
        <v>58321.599999999999</v>
      </c>
      <c r="R187" s="201">
        <v>768965.6</v>
      </c>
      <c r="V187" s="223">
        <f t="shared" si="32"/>
        <v>13.700070125875669</v>
      </c>
      <c r="W187" s="222">
        <f t="shared" si="33"/>
        <v>98.385300000000001</v>
      </c>
    </row>
    <row r="188" spans="1:23" ht="14.25">
      <c r="A188" s="224">
        <v>9</v>
      </c>
      <c r="B188" s="198">
        <v>65014.8</v>
      </c>
      <c r="C188" s="198">
        <v>1060.4000000000001</v>
      </c>
      <c r="D188" s="198">
        <v>166123.4</v>
      </c>
      <c r="E188" s="198">
        <v>112174.9</v>
      </c>
      <c r="F188" s="198">
        <v>68439.899999999994</v>
      </c>
      <c r="G188" s="198">
        <v>124270.9</v>
      </c>
      <c r="H188" s="198">
        <v>27282.612901</v>
      </c>
      <c r="I188" s="198">
        <v>25920.487099000002</v>
      </c>
      <c r="J188" s="198">
        <v>10138.700000000001</v>
      </c>
      <c r="K188" s="198">
        <v>76138.3</v>
      </c>
      <c r="L188" s="198">
        <v>2151.75</v>
      </c>
      <c r="M188" s="198">
        <v>6710.25</v>
      </c>
      <c r="N188" s="201">
        <v>685426.4</v>
      </c>
      <c r="O188" s="198">
        <v>-4611.7</v>
      </c>
      <c r="P188" s="198">
        <v>-6081</v>
      </c>
      <c r="Q188" s="198">
        <v>66761.2</v>
      </c>
      <c r="R188" s="201">
        <v>741494.9</v>
      </c>
      <c r="V188" s="223">
        <f t="shared" si="32"/>
        <v>18.130451351158928</v>
      </c>
      <c r="W188" s="222">
        <f t="shared" si="33"/>
        <v>124.2709</v>
      </c>
    </row>
    <row r="189" spans="1:23" ht="14.25">
      <c r="A189" s="224">
        <v>10</v>
      </c>
      <c r="B189" s="198">
        <v>52468.4</v>
      </c>
      <c r="C189" s="198">
        <v>677.7</v>
      </c>
      <c r="D189" s="198">
        <v>166579.79999999999</v>
      </c>
      <c r="E189" s="198">
        <v>106827.5</v>
      </c>
      <c r="F189" s="198">
        <v>78284.800000000003</v>
      </c>
      <c r="G189" s="198">
        <v>101974.39999999999</v>
      </c>
      <c r="H189" s="198">
        <v>26741.241177</v>
      </c>
      <c r="I189" s="198">
        <v>29007.158823000002</v>
      </c>
      <c r="J189" s="198">
        <v>9725.9</v>
      </c>
      <c r="K189" s="198">
        <v>78614.399999999994</v>
      </c>
      <c r="L189" s="198">
        <v>2113.9</v>
      </c>
      <c r="M189" s="198">
        <v>6641</v>
      </c>
      <c r="N189" s="201">
        <v>659656.19999999995</v>
      </c>
      <c r="O189" s="198">
        <v>-8610.2999999999993</v>
      </c>
      <c r="P189" s="198">
        <v>-4970</v>
      </c>
      <c r="Q189" s="198">
        <v>69842.3</v>
      </c>
      <c r="R189" s="201">
        <v>715918.2</v>
      </c>
      <c r="V189" s="223">
        <f t="shared" si="32"/>
        <v>15.458719254059918</v>
      </c>
      <c r="W189" s="222">
        <f t="shared" si="33"/>
        <v>101.97439999999999</v>
      </c>
    </row>
    <row r="190" spans="1:23" ht="14.25">
      <c r="A190" s="224">
        <v>11</v>
      </c>
      <c r="B190" s="198">
        <v>61948.4</v>
      </c>
      <c r="C190" s="198">
        <v>467.3</v>
      </c>
      <c r="D190" s="198">
        <v>166717.79999999999</v>
      </c>
      <c r="E190" s="198">
        <v>98124.3</v>
      </c>
      <c r="F190" s="198">
        <v>61088.1</v>
      </c>
      <c r="G190" s="198">
        <v>81158.7</v>
      </c>
      <c r="H190" s="198">
        <v>27025.117020999998</v>
      </c>
      <c r="I190" s="198">
        <v>26066.682979000001</v>
      </c>
      <c r="J190" s="198">
        <v>9730.4</v>
      </c>
      <c r="K190" s="198">
        <v>73734.5</v>
      </c>
      <c r="L190" s="198">
        <v>2130.25</v>
      </c>
      <c r="M190" s="198">
        <v>6696.75</v>
      </c>
      <c r="N190" s="201">
        <v>614888.30000000005</v>
      </c>
      <c r="O190" s="198">
        <v>0</v>
      </c>
      <c r="P190" s="198">
        <v>-5651</v>
      </c>
      <c r="Q190" s="198">
        <v>57174.7</v>
      </c>
      <c r="R190" s="201">
        <v>666412</v>
      </c>
      <c r="V190" s="223">
        <f t="shared" si="32"/>
        <v>13.198933855140844</v>
      </c>
      <c r="W190" s="222">
        <f t="shared" si="33"/>
        <v>81.158699999999996</v>
      </c>
    </row>
    <row r="191" spans="1:23" ht="14.25">
      <c r="A191" s="224">
        <v>12</v>
      </c>
      <c r="B191" s="198">
        <v>52015.8</v>
      </c>
      <c r="C191" s="198">
        <v>282</v>
      </c>
      <c r="D191" s="198">
        <v>166955</v>
      </c>
      <c r="E191" s="198">
        <v>88330.2</v>
      </c>
      <c r="F191" s="198">
        <v>57735.7</v>
      </c>
      <c r="G191" s="198">
        <v>88935.4</v>
      </c>
      <c r="H191" s="198">
        <v>26316.886243000001</v>
      </c>
      <c r="I191" s="198">
        <v>24298.213757000001</v>
      </c>
      <c r="J191" s="198">
        <v>10105.1</v>
      </c>
      <c r="K191" s="198">
        <v>71381.5</v>
      </c>
      <c r="L191" s="198">
        <v>2169.65</v>
      </c>
      <c r="M191" s="198">
        <v>6724.55</v>
      </c>
      <c r="N191" s="201">
        <v>595250</v>
      </c>
      <c r="O191" s="198">
        <v>-948.8</v>
      </c>
      <c r="P191" s="198">
        <v>-5339</v>
      </c>
      <c r="Q191" s="198">
        <v>35812.699999999997</v>
      </c>
      <c r="R191" s="201">
        <v>624774.9</v>
      </c>
      <c r="V191" s="223">
        <f t="shared" si="32"/>
        <v>14.940848383032337</v>
      </c>
      <c r="W191" s="222">
        <f t="shared" si="33"/>
        <v>88.935399999999987</v>
      </c>
    </row>
    <row r="192" spans="1:23" ht="14.25">
      <c r="A192" s="224">
        <v>13</v>
      </c>
      <c r="B192" s="198">
        <v>57641.1</v>
      </c>
      <c r="C192" s="198">
        <v>96</v>
      </c>
      <c r="D192" s="198">
        <v>166935.4</v>
      </c>
      <c r="E192" s="198">
        <v>98570.5</v>
      </c>
      <c r="F192" s="198">
        <v>108712.2</v>
      </c>
      <c r="G192" s="198">
        <v>74584.7</v>
      </c>
      <c r="H192" s="198">
        <v>26192.731216</v>
      </c>
      <c r="I192" s="198">
        <v>25941.368783999998</v>
      </c>
      <c r="J192" s="198">
        <v>10349.1</v>
      </c>
      <c r="K192" s="198">
        <v>76182.899999999994</v>
      </c>
      <c r="L192" s="198">
        <v>2151.75</v>
      </c>
      <c r="M192" s="198">
        <v>6647.15</v>
      </c>
      <c r="N192" s="201">
        <v>654004.9</v>
      </c>
      <c r="O192" s="198">
        <v>0</v>
      </c>
      <c r="P192" s="198">
        <v>-4269.6000000000004</v>
      </c>
      <c r="Q192" s="198">
        <v>56442.9</v>
      </c>
      <c r="R192" s="201">
        <v>706178.2</v>
      </c>
      <c r="V192" s="223">
        <f t="shared" si="32"/>
        <v>11.404302934121747</v>
      </c>
      <c r="W192" s="222">
        <f t="shared" si="33"/>
        <v>74.584699999999998</v>
      </c>
    </row>
    <row r="193" spans="1:23" ht="14.25">
      <c r="A193" s="224">
        <v>14</v>
      </c>
      <c r="B193" s="198">
        <v>57368.3</v>
      </c>
      <c r="C193" s="198">
        <v>1137</v>
      </c>
      <c r="D193" s="198">
        <v>166746.6</v>
      </c>
      <c r="E193" s="198">
        <v>80740.7</v>
      </c>
      <c r="F193" s="198">
        <v>59317.599999999999</v>
      </c>
      <c r="G193" s="198">
        <v>138292.79999999999</v>
      </c>
      <c r="H193" s="198">
        <v>28516.440541</v>
      </c>
      <c r="I193" s="198">
        <v>29174.259459000001</v>
      </c>
      <c r="J193" s="198">
        <v>10347</v>
      </c>
      <c r="K193" s="198">
        <v>76808</v>
      </c>
      <c r="L193" s="198">
        <v>2130.4499999999998</v>
      </c>
      <c r="M193" s="198">
        <v>6494.35</v>
      </c>
      <c r="N193" s="201">
        <v>657073.5</v>
      </c>
      <c r="O193" s="198">
        <v>-3243.8</v>
      </c>
      <c r="P193" s="198">
        <v>-4454</v>
      </c>
      <c r="Q193" s="198">
        <v>49378.3</v>
      </c>
      <c r="R193" s="201">
        <v>698754</v>
      </c>
      <c r="V193" s="223">
        <f t="shared" si="32"/>
        <v>21.046777871881911</v>
      </c>
      <c r="W193" s="222">
        <f t="shared" si="33"/>
        <v>138.2928</v>
      </c>
    </row>
    <row r="194" spans="1:23" ht="14.25">
      <c r="A194" s="224">
        <v>15</v>
      </c>
      <c r="B194" s="198">
        <v>58660.5</v>
      </c>
      <c r="C194" s="198">
        <v>957.6</v>
      </c>
      <c r="D194" s="198">
        <v>166706.6</v>
      </c>
      <c r="E194" s="198">
        <v>72327.3</v>
      </c>
      <c r="F194" s="198">
        <v>43548.6</v>
      </c>
      <c r="G194" s="198">
        <v>92519.6</v>
      </c>
      <c r="H194" s="198">
        <v>27109.793121999999</v>
      </c>
      <c r="I194" s="198">
        <v>28015.206878000001</v>
      </c>
      <c r="J194" s="198">
        <v>10605.1</v>
      </c>
      <c r="K194" s="198">
        <v>74656.399999999994</v>
      </c>
      <c r="L194" s="198">
        <v>2154.75</v>
      </c>
      <c r="M194" s="198">
        <v>6540.55</v>
      </c>
      <c r="N194" s="201">
        <v>583802</v>
      </c>
      <c r="O194" s="198">
        <v>-4995.3999999999996</v>
      </c>
      <c r="P194" s="198">
        <v>-5030</v>
      </c>
      <c r="Q194" s="198">
        <v>51260</v>
      </c>
      <c r="R194" s="201">
        <v>625036.6</v>
      </c>
      <c r="V194" s="223">
        <f t="shared" si="32"/>
        <v>15.847770305685833</v>
      </c>
      <c r="W194" s="222">
        <f t="shared" si="33"/>
        <v>92.519600000000011</v>
      </c>
    </row>
    <row r="195" spans="1:23" ht="14.25">
      <c r="A195" s="224">
        <v>16</v>
      </c>
      <c r="B195" s="198">
        <v>70044.600000000006</v>
      </c>
      <c r="C195" s="198">
        <v>828</v>
      </c>
      <c r="D195" s="198">
        <v>166717.6</v>
      </c>
      <c r="E195" s="198">
        <v>86578.1</v>
      </c>
      <c r="F195" s="198">
        <v>95955.7</v>
      </c>
      <c r="G195" s="198">
        <v>77842.100000000006</v>
      </c>
      <c r="H195" s="198">
        <v>21952.700527000001</v>
      </c>
      <c r="I195" s="198">
        <v>24271.699473000001</v>
      </c>
      <c r="J195" s="198">
        <v>10876.3</v>
      </c>
      <c r="K195" s="198">
        <v>77044.600000000006</v>
      </c>
      <c r="L195" s="198">
        <v>2152.0500000000002</v>
      </c>
      <c r="M195" s="198">
        <v>6294.15</v>
      </c>
      <c r="N195" s="201">
        <v>640557.6</v>
      </c>
      <c r="O195" s="198">
        <v>-342</v>
      </c>
      <c r="P195" s="198">
        <v>-5214.7</v>
      </c>
      <c r="Q195" s="198">
        <v>53018.7</v>
      </c>
      <c r="R195" s="201">
        <v>688019.6</v>
      </c>
      <c r="V195" s="223">
        <f t="shared" si="32"/>
        <v>12.15224048547703</v>
      </c>
      <c r="W195" s="222">
        <f t="shared" si="33"/>
        <v>77.842100000000002</v>
      </c>
    </row>
    <row r="196" spans="1:23" ht="14.25">
      <c r="A196" s="224">
        <v>17</v>
      </c>
      <c r="B196" s="198">
        <v>53244.1</v>
      </c>
      <c r="C196" s="198">
        <v>1394.8</v>
      </c>
      <c r="D196" s="198">
        <v>166654</v>
      </c>
      <c r="E196" s="198">
        <v>64615.199999999997</v>
      </c>
      <c r="F196" s="198">
        <v>48242.1</v>
      </c>
      <c r="G196" s="198">
        <v>160141.4</v>
      </c>
      <c r="H196" s="198">
        <v>23575.467565999999</v>
      </c>
      <c r="I196" s="198">
        <v>22446.532434000001</v>
      </c>
      <c r="J196" s="198">
        <v>11019.9</v>
      </c>
      <c r="K196" s="198">
        <v>77655.8</v>
      </c>
      <c r="L196" s="198">
        <v>2148.75</v>
      </c>
      <c r="M196" s="198">
        <v>6400.05</v>
      </c>
      <c r="N196" s="201">
        <v>637538.1</v>
      </c>
      <c r="O196" s="198">
        <v>-5136.7</v>
      </c>
      <c r="P196" s="198">
        <v>-4385</v>
      </c>
      <c r="Q196" s="198">
        <v>45083.3</v>
      </c>
      <c r="R196" s="201">
        <v>673099.7</v>
      </c>
      <c r="V196" s="223">
        <f t="shared" si="32"/>
        <v>25.118718395026118</v>
      </c>
      <c r="W196" s="222">
        <f t="shared" si="33"/>
        <v>160.1414</v>
      </c>
    </row>
    <row r="197" spans="1:23" ht="14.25">
      <c r="A197" s="224">
        <v>18</v>
      </c>
      <c r="B197" s="198">
        <v>53220.3</v>
      </c>
      <c r="C197" s="198">
        <v>886.1</v>
      </c>
      <c r="D197" s="198">
        <v>166897.20000000001</v>
      </c>
      <c r="E197" s="198">
        <v>46774.2</v>
      </c>
      <c r="F197" s="198">
        <v>29390.9</v>
      </c>
      <c r="G197" s="198">
        <v>170518.1</v>
      </c>
      <c r="H197" s="198">
        <v>23062.315342999998</v>
      </c>
      <c r="I197" s="198">
        <v>23590.284657</v>
      </c>
      <c r="J197" s="198">
        <v>11051.9</v>
      </c>
      <c r="K197" s="198">
        <v>73441.600000000006</v>
      </c>
      <c r="L197" s="198">
        <v>2162.3000000000002</v>
      </c>
      <c r="M197" s="198">
        <v>6448.8</v>
      </c>
      <c r="N197" s="201">
        <v>607444</v>
      </c>
      <c r="O197" s="198">
        <v>-7626</v>
      </c>
      <c r="P197" s="198">
        <v>-3109</v>
      </c>
      <c r="Q197" s="198">
        <v>16032.9</v>
      </c>
      <c r="R197" s="201">
        <v>612741.9</v>
      </c>
      <c r="V197" s="223">
        <f t="shared" si="32"/>
        <v>28.07141069794088</v>
      </c>
      <c r="W197" s="222">
        <f t="shared" si="33"/>
        <v>170.5181</v>
      </c>
    </row>
    <row r="198" spans="1:23" ht="14.25">
      <c r="A198" s="224">
        <v>19</v>
      </c>
      <c r="B198" s="198">
        <v>50399.6</v>
      </c>
      <c r="C198" s="198">
        <v>938.6</v>
      </c>
      <c r="D198" s="198">
        <v>166984.29999999999</v>
      </c>
      <c r="E198" s="198">
        <v>48179.8</v>
      </c>
      <c r="F198" s="198">
        <v>30702.9</v>
      </c>
      <c r="G198" s="198">
        <v>136792.6</v>
      </c>
      <c r="H198" s="198">
        <v>24862.076595999999</v>
      </c>
      <c r="I198" s="198">
        <v>24431.323403999999</v>
      </c>
      <c r="J198" s="198">
        <v>10837.8</v>
      </c>
      <c r="K198" s="198">
        <v>71021.899999999994</v>
      </c>
      <c r="L198" s="198">
        <v>2160.4</v>
      </c>
      <c r="M198" s="198">
        <v>6443.9</v>
      </c>
      <c r="N198" s="201">
        <v>573755.19999999995</v>
      </c>
      <c r="O198" s="198">
        <v>-6086.5</v>
      </c>
      <c r="P198" s="198">
        <v>-3433.8</v>
      </c>
      <c r="Q198" s="198">
        <v>18178.7</v>
      </c>
      <c r="R198" s="201">
        <v>582413.6</v>
      </c>
      <c r="V198" s="223">
        <f t="shared" si="32"/>
        <v>23.841631413536646</v>
      </c>
      <c r="W198" s="222">
        <f t="shared" si="33"/>
        <v>136.79259999999999</v>
      </c>
    </row>
    <row r="199" spans="1:23" ht="14.25">
      <c r="A199" s="224">
        <v>20</v>
      </c>
      <c r="B199" s="198">
        <v>79297.5</v>
      </c>
      <c r="C199" s="198">
        <v>7990.8</v>
      </c>
      <c r="D199" s="198">
        <v>166720</v>
      </c>
      <c r="E199" s="198">
        <v>86057.4</v>
      </c>
      <c r="F199" s="198">
        <v>56156.3</v>
      </c>
      <c r="G199" s="198">
        <v>132493.9</v>
      </c>
      <c r="H199" s="198">
        <v>26501.212767000001</v>
      </c>
      <c r="I199" s="198">
        <v>24213.287232999999</v>
      </c>
      <c r="J199" s="198">
        <v>10679.9</v>
      </c>
      <c r="K199" s="198">
        <v>75566.2</v>
      </c>
      <c r="L199" s="198">
        <v>2158.5500000000002</v>
      </c>
      <c r="M199" s="198">
        <v>6270.55</v>
      </c>
      <c r="N199" s="201">
        <v>674105.6</v>
      </c>
      <c r="O199" s="198">
        <v>-3675.1</v>
      </c>
      <c r="P199" s="198">
        <v>-4880.8</v>
      </c>
      <c r="Q199" s="198">
        <v>30360.5</v>
      </c>
      <c r="R199" s="201">
        <v>695910.2</v>
      </c>
      <c r="V199" s="223">
        <f t="shared" si="32"/>
        <v>19.654769223100953</v>
      </c>
      <c r="W199" s="222">
        <f t="shared" si="33"/>
        <v>132.4939</v>
      </c>
    </row>
    <row r="200" spans="1:23" ht="14.25">
      <c r="A200" s="224">
        <v>21</v>
      </c>
      <c r="B200" s="198">
        <v>76936.2</v>
      </c>
      <c r="C200" s="198">
        <v>2251.3000000000002</v>
      </c>
      <c r="D200" s="198">
        <v>167053</v>
      </c>
      <c r="E200" s="198">
        <v>125722.6</v>
      </c>
      <c r="F200" s="198">
        <v>122318.6</v>
      </c>
      <c r="G200" s="198">
        <v>85234.7</v>
      </c>
      <c r="H200" s="198">
        <v>27547.593122999999</v>
      </c>
      <c r="I200" s="198">
        <v>24740.506877</v>
      </c>
      <c r="J200" s="198">
        <v>10710.5</v>
      </c>
      <c r="K200" s="198">
        <v>77114.600000000006</v>
      </c>
      <c r="L200" s="198">
        <v>2151.9</v>
      </c>
      <c r="M200" s="198">
        <v>6242</v>
      </c>
      <c r="N200" s="201">
        <v>728023.5</v>
      </c>
      <c r="O200" s="198">
        <v>-798.3</v>
      </c>
      <c r="P200" s="198">
        <v>-5306</v>
      </c>
      <c r="Q200" s="198">
        <v>2821</v>
      </c>
      <c r="R200" s="201">
        <v>724740.2</v>
      </c>
      <c r="V200" s="223">
        <f t="shared" si="32"/>
        <v>11.70768526015987</v>
      </c>
      <c r="W200" s="222">
        <f t="shared" si="33"/>
        <v>85.234700000000004</v>
      </c>
    </row>
    <row r="201" spans="1:23" ht="14.25">
      <c r="A201" s="224">
        <v>22</v>
      </c>
      <c r="B201" s="198">
        <v>77931</v>
      </c>
      <c r="C201" s="198">
        <v>1785.3</v>
      </c>
      <c r="D201" s="198">
        <v>166934.39999999999</v>
      </c>
      <c r="E201" s="198">
        <v>148692.79999999999</v>
      </c>
      <c r="F201" s="198">
        <v>148735.6</v>
      </c>
      <c r="G201" s="198">
        <v>51665</v>
      </c>
      <c r="H201" s="198">
        <v>25067.796824000001</v>
      </c>
      <c r="I201" s="198">
        <v>23092.803176000001</v>
      </c>
      <c r="J201" s="198">
        <v>10591.7</v>
      </c>
      <c r="K201" s="198">
        <v>77217.399999999994</v>
      </c>
      <c r="L201" s="198">
        <v>2042.9</v>
      </c>
      <c r="M201" s="198">
        <v>6208.7</v>
      </c>
      <c r="N201" s="201">
        <v>739965.4</v>
      </c>
      <c r="O201" s="198">
        <v>0</v>
      </c>
      <c r="P201" s="198">
        <v>-5118.2</v>
      </c>
      <c r="Q201" s="198">
        <v>1108.3</v>
      </c>
      <c r="R201" s="201">
        <v>735955.5</v>
      </c>
      <c r="V201" s="223">
        <f t="shared" si="32"/>
        <v>6.9820832163233577</v>
      </c>
      <c r="W201" s="222">
        <f t="shared" si="33"/>
        <v>51.664999999999999</v>
      </c>
    </row>
    <row r="202" spans="1:23" ht="14.25">
      <c r="A202" s="224">
        <v>23</v>
      </c>
      <c r="B202" s="198">
        <v>81989</v>
      </c>
      <c r="C202" s="198">
        <v>1162.8</v>
      </c>
      <c r="D202" s="198">
        <v>166943.20000000001</v>
      </c>
      <c r="E202" s="198">
        <v>144434.9</v>
      </c>
      <c r="F202" s="198">
        <v>122986.9</v>
      </c>
      <c r="G202" s="198">
        <v>61673.4</v>
      </c>
      <c r="H202" s="198">
        <v>25410.334392000001</v>
      </c>
      <c r="I202" s="198">
        <v>22303.865608</v>
      </c>
      <c r="J202" s="198">
        <v>10684.7</v>
      </c>
      <c r="K202" s="198">
        <v>77398.600000000006</v>
      </c>
      <c r="L202" s="198">
        <v>2141.4499999999998</v>
      </c>
      <c r="M202" s="198">
        <v>6632.35</v>
      </c>
      <c r="N202" s="201">
        <v>723761.5</v>
      </c>
      <c r="O202" s="198">
        <v>0</v>
      </c>
      <c r="P202" s="198">
        <v>-4286.8</v>
      </c>
      <c r="Q202" s="198">
        <v>14832.4</v>
      </c>
      <c r="R202" s="201">
        <v>734307.1</v>
      </c>
      <c r="V202" s="223">
        <f t="shared" si="32"/>
        <v>8.5212324778259152</v>
      </c>
      <c r="W202" s="222">
        <f t="shared" si="33"/>
        <v>61.673400000000001</v>
      </c>
    </row>
    <row r="203" spans="1:23" ht="14.25">
      <c r="A203" s="224">
        <v>24</v>
      </c>
      <c r="B203" s="198">
        <v>63293.9</v>
      </c>
      <c r="C203" s="198">
        <v>215.6</v>
      </c>
      <c r="D203" s="198">
        <v>166862</v>
      </c>
      <c r="E203" s="198">
        <v>134839.1</v>
      </c>
      <c r="F203" s="198">
        <v>62743.4</v>
      </c>
      <c r="G203" s="198">
        <v>114789</v>
      </c>
      <c r="H203" s="198">
        <v>25450.451851000002</v>
      </c>
      <c r="I203" s="198">
        <v>22452.748148999999</v>
      </c>
      <c r="J203" s="198">
        <v>10674.5</v>
      </c>
      <c r="K203" s="198">
        <v>78734.100000000006</v>
      </c>
      <c r="L203" s="198">
        <v>2136.8000000000002</v>
      </c>
      <c r="M203" s="198">
        <v>6575.9</v>
      </c>
      <c r="N203" s="201">
        <v>688767.5</v>
      </c>
      <c r="O203" s="198">
        <v>-809.4</v>
      </c>
      <c r="P203" s="198">
        <v>-4256</v>
      </c>
      <c r="Q203" s="198">
        <v>42548.7</v>
      </c>
      <c r="R203" s="201">
        <v>726250.8</v>
      </c>
      <c r="V203" s="223">
        <f t="shared" si="32"/>
        <v>16.665856039955429</v>
      </c>
      <c r="W203" s="222">
        <f t="shared" si="33"/>
        <v>114.789</v>
      </c>
    </row>
    <row r="204" spans="1:23" ht="14.25">
      <c r="A204" s="224">
        <v>25</v>
      </c>
      <c r="B204" s="198">
        <v>43168.1</v>
      </c>
      <c r="C204" s="198">
        <v>945.5</v>
      </c>
      <c r="D204" s="198">
        <v>166581.4</v>
      </c>
      <c r="E204" s="198">
        <v>84410.7</v>
      </c>
      <c r="F204" s="198">
        <v>41770.199999999997</v>
      </c>
      <c r="G204" s="198">
        <v>111282.8</v>
      </c>
      <c r="H204" s="198">
        <v>25760.539036999999</v>
      </c>
      <c r="I204" s="198">
        <v>22414.060963</v>
      </c>
      <c r="J204" s="198">
        <v>10569.9</v>
      </c>
      <c r="K204" s="198">
        <v>75526.100000000006</v>
      </c>
      <c r="L204" s="198">
        <v>2165.0500000000002</v>
      </c>
      <c r="M204" s="198">
        <v>6490.15</v>
      </c>
      <c r="N204" s="201">
        <v>591084.5</v>
      </c>
      <c r="O204" s="198">
        <v>-2678.4</v>
      </c>
      <c r="P204" s="198">
        <v>-3611.3</v>
      </c>
      <c r="Q204" s="198">
        <v>64292.1</v>
      </c>
      <c r="R204" s="201">
        <v>649086.9</v>
      </c>
      <c r="V204" s="223">
        <f t="shared" si="32"/>
        <v>18.826885157705878</v>
      </c>
      <c r="W204" s="222">
        <f t="shared" si="33"/>
        <v>111.28280000000001</v>
      </c>
    </row>
    <row r="205" spans="1:23" ht="14.25">
      <c r="A205" s="224">
        <v>26</v>
      </c>
      <c r="B205" s="198">
        <v>46348.3</v>
      </c>
      <c r="C205" s="198">
        <v>1377.2</v>
      </c>
      <c r="D205" s="198">
        <v>166725.6</v>
      </c>
      <c r="E205" s="198">
        <v>92738.8</v>
      </c>
      <c r="F205" s="198">
        <v>40749.5</v>
      </c>
      <c r="G205" s="198">
        <v>57481.1</v>
      </c>
      <c r="H205" s="198">
        <v>27540.768422000001</v>
      </c>
      <c r="I205" s="198">
        <v>25048.031577999998</v>
      </c>
      <c r="J205" s="198">
        <v>9892.5</v>
      </c>
      <c r="K205" s="198">
        <v>74263.399999999994</v>
      </c>
      <c r="L205" s="198">
        <v>2175.5</v>
      </c>
      <c r="M205" s="198">
        <v>6450.1</v>
      </c>
      <c r="N205" s="201">
        <v>550790.80000000005</v>
      </c>
      <c r="O205" s="198">
        <v>-1542.8</v>
      </c>
      <c r="P205" s="198">
        <v>-4412</v>
      </c>
      <c r="Q205" s="198">
        <v>55145.8</v>
      </c>
      <c r="R205" s="201">
        <v>599981.80000000005</v>
      </c>
      <c r="V205" s="223">
        <f t="shared" si="32"/>
        <v>10.436103871016</v>
      </c>
      <c r="W205" s="222">
        <f t="shared" si="33"/>
        <v>57.481099999999998</v>
      </c>
    </row>
    <row r="206" spans="1:23" ht="14.25">
      <c r="A206" s="224">
        <v>27</v>
      </c>
      <c r="B206" s="198">
        <v>76129.3</v>
      </c>
      <c r="C206" s="198">
        <v>10181.1</v>
      </c>
      <c r="D206" s="198">
        <v>166898</v>
      </c>
      <c r="E206" s="198">
        <v>139949.70000000001</v>
      </c>
      <c r="F206" s="198">
        <v>96392.7</v>
      </c>
      <c r="G206" s="198">
        <v>73254.3</v>
      </c>
      <c r="H206" s="198">
        <v>20931.878947000001</v>
      </c>
      <c r="I206" s="198">
        <v>20024.821053</v>
      </c>
      <c r="J206" s="198">
        <v>9645.5</v>
      </c>
      <c r="K206" s="198">
        <v>78850.7</v>
      </c>
      <c r="L206" s="198">
        <v>2169.8000000000002</v>
      </c>
      <c r="M206" s="198">
        <v>6405.9</v>
      </c>
      <c r="N206" s="201">
        <v>700833.7</v>
      </c>
      <c r="O206" s="198">
        <v>-1456</v>
      </c>
      <c r="P206" s="198">
        <v>-4633.3999999999996</v>
      </c>
      <c r="Q206" s="198">
        <v>42400.4</v>
      </c>
      <c r="R206" s="201">
        <v>737144.7</v>
      </c>
      <c r="V206" s="223">
        <f t="shared" si="32"/>
        <v>10.452451130703333</v>
      </c>
      <c r="W206" s="222">
        <f t="shared" si="33"/>
        <v>73.254300000000001</v>
      </c>
    </row>
    <row r="207" spans="1:23" ht="14.25">
      <c r="A207" s="224">
        <v>28</v>
      </c>
      <c r="B207" s="198">
        <v>78574.8</v>
      </c>
      <c r="C207" s="198">
        <v>5550.1</v>
      </c>
      <c r="D207" s="198">
        <v>167133.79999999999</v>
      </c>
      <c r="E207" s="198">
        <v>140232.29999999999</v>
      </c>
      <c r="F207" s="198">
        <v>97176.3</v>
      </c>
      <c r="G207" s="198">
        <v>119960.9</v>
      </c>
      <c r="H207" s="198">
        <v>22482.742929</v>
      </c>
      <c r="I207" s="198">
        <v>19500.257071</v>
      </c>
      <c r="J207" s="198">
        <v>9937.6</v>
      </c>
      <c r="K207" s="198">
        <v>79867</v>
      </c>
      <c r="L207" s="198">
        <v>2217.1999999999998</v>
      </c>
      <c r="M207" s="198">
        <v>6528.8</v>
      </c>
      <c r="N207" s="201">
        <v>749161.8</v>
      </c>
      <c r="O207" s="198">
        <v>-2774.3</v>
      </c>
      <c r="P207" s="198">
        <v>-4669.3999999999996</v>
      </c>
      <c r="Q207" s="198">
        <v>21993.599999999999</v>
      </c>
      <c r="R207" s="201">
        <v>763711.7</v>
      </c>
      <c r="V207" s="223">
        <f t="shared" si="32"/>
        <v>16.012682440562237</v>
      </c>
      <c r="W207" s="222">
        <f t="shared" si="33"/>
        <v>119.9609</v>
      </c>
    </row>
    <row r="208" spans="1:23" ht="14.25">
      <c r="A208" s="224">
        <v>29</v>
      </c>
      <c r="B208" s="198">
        <v>70850.8</v>
      </c>
      <c r="C208" s="198">
        <v>785.3</v>
      </c>
      <c r="D208" s="198">
        <v>167176.6</v>
      </c>
      <c r="E208" s="198">
        <v>140241</v>
      </c>
      <c r="F208" s="198">
        <v>116369.4</v>
      </c>
      <c r="G208" s="198">
        <v>77518.100000000006</v>
      </c>
      <c r="H208" s="198">
        <v>25287.36335</v>
      </c>
      <c r="I208" s="198">
        <v>22579.93665</v>
      </c>
      <c r="J208" s="198">
        <v>10588.4</v>
      </c>
      <c r="K208" s="198">
        <v>79762.8</v>
      </c>
      <c r="L208" s="198">
        <v>2212</v>
      </c>
      <c r="M208" s="198">
        <v>6391</v>
      </c>
      <c r="N208" s="201">
        <v>719762.7</v>
      </c>
      <c r="O208" s="198">
        <v>-1292</v>
      </c>
      <c r="P208" s="198">
        <v>-4301</v>
      </c>
      <c r="Q208" s="198">
        <v>43568.800000000003</v>
      </c>
      <c r="R208" s="201">
        <v>757738.5</v>
      </c>
      <c r="V208" s="223">
        <f t="shared" si="32"/>
        <v>10.769952374581235</v>
      </c>
      <c r="W208" s="222">
        <f t="shared" si="33"/>
        <v>77.518100000000004</v>
      </c>
    </row>
    <row r="209" spans="1:23" ht="14.25">
      <c r="A209" s="224">
        <v>30</v>
      </c>
      <c r="B209" s="198">
        <v>78727.600000000006</v>
      </c>
      <c r="C209" s="198">
        <v>37.9</v>
      </c>
      <c r="D209" s="198">
        <v>166951.4</v>
      </c>
      <c r="E209" s="198">
        <v>136309.5</v>
      </c>
      <c r="F209" s="198">
        <v>110824.7</v>
      </c>
      <c r="G209" s="198">
        <v>93075.5</v>
      </c>
      <c r="H209" s="198">
        <v>25841.325653</v>
      </c>
      <c r="I209" s="198">
        <v>21512.974346999999</v>
      </c>
      <c r="J209" s="198">
        <v>10639.2</v>
      </c>
      <c r="K209" s="198">
        <v>79795.399999999994</v>
      </c>
      <c r="L209" s="198">
        <v>2218.85</v>
      </c>
      <c r="M209" s="198">
        <v>5366.35</v>
      </c>
      <c r="N209" s="201">
        <v>731300.7</v>
      </c>
      <c r="O209" s="198">
        <v>-2215.6999999999998</v>
      </c>
      <c r="P209" s="198">
        <v>-5298.5</v>
      </c>
      <c r="Q209" s="198">
        <v>33055.9</v>
      </c>
      <c r="R209" s="201">
        <v>756842.4</v>
      </c>
      <c r="V209" s="223">
        <f t="shared" si="32"/>
        <v>12.727391071825858</v>
      </c>
      <c r="W209" s="222">
        <f t="shared" si="33"/>
        <v>93.075500000000005</v>
      </c>
    </row>
    <row r="210" spans="1:23" ht="14.25">
      <c r="A210" s="224">
        <v>31</v>
      </c>
      <c r="B210" s="198">
        <v>65292</v>
      </c>
      <c r="C210" s="198">
        <v>535</v>
      </c>
      <c r="D210" s="198">
        <v>166588.6</v>
      </c>
      <c r="E210" s="198">
        <v>137648.9</v>
      </c>
      <c r="F210" s="198">
        <v>81196.800000000003</v>
      </c>
      <c r="G210" s="198">
        <v>119795.1</v>
      </c>
      <c r="H210" s="198">
        <v>26054.457895</v>
      </c>
      <c r="I210" s="198">
        <v>22168.642104999999</v>
      </c>
      <c r="J210" s="198">
        <v>10830.4</v>
      </c>
      <c r="K210" s="198">
        <v>81194</v>
      </c>
      <c r="L210" s="198">
        <v>2215.6999999999998</v>
      </c>
      <c r="M210" s="198">
        <v>5535.3</v>
      </c>
      <c r="N210" s="201">
        <v>719054.9</v>
      </c>
      <c r="O210" s="198">
        <v>-858</v>
      </c>
      <c r="P210" s="198">
        <v>-5105.3999999999996</v>
      </c>
      <c r="Q210" s="198">
        <v>34931.300000000003</v>
      </c>
      <c r="R210" s="201">
        <v>748022.8</v>
      </c>
      <c r="V210" s="223">
        <f t="shared" si="32"/>
        <v>16.660076998293178</v>
      </c>
      <c r="W210" s="222">
        <f t="shared" si="33"/>
        <v>119.79510000000001</v>
      </c>
    </row>
    <row r="215" spans="1:23">
      <c r="A215" s="194" t="s">
        <v>31</v>
      </c>
      <c r="B215" s="301" t="s">
        <v>544</v>
      </c>
      <c r="C215" s="302"/>
      <c r="D215" s="302"/>
      <c r="E215" s="302"/>
      <c r="F215" s="302"/>
      <c r="G215" s="302"/>
      <c r="H215" s="302"/>
      <c r="I215" s="302"/>
      <c r="J215" s="302"/>
      <c r="K215" s="302"/>
      <c r="L215" s="302"/>
      <c r="M215" s="302"/>
      <c r="N215" s="302"/>
      <c r="O215" s="302"/>
      <c r="P215" s="302"/>
      <c r="Q215" s="302"/>
      <c r="R215" s="302"/>
    </row>
    <row r="216" spans="1:23">
      <c r="A216" s="194" t="s">
        <v>117</v>
      </c>
      <c r="B216" s="303" t="s">
        <v>110</v>
      </c>
      <c r="C216" s="304"/>
      <c r="D216" s="304"/>
      <c r="E216" s="304"/>
      <c r="F216" s="304"/>
      <c r="G216" s="304"/>
      <c r="H216" s="304"/>
      <c r="I216" s="304"/>
      <c r="J216" s="304"/>
      <c r="K216" s="304"/>
      <c r="L216" s="304"/>
      <c r="M216" s="304"/>
      <c r="N216" s="304"/>
      <c r="O216" s="304"/>
      <c r="P216" s="304"/>
      <c r="Q216" s="304"/>
      <c r="R216" s="304"/>
    </row>
    <row r="217" spans="1:23">
      <c r="A217" s="194" t="s">
        <v>118</v>
      </c>
      <c r="B217" s="305" t="s">
        <v>154</v>
      </c>
      <c r="C217" s="306"/>
      <c r="D217" s="306"/>
      <c r="E217" s="306"/>
      <c r="F217" s="306"/>
      <c r="G217" s="306"/>
      <c r="H217" s="306"/>
      <c r="I217" s="306"/>
      <c r="J217" s="306"/>
      <c r="K217" s="306"/>
      <c r="L217" s="306"/>
      <c r="M217" s="306"/>
      <c r="N217" s="306"/>
      <c r="O217" s="306"/>
      <c r="P217" s="306"/>
      <c r="Q217" s="306"/>
      <c r="R217" s="306"/>
    </row>
    <row r="218" spans="1:23">
      <c r="A218" s="203" t="s">
        <v>119</v>
      </c>
      <c r="B218" s="234" t="s">
        <v>2</v>
      </c>
      <c r="C218" s="234" t="s">
        <v>83</v>
      </c>
      <c r="D218" s="234" t="s">
        <v>3</v>
      </c>
      <c r="E218" s="234" t="s">
        <v>4</v>
      </c>
      <c r="F218" s="234" t="s">
        <v>11</v>
      </c>
      <c r="G218" s="234" t="s">
        <v>5</v>
      </c>
      <c r="H218" s="234" t="s">
        <v>6</v>
      </c>
      <c r="I218" s="234" t="s">
        <v>7</v>
      </c>
      <c r="J218" s="234" t="s">
        <v>8</v>
      </c>
      <c r="K218" s="234" t="s">
        <v>9</v>
      </c>
      <c r="L218" s="234" t="s">
        <v>71</v>
      </c>
      <c r="M218" s="234" t="s">
        <v>72</v>
      </c>
      <c r="N218" s="219" t="s">
        <v>10</v>
      </c>
      <c r="O218" s="234" t="s">
        <v>428</v>
      </c>
      <c r="P218" s="234" t="s">
        <v>109</v>
      </c>
      <c r="Q218" s="234" t="s">
        <v>429</v>
      </c>
      <c r="R218" s="219" t="s">
        <v>430</v>
      </c>
      <c r="V218" s="221" t="s">
        <v>560</v>
      </c>
    </row>
    <row r="219" spans="1:23" ht="14.25">
      <c r="A219" s="203" t="s">
        <v>153</v>
      </c>
      <c r="B219" s="209"/>
      <c r="C219" s="209"/>
      <c r="D219" s="209"/>
      <c r="E219" s="209"/>
      <c r="F219" s="209"/>
      <c r="G219" s="209"/>
      <c r="H219" s="209"/>
      <c r="I219" s="209"/>
      <c r="J219" s="209"/>
      <c r="K219" s="209"/>
      <c r="L219" s="209"/>
      <c r="M219" s="209"/>
      <c r="N219" s="220"/>
      <c r="O219" s="209"/>
      <c r="P219" s="209"/>
      <c r="Q219" s="209"/>
      <c r="R219" s="220"/>
      <c r="V219" s="222"/>
    </row>
    <row r="220" spans="1:23" ht="14.25">
      <c r="A220" s="224">
        <v>1</v>
      </c>
      <c r="B220" s="198">
        <v>1.5673999999999999</v>
      </c>
      <c r="C220" s="198">
        <v>0</v>
      </c>
      <c r="D220" s="198">
        <v>6.9356</v>
      </c>
      <c r="E220" s="198">
        <v>1.7244999999999999</v>
      </c>
      <c r="F220" s="198">
        <v>1.4159999999999999</v>
      </c>
      <c r="G220" s="198">
        <v>9.1643000000000008</v>
      </c>
      <c r="H220" s="198">
        <v>0</v>
      </c>
      <c r="I220" s="198">
        <v>0.35970000000000002</v>
      </c>
      <c r="J220" s="198">
        <v>0.4597</v>
      </c>
      <c r="K220" s="198">
        <v>3.1427</v>
      </c>
      <c r="L220" s="198">
        <v>8.9950000000000002E-2</v>
      </c>
      <c r="M220" s="198">
        <v>0.26805000000000001</v>
      </c>
      <c r="N220" s="201">
        <v>25.1279</v>
      </c>
      <c r="O220" s="198">
        <v>-0.71399999999999997</v>
      </c>
      <c r="P220" s="198">
        <v>-0.10199999999999999</v>
      </c>
      <c r="Q220" s="198">
        <v>1.0639000000000001</v>
      </c>
      <c r="R220" s="201">
        <v>25.375800000000002</v>
      </c>
      <c r="V220" s="223">
        <f>IFERROR(G220/N220*100,"")</f>
        <v>36.470616326871728</v>
      </c>
    </row>
    <row r="221" spans="1:23" ht="14.25">
      <c r="A221" s="224">
        <v>2</v>
      </c>
      <c r="B221" s="198">
        <v>1.5535000000000001</v>
      </c>
      <c r="C221" s="198">
        <v>0</v>
      </c>
      <c r="D221" s="198">
        <v>6.9375999999999998</v>
      </c>
      <c r="E221" s="198">
        <v>1.6990000000000001</v>
      </c>
      <c r="F221" s="198">
        <v>1.1812</v>
      </c>
      <c r="G221" s="198">
        <v>8.7952999999999992</v>
      </c>
      <c r="H221" s="198">
        <v>0</v>
      </c>
      <c r="I221" s="198">
        <v>0.32879999999999998</v>
      </c>
      <c r="J221" s="198">
        <v>0.45879999999999999</v>
      </c>
      <c r="K221" s="198">
        <v>3.1164000000000001</v>
      </c>
      <c r="L221" s="198">
        <v>9.0399999999999994E-2</v>
      </c>
      <c r="M221" s="198">
        <v>0.26869999999999999</v>
      </c>
      <c r="N221" s="201">
        <v>24.4297</v>
      </c>
      <c r="O221" s="198">
        <v>-0.14929999999999999</v>
      </c>
      <c r="P221" s="198">
        <v>-0.10199999999999999</v>
      </c>
      <c r="Q221" s="198">
        <v>2.1700000000000001E-2</v>
      </c>
      <c r="R221" s="201">
        <v>24.200099999999999</v>
      </c>
      <c r="V221" s="223">
        <f t="shared" ref="V221:V243" si="34">IFERROR(G221/N221*100,"")</f>
        <v>36.002488773910443</v>
      </c>
    </row>
    <row r="222" spans="1:23" ht="14.25">
      <c r="A222" s="224">
        <v>3</v>
      </c>
      <c r="B222" s="198">
        <v>1.3458000000000001</v>
      </c>
      <c r="C222" s="198">
        <v>0</v>
      </c>
      <c r="D222" s="198">
        <v>6.9356</v>
      </c>
      <c r="E222" s="198">
        <v>1.5785</v>
      </c>
      <c r="F222" s="198">
        <v>0.92169999999999996</v>
      </c>
      <c r="G222" s="198">
        <v>8.8308</v>
      </c>
      <c r="H222" s="198">
        <v>0</v>
      </c>
      <c r="I222" s="198">
        <v>0.29299999999999998</v>
      </c>
      <c r="J222" s="198">
        <v>0.46</v>
      </c>
      <c r="K222" s="198">
        <v>3.0888</v>
      </c>
      <c r="L222" s="198">
        <v>9.0050000000000005E-2</v>
      </c>
      <c r="M222" s="198">
        <v>0.26634999999999998</v>
      </c>
      <c r="N222" s="201">
        <v>23.810600000000001</v>
      </c>
      <c r="O222" s="198">
        <v>-0.46949999999999997</v>
      </c>
      <c r="P222" s="198">
        <v>-0.10199999999999999</v>
      </c>
      <c r="Q222" s="198">
        <v>-0.4733</v>
      </c>
      <c r="R222" s="201">
        <v>22.765799999999999</v>
      </c>
      <c r="V222" s="223">
        <f t="shared" si="34"/>
        <v>37.087683636699623</v>
      </c>
    </row>
    <row r="223" spans="1:23" ht="14.25">
      <c r="A223" s="224">
        <v>4</v>
      </c>
      <c r="B223" s="198">
        <v>1.3358000000000001</v>
      </c>
      <c r="C223" s="198">
        <v>0</v>
      </c>
      <c r="D223" s="198">
        <v>6.9366000000000003</v>
      </c>
      <c r="E223" s="198">
        <v>1.415</v>
      </c>
      <c r="F223" s="198">
        <v>0.89590000000000003</v>
      </c>
      <c r="G223" s="198">
        <v>8.5412999999999997</v>
      </c>
      <c r="H223" s="198">
        <v>0</v>
      </c>
      <c r="I223" s="198">
        <v>0.16389999999999999</v>
      </c>
      <c r="J223" s="198">
        <v>0.45979999999999999</v>
      </c>
      <c r="K223" s="198">
        <v>3.0806</v>
      </c>
      <c r="L223" s="198">
        <v>9.0499999999999997E-2</v>
      </c>
      <c r="M223" s="198">
        <v>0.26669999999999999</v>
      </c>
      <c r="N223" s="201">
        <v>23.1861</v>
      </c>
      <c r="O223" s="198">
        <v>-0.64400000000000002</v>
      </c>
      <c r="P223" s="198">
        <v>-8.2000000000000003E-2</v>
      </c>
      <c r="Q223" s="198">
        <v>-0.14449999999999999</v>
      </c>
      <c r="R223" s="201">
        <v>22.3156</v>
      </c>
      <c r="V223" s="223">
        <f t="shared" si="34"/>
        <v>36.838019330547176</v>
      </c>
    </row>
    <row r="224" spans="1:23" ht="14.25">
      <c r="A224" s="224">
        <v>5</v>
      </c>
      <c r="B224" s="198">
        <v>1.3012999999999999</v>
      </c>
      <c r="C224" s="198">
        <v>0</v>
      </c>
      <c r="D224" s="198">
        <v>6.9366000000000003</v>
      </c>
      <c r="E224" s="198">
        <v>1.345</v>
      </c>
      <c r="F224" s="198">
        <v>0.88939999999999997</v>
      </c>
      <c r="G224" s="198">
        <v>8.3774999999999995</v>
      </c>
      <c r="H224" s="198">
        <v>0</v>
      </c>
      <c r="I224" s="198">
        <v>6.3E-2</v>
      </c>
      <c r="J224" s="198">
        <v>0.46050000000000002</v>
      </c>
      <c r="K224" s="198">
        <v>3.0832999999999999</v>
      </c>
      <c r="L224" s="198">
        <v>9.0050000000000005E-2</v>
      </c>
      <c r="M224" s="198">
        <v>0.26624999999999999</v>
      </c>
      <c r="N224" s="201">
        <v>22.812899999999999</v>
      </c>
      <c r="O224" s="198">
        <v>-1.1579999999999999</v>
      </c>
      <c r="P224" s="198">
        <v>-8.2000000000000003E-2</v>
      </c>
      <c r="Q224" s="198">
        <v>0.1789</v>
      </c>
      <c r="R224" s="201">
        <v>21.751799999999999</v>
      </c>
      <c r="V224" s="223">
        <f t="shared" si="34"/>
        <v>36.722643767342163</v>
      </c>
    </row>
    <row r="225" spans="1:22" ht="14.25">
      <c r="A225" s="224">
        <v>6</v>
      </c>
      <c r="B225" s="198">
        <v>1.2985</v>
      </c>
      <c r="C225" s="198">
        <v>0</v>
      </c>
      <c r="D225" s="198">
        <v>6.9416000000000002</v>
      </c>
      <c r="E225" s="198">
        <v>1.345</v>
      </c>
      <c r="F225" s="198">
        <v>0.88039999999999996</v>
      </c>
      <c r="G225" s="198">
        <v>8.2622</v>
      </c>
      <c r="H225" s="198">
        <v>0</v>
      </c>
      <c r="I225" s="198">
        <v>6.3E-2</v>
      </c>
      <c r="J225" s="198">
        <v>0.45879999999999999</v>
      </c>
      <c r="K225" s="198">
        <v>3.0647000000000002</v>
      </c>
      <c r="L225" s="198">
        <v>9.0450000000000003E-2</v>
      </c>
      <c r="M225" s="198">
        <v>0.26674999999999999</v>
      </c>
      <c r="N225" s="201">
        <v>22.671399999999998</v>
      </c>
      <c r="O225" s="198">
        <v>-1.32</v>
      </c>
      <c r="P225" s="198">
        <v>-8.2000000000000003E-2</v>
      </c>
      <c r="Q225" s="198">
        <v>0.25369999999999998</v>
      </c>
      <c r="R225" s="201">
        <v>21.523099999999999</v>
      </c>
      <c r="V225" s="223">
        <f t="shared" si="34"/>
        <v>36.443272140229546</v>
      </c>
    </row>
    <row r="226" spans="1:22" ht="14.25">
      <c r="A226" s="224">
        <v>7</v>
      </c>
      <c r="B226" s="198">
        <v>1.3748</v>
      </c>
      <c r="C226" s="198">
        <v>0</v>
      </c>
      <c r="D226" s="198">
        <v>6.9436</v>
      </c>
      <c r="E226" s="198">
        <v>1.3973</v>
      </c>
      <c r="F226" s="198">
        <v>0.89429999999999998</v>
      </c>
      <c r="G226" s="198">
        <v>8.3582999999999998</v>
      </c>
      <c r="H226" s="198">
        <v>6.3E-3</v>
      </c>
      <c r="I226" s="198">
        <v>4.8000000000000001E-2</v>
      </c>
      <c r="J226" s="198">
        <v>0.45829999999999999</v>
      </c>
      <c r="K226" s="198">
        <v>3.0436999999999999</v>
      </c>
      <c r="L226" s="198">
        <v>9.0399999999999994E-2</v>
      </c>
      <c r="M226" s="198">
        <v>0.26669999999999999</v>
      </c>
      <c r="N226" s="201">
        <v>22.881699999999999</v>
      </c>
      <c r="O226" s="198">
        <v>-1.0780000000000001</v>
      </c>
      <c r="P226" s="198">
        <v>-0.10199999999999999</v>
      </c>
      <c r="Q226" s="198">
        <v>0.12559999999999999</v>
      </c>
      <c r="R226" s="201">
        <v>21.827300000000001</v>
      </c>
      <c r="V226" s="223">
        <f t="shared" si="34"/>
        <v>36.528317389005188</v>
      </c>
    </row>
    <row r="227" spans="1:22" ht="14.25">
      <c r="A227" s="224">
        <v>8</v>
      </c>
      <c r="B227" s="198">
        <v>1.4602999999999999</v>
      </c>
      <c r="C227" s="198">
        <v>0</v>
      </c>
      <c r="D227" s="198">
        <v>6.9416000000000002</v>
      </c>
      <c r="E227" s="198">
        <v>1.4231</v>
      </c>
      <c r="F227" s="198">
        <v>0.89229999999999998</v>
      </c>
      <c r="G227" s="198">
        <v>8.2825000000000006</v>
      </c>
      <c r="H227" s="198">
        <v>5.2299999999999999E-2</v>
      </c>
      <c r="I227" s="198">
        <v>3.3000000000000002E-2</v>
      </c>
      <c r="J227" s="198">
        <v>0.45810000000000001</v>
      </c>
      <c r="K227" s="198">
        <v>3.0634999999999999</v>
      </c>
      <c r="L227" s="198">
        <v>9.035E-2</v>
      </c>
      <c r="M227" s="198">
        <v>0.26634999999999998</v>
      </c>
      <c r="N227" s="201">
        <v>22.9634</v>
      </c>
      <c r="O227" s="198">
        <v>-0.76600000000000001</v>
      </c>
      <c r="P227" s="198">
        <v>-0.10199999999999999</v>
      </c>
      <c r="Q227" s="198">
        <v>-0.2596</v>
      </c>
      <c r="R227" s="201">
        <v>21.835799999999999</v>
      </c>
      <c r="V227" s="223">
        <f t="shared" si="34"/>
        <v>36.068265152372909</v>
      </c>
    </row>
    <row r="228" spans="1:22" ht="14.25">
      <c r="A228" s="224">
        <v>9</v>
      </c>
      <c r="B228" s="198">
        <v>1.7038</v>
      </c>
      <c r="C228" s="198">
        <v>0.2011</v>
      </c>
      <c r="D228" s="198">
        <v>6.9356</v>
      </c>
      <c r="E228" s="198">
        <v>1.6395</v>
      </c>
      <c r="F228" s="198">
        <v>1.0033000000000001</v>
      </c>
      <c r="G228" s="198">
        <v>7.7236000000000002</v>
      </c>
      <c r="H228" s="198">
        <v>0.345686243</v>
      </c>
      <c r="I228" s="198">
        <v>8.1375700000000002E-4</v>
      </c>
      <c r="J228" s="198">
        <v>0.45989999999999998</v>
      </c>
      <c r="K228" s="198">
        <v>3.1048</v>
      </c>
      <c r="L228" s="198">
        <v>9.0399999999999994E-2</v>
      </c>
      <c r="M228" s="198">
        <v>0.26950000000000002</v>
      </c>
      <c r="N228" s="201">
        <v>23.478000000000002</v>
      </c>
      <c r="O228" s="198">
        <v>-0.52449999999999997</v>
      </c>
      <c r="P228" s="198">
        <v>-0.10199999999999999</v>
      </c>
      <c r="Q228" s="198">
        <v>4.9099999999999998E-2</v>
      </c>
      <c r="R228" s="201">
        <v>22.900600000000001</v>
      </c>
      <c r="V228" s="223">
        <f t="shared" si="34"/>
        <v>32.897180339040801</v>
      </c>
    </row>
    <row r="229" spans="1:22" ht="14.25">
      <c r="A229" s="224">
        <v>10</v>
      </c>
      <c r="B229" s="198">
        <v>1.7951999999999999</v>
      </c>
      <c r="C229" s="198">
        <v>0.2039</v>
      </c>
      <c r="D229" s="198">
        <v>6.9306000000000001</v>
      </c>
      <c r="E229" s="198">
        <v>1.4907999999999999</v>
      </c>
      <c r="F229" s="198">
        <v>1.3416999999999999</v>
      </c>
      <c r="G229" s="198">
        <v>7.4927000000000001</v>
      </c>
      <c r="H229" s="198">
        <v>1.2111931220000001</v>
      </c>
      <c r="I229" s="198">
        <v>0.45340687800000001</v>
      </c>
      <c r="J229" s="198">
        <v>0.4602</v>
      </c>
      <c r="K229" s="198">
        <v>3.0878000000000001</v>
      </c>
      <c r="L229" s="198">
        <v>9.035E-2</v>
      </c>
      <c r="M229" s="198">
        <v>0.27215</v>
      </c>
      <c r="N229" s="201">
        <v>24.83</v>
      </c>
      <c r="O229" s="198">
        <v>-0.12</v>
      </c>
      <c r="P229" s="198">
        <v>-0.10199999999999999</v>
      </c>
      <c r="Q229" s="198">
        <v>0.7681</v>
      </c>
      <c r="R229" s="201">
        <v>25.376100000000001</v>
      </c>
      <c r="V229" s="223">
        <f t="shared" si="34"/>
        <v>30.175996778091026</v>
      </c>
    </row>
    <row r="230" spans="1:22" ht="14.25">
      <c r="A230" s="224">
        <v>11</v>
      </c>
      <c r="B230" s="198">
        <v>1.8833</v>
      </c>
      <c r="C230" s="198">
        <v>0.20399999999999999</v>
      </c>
      <c r="D230" s="198">
        <v>6.9295999999999998</v>
      </c>
      <c r="E230" s="198">
        <v>1.4629000000000001</v>
      </c>
      <c r="F230" s="198">
        <v>0.77280000000000004</v>
      </c>
      <c r="G230" s="198">
        <v>7.0507</v>
      </c>
      <c r="H230" s="198">
        <v>1.4938518519999999</v>
      </c>
      <c r="I230" s="198">
        <v>1.5843481479999999</v>
      </c>
      <c r="J230" s="198">
        <v>0.45979999999999999</v>
      </c>
      <c r="K230" s="198">
        <v>3.0638000000000001</v>
      </c>
      <c r="L230" s="198">
        <v>9.0200000000000002E-2</v>
      </c>
      <c r="M230" s="198">
        <v>0.26929999999999998</v>
      </c>
      <c r="N230" s="201">
        <v>25.264600000000002</v>
      </c>
      <c r="O230" s="198">
        <v>-0.2</v>
      </c>
      <c r="P230" s="198">
        <v>-0.13300000000000001</v>
      </c>
      <c r="Q230" s="198">
        <v>1.7281</v>
      </c>
      <c r="R230" s="201">
        <v>26.659700000000001</v>
      </c>
      <c r="V230" s="223">
        <f t="shared" si="34"/>
        <v>27.90742778433064</v>
      </c>
    </row>
    <row r="231" spans="1:22" ht="14.25">
      <c r="A231" s="224">
        <v>12</v>
      </c>
      <c r="B231" s="198">
        <v>1.7878000000000001</v>
      </c>
      <c r="C231" s="198">
        <v>0.05</v>
      </c>
      <c r="D231" s="198">
        <v>6.9306000000000001</v>
      </c>
      <c r="E231" s="198">
        <v>1.7636000000000001</v>
      </c>
      <c r="F231" s="198">
        <v>0.70740000000000003</v>
      </c>
      <c r="G231" s="198">
        <v>6.7298999999999998</v>
      </c>
      <c r="H231" s="198">
        <v>2.3877095239999999</v>
      </c>
      <c r="I231" s="198">
        <v>1.9988904759999999</v>
      </c>
      <c r="J231" s="198">
        <v>0.45800000000000002</v>
      </c>
      <c r="K231" s="198">
        <v>3.0585</v>
      </c>
      <c r="L231" s="198">
        <v>8.8900000000000007E-2</v>
      </c>
      <c r="M231" s="198">
        <v>0.2651</v>
      </c>
      <c r="N231" s="201">
        <v>26.226400000000002</v>
      </c>
      <c r="O231" s="198">
        <v>-0.48270000000000002</v>
      </c>
      <c r="P231" s="198">
        <v>-0.13300000000000001</v>
      </c>
      <c r="Q231" s="198">
        <v>1.9221999999999999</v>
      </c>
      <c r="R231" s="201">
        <v>27.532900000000001</v>
      </c>
      <c r="V231" s="223">
        <f t="shared" si="34"/>
        <v>25.660784552969524</v>
      </c>
    </row>
    <row r="232" spans="1:22" ht="14.25">
      <c r="A232" s="224">
        <v>13</v>
      </c>
      <c r="B232" s="198">
        <v>1.8435999999999999</v>
      </c>
      <c r="C232" s="198">
        <v>0.05</v>
      </c>
      <c r="D232" s="198">
        <v>6.9686000000000003</v>
      </c>
      <c r="E232" s="198">
        <v>2.1316999999999999</v>
      </c>
      <c r="F232" s="198">
        <v>1.1295999999999999</v>
      </c>
      <c r="G232" s="198">
        <v>5.7401</v>
      </c>
      <c r="H232" s="198">
        <v>2.6734793649999999</v>
      </c>
      <c r="I232" s="198">
        <v>2.0172206350000002</v>
      </c>
      <c r="J232" s="198">
        <v>0.45750000000000002</v>
      </c>
      <c r="K232" s="198">
        <v>3.0535000000000001</v>
      </c>
      <c r="L232" s="198">
        <v>8.9200000000000002E-2</v>
      </c>
      <c r="M232" s="198">
        <v>0.26519999999999999</v>
      </c>
      <c r="N232" s="201">
        <v>26.419699999999999</v>
      </c>
      <c r="O232" s="198">
        <v>0</v>
      </c>
      <c r="P232" s="198">
        <v>-0.13300000000000001</v>
      </c>
      <c r="Q232" s="198">
        <v>1.6731</v>
      </c>
      <c r="R232" s="201">
        <v>27.959800000000001</v>
      </c>
      <c r="V232" s="223">
        <f t="shared" si="34"/>
        <v>21.726590385204979</v>
      </c>
    </row>
    <row r="233" spans="1:22" ht="14.25">
      <c r="A233" s="224">
        <v>14</v>
      </c>
      <c r="B233" s="198">
        <v>2.2437</v>
      </c>
      <c r="C233" s="198">
        <v>0</v>
      </c>
      <c r="D233" s="198">
        <v>6.9645999999999999</v>
      </c>
      <c r="E233" s="198">
        <v>2.1417000000000002</v>
      </c>
      <c r="F233" s="198">
        <v>1.1678999999999999</v>
      </c>
      <c r="G233" s="198">
        <v>5.3799000000000001</v>
      </c>
      <c r="H233" s="198">
        <v>2.8810328040000002</v>
      </c>
      <c r="I233" s="198">
        <v>2.0321671960000001</v>
      </c>
      <c r="J233" s="198">
        <v>0.46350000000000002</v>
      </c>
      <c r="K233" s="198">
        <v>3.0468999999999999</v>
      </c>
      <c r="L233" s="198">
        <v>8.9649999999999994E-2</v>
      </c>
      <c r="M233" s="198">
        <v>0.26745000000000002</v>
      </c>
      <c r="N233" s="201">
        <v>26.6785</v>
      </c>
      <c r="O233" s="198">
        <v>0</v>
      </c>
      <c r="P233" s="198">
        <v>-0.13300000000000001</v>
      </c>
      <c r="Q233" s="198">
        <v>1.9064000000000001</v>
      </c>
      <c r="R233" s="201">
        <v>28.451899999999998</v>
      </c>
      <c r="V233" s="223">
        <f t="shared" si="34"/>
        <v>20.165676481061528</v>
      </c>
    </row>
    <row r="234" spans="1:22" ht="14.25">
      <c r="A234" s="224">
        <v>15</v>
      </c>
      <c r="B234" s="198">
        <v>2.6877</v>
      </c>
      <c r="C234" s="198">
        <v>0</v>
      </c>
      <c r="D234" s="198">
        <v>6.9664000000000001</v>
      </c>
      <c r="E234" s="198">
        <v>2.3142</v>
      </c>
      <c r="F234" s="198">
        <v>1.2042999999999999</v>
      </c>
      <c r="G234" s="198">
        <v>4.9191000000000003</v>
      </c>
      <c r="H234" s="198">
        <v>2.8570793650000001</v>
      </c>
      <c r="I234" s="198">
        <v>1.996220635</v>
      </c>
      <c r="J234" s="198">
        <v>0.46329999999999999</v>
      </c>
      <c r="K234" s="198">
        <v>3.0108999999999999</v>
      </c>
      <c r="L234" s="198">
        <v>0.09</v>
      </c>
      <c r="M234" s="198">
        <v>0.26769999999999999</v>
      </c>
      <c r="N234" s="201">
        <v>26.776900000000001</v>
      </c>
      <c r="O234" s="198">
        <v>0</v>
      </c>
      <c r="P234" s="198">
        <v>-0.13300000000000001</v>
      </c>
      <c r="Q234" s="198">
        <v>1.8072999999999999</v>
      </c>
      <c r="R234" s="201">
        <v>28.4512</v>
      </c>
      <c r="V234" s="223">
        <f t="shared" si="34"/>
        <v>18.370685180136611</v>
      </c>
    </row>
    <row r="235" spans="1:22" ht="14.25">
      <c r="A235" s="224">
        <v>16</v>
      </c>
      <c r="B235" s="198">
        <v>2.3121999999999998</v>
      </c>
      <c r="C235" s="198">
        <v>0</v>
      </c>
      <c r="D235" s="198">
        <v>6.9645999999999999</v>
      </c>
      <c r="E235" s="198">
        <v>2.3216999999999999</v>
      </c>
      <c r="F235" s="198">
        <v>1.2462</v>
      </c>
      <c r="G235" s="198">
        <v>5.3954000000000004</v>
      </c>
      <c r="H235" s="198">
        <v>2.7150793649999998</v>
      </c>
      <c r="I235" s="198">
        <v>1.977920635</v>
      </c>
      <c r="J235" s="198">
        <v>0.46200000000000002</v>
      </c>
      <c r="K235" s="198">
        <v>3.0225</v>
      </c>
      <c r="L235" s="198">
        <v>9.0200000000000002E-2</v>
      </c>
      <c r="M235" s="198">
        <v>0.2702</v>
      </c>
      <c r="N235" s="201">
        <v>26.777999999999999</v>
      </c>
      <c r="O235" s="198">
        <v>0</v>
      </c>
      <c r="P235" s="198">
        <v>-0.10199999999999999</v>
      </c>
      <c r="Q235" s="198">
        <v>1.1529</v>
      </c>
      <c r="R235" s="201">
        <v>27.828900000000001</v>
      </c>
      <c r="V235" s="223">
        <f t="shared" si="34"/>
        <v>20.148629471954592</v>
      </c>
    </row>
    <row r="236" spans="1:22" ht="14.25">
      <c r="A236" s="224">
        <v>17</v>
      </c>
      <c r="B236" s="198">
        <v>2.1368999999999998</v>
      </c>
      <c r="C236" s="198">
        <v>0</v>
      </c>
      <c r="D236" s="198">
        <v>6.9656000000000002</v>
      </c>
      <c r="E236" s="198">
        <v>2.3003</v>
      </c>
      <c r="F236" s="198">
        <v>1.0692999999999999</v>
      </c>
      <c r="G236" s="198">
        <v>5.3757000000000001</v>
      </c>
      <c r="H236" s="198">
        <v>2.4277793650000001</v>
      </c>
      <c r="I236" s="198">
        <v>1.9469206349999999</v>
      </c>
      <c r="J236" s="198">
        <v>0.46179999999999999</v>
      </c>
      <c r="K236" s="198">
        <v>3.0146999999999999</v>
      </c>
      <c r="L236" s="198">
        <v>9.0050000000000005E-2</v>
      </c>
      <c r="M236" s="198">
        <v>0.27055000000000001</v>
      </c>
      <c r="N236" s="201">
        <v>26.0596</v>
      </c>
      <c r="O236" s="198">
        <v>0</v>
      </c>
      <c r="P236" s="198">
        <v>-0.10199999999999999</v>
      </c>
      <c r="Q236" s="198">
        <v>1.1141000000000001</v>
      </c>
      <c r="R236" s="201">
        <v>27.0717</v>
      </c>
      <c r="V236" s="223">
        <f t="shared" si="34"/>
        <v>20.62848240187877</v>
      </c>
    </row>
    <row r="237" spans="1:22" ht="14.25">
      <c r="A237" s="224">
        <v>18</v>
      </c>
      <c r="B237" s="198">
        <v>2.1453000000000002</v>
      </c>
      <c r="C237" s="198">
        <v>0</v>
      </c>
      <c r="D237" s="198">
        <v>6.9686000000000003</v>
      </c>
      <c r="E237" s="198">
        <v>2.2946</v>
      </c>
      <c r="F237" s="198">
        <v>1.0462</v>
      </c>
      <c r="G237" s="198">
        <v>5.6306000000000003</v>
      </c>
      <c r="H237" s="198">
        <v>1.9543793650000001</v>
      </c>
      <c r="I237" s="198">
        <v>1.8966206350000001</v>
      </c>
      <c r="J237" s="198">
        <v>0.4622</v>
      </c>
      <c r="K237" s="198">
        <v>3.0205000000000002</v>
      </c>
      <c r="L237" s="198">
        <v>9.0050000000000005E-2</v>
      </c>
      <c r="M237" s="198">
        <v>0.27055000000000001</v>
      </c>
      <c r="N237" s="201">
        <v>25.779599999999999</v>
      </c>
      <c r="O237" s="198">
        <v>0</v>
      </c>
      <c r="P237" s="198">
        <v>-0.10199999999999999</v>
      </c>
      <c r="Q237" s="198">
        <v>1.0562</v>
      </c>
      <c r="R237" s="201">
        <v>26.733799999999999</v>
      </c>
      <c r="V237" s="223">
        <f t="shared" si="34"/>
        <v>21.841300873558943</v>
      </c>
    </row>
    <row r="238" spans="1:22" ht="14.25">
      <c r="A238" s="224">
        <v>19</v>
      </c>
      <c r="B238" s="198">
        <v>2.7275999999999998</v>
      </c>
      <c r="C238" s="198">
        <v>0</v>
      </c>
      <c r="D238" s="198">
        <v>6.9745999999999997</v>
      </c>
      <c r="E238" s="198">
        <v>2.4112</v>
      </c>
      <c r="F238" s="198">
        <v>1.103</v>
      </c>
      <c r="G238" s="198">
        <v>5.8331</v>
      </c>
      <c r="H238" s="198">
        <v>1.4020862430000001</v>
      </c>
      <c r="I238" s="198">
        <v>1.8427137570000001</v>
      </c>
      <c r="J238" s="198">
        <v>0.46300000000000002</v>
      </c>
      <c r="K238" s="198">
        <v>3.0529999999999999</v>
      </c>
      <c r="L238" s="198">
        <v>9.0050000000000005E-2</v>
      </c>
      <c r="M238" s="198">
        <v>0.27045000000000002</v>
      </c>
      <c r="N238" s="201">
        <v>26.1708</v>
      </c>
      <c r="O238" s="198">
        <v>0</v>
      </c>
      <c r="P238" s="198">
        <v>-0.13300000000000001</v>
      </c>
      <c r="Q238" s="198">
        <v>0.66910000000000003</v>
      </c>
      <c r="R238" s="201">
        <v>26.706900000000001</v>
      </c>
      <c r="V238" s="223">
        <f t="shared" si="34"/>
        <v>22.288581166796583</v>
      </c>
    </row>
    <row r="239" spans="1:22" ht="14.25">
      <c r="A239" s="224">
        <v>20</v>
      </c>
      <c r="B239" s="198">
        <v>3.5989</v>
      </c>
      <c r="C239" s="198">
        <v>0</v>
      </c>
      <c r="D239" s="198">
        <v>6.9805999999999999</v>
      </c>
      <c r="E239" s="198">
        <v>2.4714999999999998</v>
      </c>
      <c r="F239" s="198">
        <v>1.6856</v>
      </c>
      <c r="G239" s="198">
        <v>6.3666999999999998</v>
      </c>
      <c r="H239" s="198">
        <v>0.66137936500000005</v>
      </c>
      <c r="I239" s="198">
        <v>1.6106206350000001</v>
      </c>
      <c r="J239" s="198">
        <v>0.46279999999999999</v>
      </c>
      <c r="K239" s="198">
        <v>3.0413000000000001</v>
      </c>
      <c r="L239" s="198">
        <v>9.01E-2</v>
      </c>
      <c r="M239" s="198">
        <v>0.27060000000000001</v>
      </c>
      <c r="N239" s="201">
        <v>27.240100000000002</v>
      </c>
      <c r="O239" s="198">
        <v>0</v>
      </c>
      <c r="P239" s="198">
        <v>-0.13300000000000001</v>
      </c>
      <c r="Q239" s="198">
        <v>-0.49790000000000001</v>
      </c>
      <c r="R239" s="201">
        <v>26.609200000000001</v>
      </c>
      <c r="V239" s="223">
        <f t="shared" si="34"/>
        <v>23.372528000998528</v>
      </c>
    </row>
    <row r="240" spans="1:22" ht="14.25">
      <c r="A240" s="224">
        <v>21</v>
      </c>
      <c r="B240" s="198">
        <v>4.1351000000000004</v>
      </c>
      <c r="C240" s="198">
        <v>0</v>
      </c>
      <c r="D240" s="198">
        <v>6.9775999999999998</v>
      </c>
      <c r="E240" s="198">
        <v>2.5249000000000001</v>
      </c>
      <c r="F240" s="198">
        <v>2.0918000000000001</v>
      </c>
      <c r="G240" s="198">
        <v>6.7653999999999996</v>
      </c>
      <c r="H240" s="198">
        <v>6.2886242999999994E-2</v>
      </c>
      <c r="I240" s="198">
        <v>1.093613757</v>
      </c>
      <c r="J240" s="198">
        <v>0.46350000000000002</v>
      </c>
      <c r="K240" s="198">
        <v>3.0365000000000002</v>
      </c>
      <c r="L240" s="198">
        <v>9.0200000000000002E-2</v>
      </c>
      <c r="M240" s="198">
        <v>0.27100000000000002</v>
      </c>
      <c r="N240" s="201">
        <v>27.512499999999999</v>
      </c>
      <c r="O240" s="198">
        <v>0</v>
      </c>
      <c r="P240" s="198">
        <v>-0.26500000000000001</v>
      </c>
      <c r="Q240" s="198">
        <v>-0.3503</v>
      </c>
      <c r="R240" s="201">
        <v>26.897200000000002</v>
      </c>
      <c r="V240" s="223">
        <f t="shared" si="34"/>
        <v>24.590277146751475</v>
      </c>
    </row>
    <row r="241" spans="1:22" ht="14.25">
      <c r="A241" s="224">
        <v>22</v>
      </c>
      <c r="B241" s="198">
        <v>4.2927</v>
      </c>
      <c r="C241" s="198">
        <v>4.9000000000000002E-2</v>
      </c>
      <c r="D241" s="198">
        <v>6.9766000000000004</v>
      </c>
      <c r="E241" s="198">
        <v>2.5889000000000002</v>
      </c>
      <c r="F241" s="198">
        <v>2.3515999999999999</v>
      </c>
      <c r="G241" s="198">
        <v>6.9931999999999999</v>
      </c>
      <c r="H241" s="198">
        <v>-7.1906877999999994E-2</v>
      </c>
      <c r="I241" s="198">
        <v>0.67980687799999995</v>
      </c>
      <c r="J241" s="198">
        <v>0.46</v>
      </c>
      <c r="K241" s="198">
        <v>3.0451000000000001</v>
      </c>
      <c r="L241" s="198">
        <v>9.0249999999999997E-2</v>
      </c>
      <c r="M241" s="198">
        <v>0.27115</v>
      </c>
      <c r="N241" s="201">
        <v>27.726400000000002</v>
      </c>
      <c r="O241" s="198">
        <v>0</v>
      </c>
      <c r="P241" s="198">
        <v>-0.26500000000000001</v>
      </c>
      <c r="Q241" s="198">
        <v>0.92949999999999999</v>
      </c>
      <c r="R241" s="201">
        <v>28.390899999999998</v>
      </c>
      <c r="V241" s="223">
        <f t="shared" si="34"/>
        <v>25.222170927347221</v>
      </c>
    </row>
    <row r="242" spans="1:22" ht="14.25">
      <c r="A242" s="224">
        <v>23</v>
      </c>
      <c r="B242" s="198">
        <v>4.1299000000000001</v>
      </c>
      <c r="C242" s="198">
        <v>8.0100000000000005E-2</v>
      </c>
      <c r="D242" s="198">
        <v>6.9756</v>
      </c>
      <c r="E242" s="198">
        <v>2.5608</v>
      </c>
      <c r="F242" s="198">
        <v>1.8348</v>
      </c>
      <c r="G242" s="198">
        <v>7.2034000000000002</v>
      </c>
      <c r="H242" s="198">
        <v>1E-3</v>
      </c>
      <c r="I242" s="198">
        <v>0.56779999999999997</v>
      </c>
      <c r="J242" s="198">
        <v>0.46010000000000001</v>
      </c>
      <c r="K242" s="198">
        <v>3.0577999999999999</v>
      </c>
      <c r="L242" s="198">
        <v>9.0249999999999997E-2</v>
      </c>
      <c r="M242" s="198">
        <v>0.27105000000000001</v>
      </c>
      <c r="N242" s="201">
        <v>27.232600000000001</v>
      </c>
      <c r="O242" s="198">
        <v>0</v>
      </c>
      <c r="P242" s="198">
        <v>-0.20399999999999999</v>
      </c>
      <c r="Q242" s="198">
        <v>0.63990000000000002</v>
      </c>
      <c r="R242" s="201">
        <v>27.668500000000002</v>
      </c>
      <c r="V242" s="223">
        <f t="shared" si="34"/>
        <v>26.451385471824214</v>
      </c>
    </row>
    <row r="243" spans="1:22" ht="14.25">
      <c r="A243" s="224">
        <v>24</v>
      </c>
      <c r="B243" s="198">
        <v>2.5592000000000001</v>
      </c>
      <c r="C243" s="198">
        <v>4.8000000000000001E-2</v>
      </c>
      <c r="D243" s="198">
        <v>6.9786000000000001</v>
      </c>
      <c r="E243" s="198">
        <v>2.4285000000000001</v>
      </c>
      <c r="F243" s="198">
        <v>1.6641999999999999</v>
      </c>
      <c r="G243" s="198">
        <v>7.3064</v>
      </c>
      <c r="H243" s="198">
        <v>1E-3</v>
      </c>
      <c r="I243" s="198">
        <v>0.53879999999999995</v>
      </c>
      <c r="J243" s="198">
        <v>0.46029999999999999</v>
      </c>
      <c r="K243" s="198">
        <v>3.0402999999999998</v>
      </c>
      <c r="L243" s="198">
        <v>9.0300000000000005E-2</v>
      </c>
      <c r="M243" s="198">
        <v>0.27100000000000002</v>
      </c>
      <c r="N243" s="201">
        <v>25.386600000000001</v>
      </c>
      <c r="O243" s="198">
        <v>0</v>
      </c>
      <c r="P243" s="198">
        <v>-0.17799999999999999</v>
      </c>
      <c r="Q243" s="198">
        <v>0.69869999999999999</v>
      </c>
      <c r="R243" s="201">
        <v>25.907299999999999</v>
      </c>
      <c r="V243" s="223">
        <f t="shared" si="34"/>
        <v>28.780537764017232</v>
      </c>
    </row>
    <row r="244" spans="1:22">
      <c r="V244" t="str">
        <f t="shared" ref="V244:V251" si="35">IFERROR(G244/N244*100,"")</f>
        <v/>
      </c>
    </row>
    <row r="245" spans="1:22">
      <c r="V245" s="44">
        <f>SUM(G220:G243)/SUM(N220:N243)*100</f>
        <v>28.071410697940873</v>
      </c>
    </row>
    <row r="246" spans="1:22">
      <c r="V246" t="str">
        <f t="shared" si="35"/>
        <v/>
      </c>
    </row>
    <row r="247" spans="1:22">
      <c r="V247" t="str">
        <f t="shared" si="35"/>
        <v/>
      </c>
    </row>
    <row r="248" spans="1:22">
      <c r="V248" t="str">
        <f t="shared" si="35"/>
        <v/>
      </c>
    </row>
    <row r="249" spans="1:22">
      <c r="V249" t="str">
        <f t="shared" si="35"/>
        <v/>
      </c>
    </row>
    <row r="250" spans="1:22">
      <c r="V250" t="str">
        <f t="shared" si="35"/>
        <v/>
      </c>
    </row>
    <row r="251" spans="1:22">
      <c r="V251" t="str">
        <f t="shared" si="35"/>
        <v/>
      </c>
    </row>
  </sheetData>
  <mergeCells count="10">
    <mergeCell ref="B216:R216"/>
    <mergeCell ref="B217:R217"/>
    <mergeCell ref="B175:R175"/>
    <mergeCell ref="B176:R176"/>
    <mergeCell ref="B177:R177"/>
    <mergeCell ref="B4:G4"/>
    <mergeCell ref="B5:G5"/>
    <mergeCell ref="B115:Z115"/>
    <mergeCell ref="B116:Z116"/>
    <mergeCell ref="B215:R215"/>
  </mergeCells>
  <conditionalFormatting sqref="V180:V210">
    <cfRule type="cellIs" dxfId="1" priority="2" operator="equal">
      <formula>$V$176</formula>
    </cfRule>
  </conditionalFormatting>
  <conditionalFormatting sqref="V220:V243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197"/>
  <sheetViews>
    <sheetView showGridLines="0" showRowColHeaders="0" zoomScaleNormal="100" workbookViewId="0">
      <selection activeCell="K205" sqref="K205"/>
    </sheetView>
  </sheetViews>
  <sheetFormatPr baseColWidth="10" defaultRowHeight="11.25"/>
  <cols>
    <col min="1" max="1" width="11.42578125" style="181"/>
    <col min="2" max="2" width="40.5703125" style="181" customWidth="1"/>
    <col min="3" max="16384" width="11.42578125" style="181"/>
  </cols>
  <sheetData>
    <row r="3" spans="2:7">
      <c r="B3" s="108" t="s">
        <v>56</v>
      </c>
      <c r="C3" s="180"/>
      <c r="D3" s="180"/>
      <c r="E3" s="180"/>
    </row>
    <row r="4" spans="2:7">
      <c r="B4" s="109"/>
      <c r="C4" s="92" t="s">
        <v>57</v>
      </c>
      <c r="D4" s="92" t="s">
        <v>14</v>
      </c>
      <c r="E4" s="110"/>
      <c r="F4" s="109"/>
      <c r="G4" s="92" t="s">
        <v>14</v>
      </c>
    </row>
    <row r="5" spans="2:7">
      <c r="B5" s="140" t="s">
        <v>83</v>
      </c>
      <c r="C5" s="136">
        <f>Dat_01!B33</f>
        <v>3328.8900000000003</v>
      </c>
      <c r="D5" s="112">
        <f>ROUND(C5/$C$17*100,1)</f>
        <v>3.4</v>
      </c>
      <c r="E5" s="110"/>
      <c r="F5" s="111" t="s">
        <v>16</v>
      </c>
      <c r="G5" s="112">
        <f>SUM(D5:D10)</f>
        <v>51.6</v>
      </c>
    </row>
    <row r="6" spans="2:7">
      <c r="B6" s="111" t="s">
        <v>3</v>
      </c>
      <c r="C6" s="136">
        <f>Dat_01!B34</f>
        <v>7117.29</v>
      </c>
      <c r="D6" s="112">
        <f>ROUND(C6/$C$17*100,1)</f>
        <v>7.2</v>
      </c>
      <c r="E6" s="110"/>
      <c r="F6" s="236" t="s">
        <v>17</v>
      </c>
      <c r="G6" s="237">
        <f>SUM(D11:D16)</f>
        <v>48.4</v>
      </c>
    </row>
    <row r="7" spans="2:7">
      <c r="B7" s="111" t="s">
        <v>4</v>
      </c>
      <c r="C7" s="136">
        <f>Dat_01!B35</f>
        <v>9535.869999999999</v>
      </c>
      <c r="D7" s="112">
        <f>ROUND(C7/$C$17*100,1)</f>
        <v>9.6999999999999993</v>
      </c>
      <c r="E7" s="110"/>
    </row>
    <row r="8" spans="2:7">
      <c r="B8" s="111" t="s">
        <v>11</v>
      </c>
      <c r="C8" s="136">
        <f>Dat_01!B36</f>
        <v>24561.86</v>
      </c>
      <c r="D8" s="112">
        <f>ROUND(C8/$C$17*100,1)</f>
        <v>24.9</v>
      </c>
      <c r="E8" s="110"/>
    </row>
    <row r="9" spans="2:7">
      <c r="B9" s="111" t="s">
        <v>9</v>
      </c>
      <c r="C9" s="136">
        <f>Dat_01!B37</f>
        <v>5815.243010000002</v>
      </c>
      <c r="D9" s="112">
        <f>100-SUM(D5:D8,D10:D16)</f>
        <v>5.9000000000000057</v>
      </c>
      <c r="E9" s="110"/>
    </row>
    <row r="10" spans="2:7">
      <c r="B10" s="111" t="s">
        <v>72</v>
      </c>
      <c r="C10" s="136">
        <f>Dat_01!B38</f>
        <v>458.90549999999996</v>
      </c>
      <c r="D10" s="112">
        <f>ROUND(C10/$C$17*100,1)</f>
        <v>0.5</v>
      </c>
      <c r="E10" s="110"/>
    </row>
    <row r="11" spans="2:7">
      <c r="B11" s="111" t="s">
        <v>71</v>
      </c>
      <c r="C11" s="136">
        <f>Dat_01!B39</f>
        <v>123.0415</v>
      </c>
      <c r="D11" s="112">
        <f>ROUND(C11/$C$17*100,1)</f>
        <v>0.1</v>
      </c>
      <c r="E11" s="110"/>
    </row>
    <row r="12" spans="2:7">
      <c r="B12" s="111" t="s">
        <v>5</v>
      </c>
      <c r="C12" s="136">
        <f>Dat_01!B40</f>
        <v>22949.602749999998</v>
      </c>
      <c r="D12" s="112">
        <f t="shared" ref="D12" si="0">ROUND(C12/$C$17*100,1)</f>
        <v>23.3</v>
      </c>
      <c r="E12" s="110"/>
    </row>
    <row r="13" spans="2:7">
      <c r="B13" s="111" t="s">
        <v>2</v>
      </c>
      <c r="C13" s="136">
        <f>Dat_01!B41</f>
        <v>17048.698629999999</v>
      </c>
      <c r="D13" s="112">
        <f>ROUND(C13/$C$17*100,1)</f>
        <v>17.3</v>
      </c>
      <c r="E13" s="110"/>
    </row>
    <row r="14" spans="2:7">
      <c r="B14" s="111" t="s">
        <v>6</v>
      </c>
      <c r="C14" s="136">
        <f>Dat_01!B42</f>
        <v>4454.2677130001284</v>
      </c>
      <c r="D14" s="112">
        <f>ROUND(C14/$C$17*100,1)</f>
        <v>4.5</v>
      </c>
      <c r="E14" s="110"/>
    </row>
    <row r="15" spans="2:7">
      <c r="B15" s="111" t="s">
        <v>7</v>
      </c>
      <c r="C15" s="136">
        <f>Dat_01!B43</f>
        <v>2304.1129999999998</v>
      </c>
      <c r="D15" s="112">
        <f>ROUND(C15/$C$17*100,1)</f>
        <v>2.2999999999999998</v>
      </c>
      <c r="E15" s="110"/>
    </row>
    <row r="16" spans="2:7">
      <c r="B16" s="111" t="s">
        <v>8</v>
      </c>
      <c r="C16" s="136">
        <f>Dat_01!B44</f>
        <v>857.53899999999987</v>
      </c>
      <c r="D16" s="112">
        <f>ROUND(C16/$C$17*100,1)</f>
        <v>0.9</v>
      </c>
      <c r="E16" s="110"/>
    </row>
    <row r="17" spans="2:7">
      <c r="B17" s="113" t="s">
        <v>15</v>
      </c>
      <c r="C17" s="137">
        <f>SUM(C5:C16)</f>
        <v>98555.32110300014</v>
      </c>
      <c r="D17" s="114">
        <f>SUM(D5:D16)</f>
        <v>100</v>
      </c>
      <c r="E17" s="110"/>
    </row>
    <row r="18" spans="2:7">
      <c r="B18" s="180"/>
      <c r="C18" s="180"/>
      <c r="D18" s="180"/>
      <c r="E18" s="180"/>
    </row>
    <row r="19" spans="2:7">
      <c r="B19" s="108" t="s">
        <v>59</v>
      </c>
      <c r="C19" s="180"/>
      <c r="D19" s="180"/>
      <c r="E19" s="180"/>
    </row>
    <row r="20" spans="2:7">
      <c r="B20" s="109"/>
      <c r="C20" s="92" t="s">
        <v>0</v>
      </c>
      <c r="D20" s="92" t="s">
        <v>14</v>
      </c>
      <c r="E20" s="110"/>
      <c r="F20" s="109"/>
      <c r="G20" s="92" t="s">
        <v>14</v>
      </c>
    </row>
    <row r="21" spans="2:7">
      <c r="B21" s="140" t="s">
        <v>83</v>
      </c>
      <c r="C21" s="136">
        <f>Dat_01!B50</f>
        <v>50.643900000000002</v>
      </c>
      <c r="D21" s="112">
        <f>ROUND(C21/$C$33*100,1)</f>
        <v>0.2</v>
      </c>
      <c r="E21" s="110"/>
      <c r="F21" s="111" t="s">
        <v>16</v>
      </c>
      <c r="G21" s="112">
        <f>SUM(D21:D26)</f>
        <v>66.5</v>
      </c>
    </row>
    <row r="22" spans="2:7">
      <c r="B22" s="111" t="s">
        <v>3</v>
      </c>
      <c r="C22" s="136">
        <f>Dat_01!B51</f>
        <v>5140.7584999999999</v>
      </c>
      <c r="D22" s="112">
        <f>ROUND(C22/$C$33*100,1)</f>
        <v>24.4</v>
      </c>
      <c r="E22" s="138"/>
      <c r="F22" s="236" t="s">
        <v>17</v>
      </c>
      <c r="G22" s="237">
        <f>SUM(D27:D32)</f>
        <v>33.5</v>
      </c>
    </row>
    <row r="23" spans="2:7">
      <c r="B23" s="111" t="s">
        <v>4</v>
      </c>
      <c r="C23" s="136">
        <f>Dat_01!B52</f>
        <v>3524.2485000000001</v>
      </c>
      <c r="D23" s="112">
        <f>ROUND(C23/$C$33*100,1)</f>
        <v>16.7</v>
      </c>
      <c r="E23" s="138"/>
    </row>
    <row r="24" spans="2:7">
      <c r="B24" s="111" t="s">
        <v>11</v>
      </c>
      <c r="C24" s="136">
        <f>Dat_01!B53</f>
        <v>2703.9532000000004</v>
      </c>
      <c r="D24" s="112">
        <f>ROUND(C24/$C$33*100,1)</f>
        <v>12.8</v>
      </c>
      <c r="E24" s="138"/>
    </row>
    <row r="25" spans="2:7">
      <c r="B25" s="111" t="s">
        <v>9</v>
      </c>
      <c r="C25" s="136">
        <f>Dat_01!B54</f>
        <v>2367.3085000000001</v>
      </c>
      <c r="D25" s="112">
        <f>100-SUM(D21:D24,D26:D32)</f>
        <v>11.400000000000006</v>
      </c>
      <c r="E25" s="138"/>
    </row>
    <row r="26" spans="2:7">
      <c r="B26" s="111" t="s">
        <v>72</v>
      </c>
      <c r="C26" s="136">
        <f>Dat_01!B55</f>
        <v>200.26025000000001</v>
      </c>
      <c r="D26" s="112">
        <f t="shared" ref="D26:D32" si="1">ROUND(C26/$C$33*100,1)</f>
        <v>1</v>
      </c>
      <c r="E26" s="138"/>
    </row>
    <row r="27" spans="2:7">
      <c r="B27" s="111" t="s">
        <v>71</v>
      </c>
      <c r="C27" s="136">
        <f>Dat_01!B56</f>
        <v>66.838449999999995</v>
      </c>
      <c r="D27" s="112">
        <f t="shared" si="1"/>
        <v>0.3</v>
      </c>
      <c r="E27" s="138"/>
    </row>
    <row r="28" spans="2:7">
      <c r="B28" s="111" t="s">
        <v>5</v>
      </c>
      <c r="C28" s="136">
        <f>Dat_01!B57</f>
        <v>3056.7289999999998</v>
      </c>
      <c r="D28" s="112">
        <f t="shared" si="1"/>
        <v>14.5</v>
      </c>
      <c r="E28" s="138"/>
    </row>
    <row r="29" spans="2:7">
      <c r="B29" s="111" t="s">
        <v>2</v>
      </c>
      <c r="C29" s="136">
        <f>Dat_01!B58</f>
        <v>2110.0834</v>
      </c>
      <c r="D29" s="112">
        <f t="shared" si="1"/>
        <v>10</v>
      </c>
      <c r="E29" s="138"/>
    </row>
    <row r="30" spans="2:7">
      <c r="B30" s="111" t="s">
        <v>6</v>
      </c>
      <c r="C30" s="136">
        <f>Dat_01!B59</f>
        <v>790.10954743100001</v>
      </c>
      <c r="D30" s="112">
        <f t="shared" si="1"/>
        <v>3.7</v>
      </c>
      <c r="E30" s="138"/>
    </row>
    <row r="31" spans="2:7">
      <c r="B31" s="111" t="s">
        <v>7</v>
      </c>
      <c r="C31" s="136">
        <f>Dat_01!B60</f>
        <v>743.08135256899993</v>
      </c>
      <c r="D31" s="112">
        <f t="shared" si="1"/>
        <v>3.5</v>
      </c>
      <c r="E31" s="138"/>
    </row>
    <row r="32" spans="2:7">
      <c r="B32" s="111" t="s">
        <v>8</v>
      </c>
      <c r="C32" s="136">
        <f>Dat_01!B61</f>
        <v>321.39170000000001</v>
      </c>
      <c r="D32" s="112">
        <f t="shared" si="1"/>
        <v>1.5</v>
      </c>
      <c r="E32" s="138"/>
    </row>
    <row r="33" spans="2:6">
      <c r="B33" s="113" t="s">
        <v>15</v>
      </c>
      <c r="C33" s="137">
        <f>SUM(C21:C32)</f>
        <v>21075.406299999995</v>
      </c>
      <c r="D33" s="114">
        <f>SUM(D21:D32)</f>
        <v>100</v>
      </c>
    </row>
    <row r="34" spans="2:6">
      <c r="B34" s="160"/>
      <c r="C34" s="180"/>
      <c r="D34" s="180"/>
      <c r="E34" s="180"/>
      <c r="F34" s="180"/>
    </row>
    <row r="35" spans="2:6">
      <c r="B35" s="160" t="s">
        <v>973</v>
      </c>
      <c r="C35" s="180"/>
      <c r="D35" s="180"/>
      <c r="E35" s="180"/>
      <c r="F35" s="238" t="str">
        <f>CONCATENATE("Mes",CHAR(13),MID(B35,66,10))</f>
        <v>Mes_x000D_18/08/2018</v>
      </c>
    </row>
    <row r="36" spans="2:6">
      <c r="B36" s="109"/>
      <c r="C36" s="92" t="s">
        <v>14</v>
      </c>
      <c r="D36" s="110"/>
      <c r="E36" s="109"/>
      <c r="F36" s="92" t="s">
        <v>14</v>
      </c>
    </row>
    <row r="37" spans="2:6">
      <c r="B37" s="111" t="s">
        <v>83</v>
      </c>
      <c r="C37" s="112">
        <f>Dat_01!B94</f>
        <v>0.1</v>
      </c>
      <c r="D37" s="110"/>
      <c r="E37" s="111" t="s">
        <v>16</v>
      </c>
      <c r="F37" s="112">
        <f>SUM(C37:C42)</f>
        <v>53.2</v>
      </c>
    </row>
    <row r="38" spans="2:6">
      <c r="B38" s="111" t="s">
        <v>3</v>
      </c>
      <c r="C38" s="112">
        <f>Dat_01!B95</f>
        <v>27.5</v>
      </c>
      <c r="D38" s="110"/>
      <c r="E38" s="236" t="s">
        <v>17</v>
      </c>
      <c r="F38" s="237">
        <f>SUM(C43:C48)</f>
        <v>46.79999999999999</v>
      </c>
    </row>
    <row r="39" spans="2:6">
      <c r="B39" s="111" t="s">
        <v>4</v>
      </c>
      <c r="C39" s="112">
        <f>Dat_01!B96</f>
        <v>7.7</v>
      </c>
      <c r="D39" s="110"/>
    </row>
    <row r="40" spans="2:6">
      <c r="B40" s="111" t="s">
        <v>11</v>
      </c>
      <c r="C40" s="112">
        <f>Dat_01!B97</f>
        <v>4.8</v>
      </c>
      <c r="D40" s="110"/>
    </row>
    <row r="41" spans="2:6">
      <c r="B41" s="111" t="s">
        <v>9</v>
      </c>
      <c r="C41" s="112">
        <f>Dat_01!B98</f>
        <v>12</v>
      </c>
      <c r="D41" s="110"/>
      <c r="E41" s="110"/>
      <c r="F41" s="110"/>
    </row>
    <row r="42" spans="2:6">
      <c r="B42" s="111" t="s">
        <v>72</v>
      </c>
      <c r="C42" s="112">
        <f>Dat_01!B99</f>
        <v>1.1000000000000001</v>
      </c>
      <c r="D42" s="110"/>
      <c r="E42" s="110"/>
      <c r="F42" s="110"/>
    </row>
    <row r="43" spans="2:6">
      <c r="B43" s="111" t="s">
        <v>71</v>
      </c>
      <c r="C43" s="112">
        <f>Dat_01!B100</f>
        <v>0.4</v>
      </c>
      <c r="D43" s="110"/>
      <c r="E43" s="110"/>
      <c r="F43" s="110"/>
    </row>
    <row r="44" spans="2:6">
      <c r="B44" s="111" t="s">
        <v>5</v>
      </c>
      <c r="C44" s="112">
        <f>Dat_01!B101</f>
        <v>28.1</v>
      </c>
      <c r="D44" s="110"/>
      <c r="E44" s="110"/>
      <c r="F44" s="110"/>
    </row>
    <row r="45" spans="2:6">
      <c r="B45" s="111" t="s">
        <v>2</v>
      </c>
      <c r="C45" s="112">
        <f>Dat_01!B102</f>
        <v>8.8000000000000007</v>
      </c>
      <c r="D45" s="110"/>
      <c r="E45" s="110"/>
      <c r="F45" s="110"/>
    </row>
    <row r="46" spans="2:6">
      <c r="B46" s="111" t="s">
        <v>6</v>
      </c>
      <c r="C46" s="112">
        <f>Dat_01!B103</f>
        <v>3.8</v>
      </c>
      <c r="D46" s="110"/>
      <c r="E46" s="110"/>
      <c r="F46" s="110"/>
    </row>
    <row r="47" spans="2:6">
      <c r="B47" s="111" t="s">
        <v>7</v>
      </c>
      <c r="C47" s="112">
        <f>Dat_01!B104</f>
        <v>3.9</v>
      </c>
      <c r="D47" s="110"/>
      <c r="E47" s="110"/>
      <c r="F47" s="110"/>
    </row>
    <row r="48" spans="2:6">
      <c r="B48" s="111" t="s">
        <v>8</v>
      </c>
      <c r="C48" s="112">
        <f>Dat_01!B105</f>
        <v>1.8</v>
      </c>
      <c r="D48" s="180"/>
      <c r="E48" s="180"/>
      <c r="F48" s="180"/>
    </row>
    <row r="49" spans="2:6">
      <c r="B49" s="113" t="s">
        <v>15</v>
      </c>
      <c r="C49" s="114">
        <f>SUM(C37:C48)</f>
        <v>100</v>
      </c>
      <c r="D49" s="180"/>
      <c r="E49" s="180"/>
      <c r="F49" s="180"/>
    </row>
    <row r="50" spans="2:6">
      <c r="B50" s="160"/>
      <c r="C50" s="180"/>
      <c r="D50" s="180"/>
      <c r="E50" s="180"/>
      <c r="F50" s="180"/>
    </row>
    <row r="51" spans="2:6">
      <c r="B51" s="160" t="s">
        <v>575</v>
      </c>
      <c r="C51" s="180"/>
      <c r="D51" s="180"/>
      <c r="E51" s="180"/>
      <c r="F51" s="238" t="str">
        <f>CONCATENATE("Histórico ",CHAR(13),MID(B51,65,11))</f>
        <v>Histórico _x000D_ 20/03/2018</v>
      </c>
    </row>
    <row r="52" spans="2:6">
      <c r="B52" s="109"/>
      <c r="C52" s="92" t="s">
        <v>14</v>
      </c>
      <c r="D52" s="110"/>
      <c r="E52" s="109"/>
      <c r="F52" s="92" t="s">
        <v>14</v>
      </c>
    </row>
    <row r="53" spans="2:6">
      <c r="B53" s="111" t="s">
        <v>83</v>
      </c>
      <c r="C53" s="112">
        <f>Dat_01!H94</f>
        <v>1.3</v>
      </c>
      <c r="D53" s="110"/>
      <c r="E53" s="111" t="s">
        <v>16</v>
      </c>
      <c r="F53" s="112">
        <f>SUM(C53:C58)</f>
        <v>37</v>
      </c>
    </row>
    <row r="54" spans="2:6">
      <c r="B54" s="111" t="s">
        <v>3</v>
      </c>
      <c r="C54" s="112">
        <f>Dat_01!H95</f>
        <v>17.100000000000001</v>
      </c>
      <c r="D54" s="110"/>
      <c r="E54" s="236" t="s">
        <v>17</v>
      </c>
      <c r="F54" s="237">
        <f>SUM(C59:C64)</f>
        <v>63</v>
      </c>
    </row>
    <row r="55" spans="2:6">
      <c r="B55" s="111" t="s">
        <v>4</v>
      </c>
      <c r="C55" s="112">
        <f>Dat_01!H96</f>
        <v>4.2</v>
      </c>
      <c r="D55" s="110"/>
    </row>
    <row r="56" spans="2:6">
      <c r="B56" s="111" t="s">
        <v>11</v>
      </c>
      <c r="C56" s="112">
        <f>Dat_01!H97</f>
        <v>4.2</v>
      </c>
      <c r="D56" s="110"/>
    </row>
    <row r="57" spans="2:6">
      <c r="B57" s="111" t="s">
        <v>9</v>
      </c>
      <c r="C57" s="112">
        <f>Dat_01!H98</f>
        <v>9.4000000000000057</v>
      </c>
      <c r="D57" s="110"/>
      <c r="E57" s="110"/>
      <c r="F57" s="110"/>
    </row>
    <row r="58" spans="2:6">
      <c r="B58" s="111" t="s">
        <v>72</v>
      </c>
      <c r="C58" s="112">
        <f>Dat_01!H99</f>
        <v>0.8</v>
      </c>
      <c r="D58" s="110"/>
      <c r="E58" s="110"/>
      <c r="F58" s="110"/>
    </row>
    <row r="59" spans="2:6">
      <c r="B59" s="111" t="s">
        <v>71</v>
      </c>
      <c r="C59" s="112">
        <f>Dat_01!H100</f>
        <v>0.2</v>
      </c>
      <c r="D59" s="110"/>
      <c r="E59" s="110"/>
      <c r="F59" s="110"/>
    </row>
    <row r="60" spans="2:6">
      <c r="B60" s="111" t="s">
        <v>5</v>
      </c>
      <c r="C60" s="112">
        <f>Dat_01!H101</f>
        <v>38.200000000000003</v>
      </c>
      <c r="D60" s="110"/>
      <c r="E60" s="110"/>
      <c r="F60" s="110"/>
    </row>
    <row r="61" spans="2:6">
      <c r="B61" s="111" t="s">
        <v>2</v>
      </c>
      <c r="C61" s="112">
        <f>Dat_01!H102</f>
        <v>20.100000000000001</v>
      </c>
      <c r="D61" s="110"/>
      <c r="E61" s="110"/>
      <c r="F61" s="110"/>
    </row>
    <row r="62" spans="2:6">
      <c r="B62" s="111" t="s">
        <v>6</v>
      </c>
      <c r="C62" s="112">
        <f>Dat_01!H103</f>
        <v>2.2999999999999998</v>
      </c>
      <c r="D62" s="110"/>
      <c r="E62" s="110"/>
      <c r="F62" s="110"/>
    </row>
    <row r="63" spans="2:6">
      <c r="B63" s="111" t="s">
        <v>7</v>
      </c>
      <c r="C63" s="112">
        <f>Dat_01!H104</f>
        <v>1.3</v>
      </c>
      <c r="D63" s="110"/>
      <c r="E63" s="110"/>
      <c r="F63" s="110"/>
    </row>
    <row r="64" spans="2:6">
      <c r="B64" s="111" t="s">
        <v>8</v>
      </c>
      <c r="C64" s="112">
        <f>Dat_01!H105</f>
        <v>0.9</v>
      </c>
    </row>
    <row r="65" spans="2:16">
      <c r="B65" s="113" t="s">
        <v>15</v>
      </c>
      <c r="C65" s="114">
        <f>SUM(C53:C64)</f>
        <v>100</v>
      </c>
    </row>
    <row r="66" spans="2:16">
      <c r="B66" s="160"/>
      <c r="C66" s="180"/>
    </row>
    <row r="67" spans="2:16">
      <c r="B67" s="160" t="s">
        <v>62</v>
      </c>
      <c r="C67" s="239"/>
      <c r="D67" s="239"/>
      <c r="E67" s="239"/>
      <c r="F67" s="239"/>
      <c r="G67" s="239"/>
      <c r="H67" s="239"/>
      <c r="I67" s="239"/>
      <c r="J67" s="239"/>
      <c r="K67" s="239"/>
      <c r="L67" s="239"/>
      <c r="M67" s="239"/>
      <c r="N67" s="239"/>
      <c r="O67" s="239"/>
    </row>
    <row r="68" spans="2:16">
      <c r="B68" s="240"/>
      <c r="C68" s="241" t="s">
        <v>101</v>
      </c>
      <c r="D68" s="241" t="s">
        <v>100</v>
      </c>
      <c r="E68" s="241" t="s">
        <v>102</v>
      </c>
      <c r="F68" s="241" t="s">
        <v>103</v>
      </c>
      <c r="G68" s="241" t="s">
        <v>104</v>
      </c>
      <c r="H68" s="241" t="s">
        <v>105</v>
      </c>
      <c r="I68" s="241" t="s">
        <v>106</v>
      </c>
      <c r="J68" s="241" t="s">
        <v>98</v>
      </c>
      <c r="K68" s="241" t="s">
        <v>99</v>
      </c>
      <c r="L68" s="241" t="s">
        <v>100</v>
      </c>
      <c r="M68" s="241" t="s">
        <v>99</v>
      </c>
      <c r="N68" s="241" t="s">
        <v>101</v>
      </c>
      <c r="O68" s="241" t="s">
        <v>101</v>
      </c>
      <c r="P68" s="242"/>
    </row>
    <row r="69" spans="2:16">
      <c r="B69" s="243" t="s">
        <v>2</v>
      </c>
      <c r="C69" s="244">
        <f>Dat_01!B142</f>
        <v>1082.4397687339999</v>
      </c>
      <c r="D69" s="244">
        <f>Dat_01!C142</f>
        <v>1147.5808360619999</v>
      </c>
      <c r="E69" s="244">
        <f>Dat_01!D142</f>
        <v>773.35631237799998</v>
      </c>
      <c r="F69" s="244">
        <f>Dat_01!E142</f>
        <v>831.61728853199998</v>
      </c>
      <c r="G69" s="244">
        <f>Dat_01!F142</f>
        <v>1249.93701867</v>
      </c>
      <c r="H69" s="244">
        <f>Dat_01!G142</f>
        <v>2193.9237987860001</v>
      </c>
      <c r="I69" s="244">
        <f>Dat_01!H142</f>
        <v>2387.5167263500002</v>
      </c>
      <c r="J69" s="244">
        <f>Dat_01!I142</f>
        <v>4399.0090775560002</v>
      </c>
      <c r="K69" s="244">
        <f>Dat_01!J142</f>
        <v>4716.4282802460002</v>
      </c>
      <c r="L69" s="244">
        <f>Dat_01!K142</f>
        <v>3520.7950463239999</v>
      </c>
      <c r="M69" s="244">
        <f>Dat_01!L142</f>
        <v>3708.6988255840001</v>
      </c>
      <c r="N69" s="244">
        <f>Dat_01!M142</f>
        <v>3024.3379099859999</v>
      </c>
      <c r="O69" s="244">
        <f>Dat_01!N142</f>
        <v>2110.0834</v>
      </c>
    </row>
    <row r="70" spans="2:16">
      <c r="B70" s="243" t="s">
        <v>83</v>
      </c>
      <c r="C70" s="244">
        <f>Dat_01!B143</f>
        <v>112.205176266</v>
      </c>
      <c r="D70" s="244">
        <f>Dat_01!C143</f>
        <v>118.471554938</v>
      </c>
      <c r="E70" s="244">
        <f>Dat_01!D143</f>
        <v>133.820917622</v>
      </c>
      <c r="F70" s="244">
        <f>Dat_01!E143</f>
        <v>222.09125546800001</v>
      </c>
      <c r="G70" s="244">
        <f>Dat_01!F143</f>
        <v>309.58646633000001</v>
      </c>
      <c r="H70" s="244">
        <f>Dat_01!G143</f>
        <v>273.43523521399999</v>
      </c>
      <c r="I70" s="244">
        <f>Dat_01!H143</f>
        <v>180.62302364999999</v>
      </c>
      <c r="J70" s="244">
        <f>Dat_01!I143</f>
        <v>369.77771444400003</v>
      </c>
      <c r="K70" s="244">
        <f>Dat_01!J143</f>
        <v>345.63732475400002</v>
      </c>
      <c r="L70" s="244">
        <f>Dat_01!K143</f>
        <v>153.27436067599999</v>
      </c>
      <c r="M70" s="244">
        <f>Dat_01!L143</f>
        <v>58.722846416000003</v>
      </c>
      <c r="N70" s="244">
        <f>Dat_01!M143</f>
        <v>35.306144013999997</v>
      </c>
      <c r="O70" s="244">
        <f>Dat_01!N143</f>
        <v>50.643900000000002</v>
      </c>
    </row>
    <row r="71" spans="2:16">
      <c r="B71" s="243" t="s">
        <v>3</v>
      </c>
      <c r="C71" s="244">
        <f>Dat_01!B144</f>
        <v>5078.9521169999998</v>
      </c>
      <c r="D71" s="244">
        <f>Dat_01!C144</f>
        <v>4722.5735260000001</v>
      </c>
      <c r="E71" s="244">
        <f>Dat_01!D144</f>
        <v>4301.3254559999996</v>
      </c>
      <c r="F71" s="244">
        <f>Dat_01!E144</f>
        <v>3601.78287</v>
      </c>
      <c r="G71" s="244">
        <f>Dat_01!F144</f>
        <v>5039.108604</v>
      </c>
      <c r="H71" s="244">
        <f>Dat_01!G144</f>
        <v>5096.5286329999999</v>
      </c>
      <c r="I71" s="244">
        <f>Dat_01!H144</f>
        <v>4592.3205680000001</v>
      </c>
      <c r="J71" s="244">
        <f>Dat_01!I144</f>
        <v>4488.9170219999996</v>
      </c>
      <c r="K71" s="244">
        <f>Dat_01!J144</f>
        <v>3812.588835</v>
      </c>
      <c r="L71" s="244">
        <f>Dat_01!K144</f>
        <v>3728.673667</v>
      </c>
      <c r="M71" s="244">
        <f>Dat_01!L144</f>
        <v>3591.591351</v>
      </c>
      <c r="N71" s="244">
        <f>Dat_01!M144</f>
        <v>4471.0236880000002</v>
      </c>
      <c r="O71" s="244">
        <f>Dat_01!N144</f>
        <v>5140.7584999999999</v>
      </c>
    </row>
    <row r="72" spans="2:16">
      <c r="B72" s="243" t="s">
        <v>4</v>
      </c>
      <c r="C72" s="244">
        <f>Dat_01!B145</f>
        <v>2962.4341599999998</v>
      </c>
      <c r="D72" s="244">
        <f>Dat_01!C145</f>
        <v>2821.1507489999999</v>
      </c>
      <c r="E72" s="244">
        <f>Dat_01!D145</f>
        <v>3901.3327119999999</v>
      </c>
      <c r="F72" s="244">
        <f>Dat_01!E145</f>
        <v>4664.8877439999997</v>
      </c>
      <c r="G72" s="244">
        <f>Dat_01!F145</f>
        <v>4128.1496340000003</v>
      </c>
      <c r="H72" s="244">
        <f>Dat_01!G145</f>
        <v>3020.0704609999998</v>
      </c>
      <c r="I72" s="244">
        <f>Dat_01!H145</f>
        <v>3488.6857300000001</v>
      </c>
      <c r="J72" s="244">
        <f>Dat_01!I145</f>
        <v>1310.6821359999999</v>
      </c>
      <c r="K72" s="244">
        <f>Dat_01!J145</f>
        <v>1360.590295</v>
      </c>
      <c r="L72" s="244">
        <f>Dat_01!K145</f>
        <v>2254.3341909999999</v>
      </c>
      <c r="M72" s="244">
        <f>Dat_01!L145</f>
        <v>2273.6508990000002</v>
      </c>
      <c r="N72" s="244">
        <f>Dat_01!M145</f>
        <v>3488.1731799999998</v>
      </c>
      <c r="O72" s="244">
        <f>Dat_01!N145</f>
        <v>3524.2485000000001</v>
      </c>
    </row>
    <row r="73" spans="2:16">
      <c r="B73" s="243" t="s">
        <v>576</v>
      </c>
      <c r="C73" s="244"/>
      <c r="D73" s="244"/>
      <c r="E73" s="244"/>
      <c r="F73" s="244"/>
      <c r="G73" s="244"/>
      <c r="H73" s="244"/>
      <c r="I73" s="244"/>
      <c r="J73" s="244"/>
      <c r="K73" s="244"/>
      <c r="L73" s="244"/>
      <c r="M73" s="244"/>
      <c r="N73" s="244"/>
      <c r="O73" s="244"/>
    </row>
    <row r="74" spans="2:16">
      <c r="B74" s="243" t="s">
        <v>577</v>
      </c>
      <c r="C74" s="244">
        <f>Dat_01!B146</f>
        <v>3454.4160280000001</v>
      </c>
      <c r="D74" s="244">
        <f>Dat_01!C146</f>
        <v>3197.9247850000002</v>
      </c>
      <c r="E74" s="244">
        <f>Dat_01!D146</f>
        <v>3848.6854699999999</v>
      </c>
      <c r="F74" s="244">
        <f>Dat_01!E146</f>
        <v>4546.437715</v>
      </c>
      <c r="G74" s="244">
        <f>Dat_01!F146</f>
        <v>3028.112431</v>
      </c>
      <c r="H74" s="244">
        <f>Dat_01!G146</f>
        <v>2254.6323689999999</v>
      </c>
      <c r="I74" s="244">
        <f>Dat_01!H146</f>
        <v>1950.724201</v>
      </c>
      <c r="J74" s="244">
        <f>Dat_01!I146</f>
        <v>1248.0405949999999</v>
      </c>
      <c r="K74" s="244">
        <f>Dat_01!J146</f>
        <v>1200.6612050000001</v>
      </c>
      <c r="L74" s="244">
        <f>Dat_01!K146</f>
        <v>1968.4294669999999</v>
      </c>
      <c r="M74" s="244">
        <f>Dat_01!L146</f>
        <v>2180.1881910000002</v>
      </c>
      <c r="N74" s="244">
        <f>Dat_01!M146</f>
        <v>2229.279387</v>
      </c>
      <c r="O74" s="244">
        <f>Dat_01!N146</f>
        <v>2703.9531999999999</v>
      </c>
    </row>
    <row r="75" spans="2:16">
      <c r="B75" s="243" t="s">
        <v>5</v>
      </c>
      <c r="C75" s="244">
        <f>Dat_01!B147</f>
        <v>3296.3615829999999</v>
      </c>
      <c r="D75" s="244">
        <f>Dat_01!C147</f>
        <v>2817.340224</v>
      </c>
      <c r="E75" s="244">
        <f>Dat_01!D147</f>
        <v>3186.7215689999998</v>
      </c>
      <c r="F75" s="244">
        <f>Dat_01!E147</f>
        <v>3957.8393489999999</v>
      </c>
      <c r="G75" s="244">
        <f>Dat_01!F147</f>
        <v>5753.2710479999996</v>
      </c>
      <c r="H75" s="244">
        <f>Dat_01!G147</f>
        <v>5286.0049170000002</v>
      </c>
      <c r="I75" s="244">
        <f>Dat_01!H147</f>
        <v>4625.0512550000003</v>
      </c>
      <c r="J75" s="244">
        <f>Dat_01!I147</f>
        <v>7650.1390380000003</v>
      </c>
      <c r="K75" s="244">
        <f>Dat_01!J147</f>
        <v>4409.5657819999997</v>
      </c>
      <c r="L75" s="244">
        <f>Dat_01!K147</f>
        <v>3253.8841389999998</v>
      </c>
      <c r="M75" s="244">
        <f>Dat_01!L147</f>
        <v>2577.227746</v>
      </c>
      <c r="N75" s="244">
        <f>Dat_01!M147</f>
        <v>2478.2899400000001</v>
      </c>
      <c r="O75" s="244">
        <f>Dat_01!N147</f>
        <v>3056.7289999999998</v>
      </c>
    </row>
    <row r="76" spans="2:16">
      <c r="B76" s="243" t="s">
        <v>578</v>
      </c>
      <c r="C76" s="244">
        <f>Dat_01!B148</f>
        <v>779.85283000000004</v>
      </c>
      <c r="D76" s="244">
        <f>Dat_01!C148</f>
        <v>742.38754800000004</v>
      </c>
      <c r="E76" s="244">
        <f>Dat_01!D148</f>
        <v>652.66983100000004</v>
      </c>
      <c r="F76" s="244">
        <f>Dat_01!E148</f>
        <v>516.57625399999995</v>
      </c>
      <c r="G76" s="244">
        <f>Dat_01!F148</f>
        <v>408.96712500000001</v>
      </c>
      <c r="H76" s="244">
        <f>Dat_01!G148</f>
        <v>418.21396900000002</v>
      </c>
      <c r="I76" s="244">
        <f>Dat_01!H148</f>
        <v>487.24947700000001</v>
      </c>
      <c r="J76" s="244">
        <f>Dat_01!I148</f>
        <v>555.35785499999997</v>
      </c>
      <c r="K76" s="244">
        <f>Dat_01!J148</f>
        <v>664.19763599999999</v>
      </c>
      <c r="L76" s="244">
        <f>Dat_01!K148</f>
        <v>777.59795799999995</v>
      </c>
      <c r="M76" s="244">
        <f>Dat_01!L148</f>
        <v>775.23778600000003</v>
      </c>
      <c r="N76" s="244">
        <f>Dat_01!M148</f>
        <v>886.33224600000005</v>
      </c>
      <c r="O76" s="244">
        <f>Dat_01!N148</f>
        <v>790.10954743100001</v>
      </c>
    </row>
    <row r="77" spans="2:16">
      <c r="B77" s="243" t="s">
        <v>579</v>
      </c>
      <c r="C77" s="244">
        <f>Dat_01!B149</f>
        <v>692.43517499999996</v>
      </c>
      <c r="D77" s="244">
        <f>Dat_01!C149</f>
        <v>608.14265499999999</v>
      </c>
      <c r="E77" s="244">
        <f>Dat_01!D149</f>
        <v>398.79322200000001</v>
      </c>
      <c r="F77" s="244">
        <f>Dat_01!E149</f>
        <v>220.652322</v>
      </c>
      <c r="G77" s="244">
        <f>Dat_01!F149</f>
        <v>131.161056</v>
      </c>
      <c r="H77" s="244">
        <f>Dat_01!G149</f>
        <v>112.387517</v>
      </c>
      <c r="I77" s="244">
        <f>Dat_01!H149</f>
        <v>229.80815100000001</v>
      </c>
      <c r="J77" s="244">
        <f>Dat_01!I149</f>
        <v>233.95594299999999</v>
      </c>
      <c r="K77" s="244">
        <f>Dat_01!J149</f>
        <v>325.935092</v>
      </c>
      <c r="L77" s="244">
        <f>Dat_01!K149</f>
        <v>477.20963399999999</v>
      </c>
      <c r="M77" s="244">
        <f>Dat_01!L149</f>
        <v>551.29260299999999</v>
      </c>
      <c r="N77" s="244">
        <f>Dat_01!M149</f>
        <v>858.89464799999996</v>
      </c>
      <c r="O77" s="244">
        <f>Dat_01!N149</f>
        <v>743.08135256900005</v>
      </c>
    </row>
    <row r="78" spans="2:16">
      <c r="B78" s="243" t="s">
        <v>9</v>
      </c>
      <c r="C78" s="244">
        <f>Dat_01!B151</f>
        <v>2257.6581030000002</v>
      </c>
      <c r="D78" s="244">
        <f>Dat_01!C151</f>
        <v>2272.5539779999999</v>
      </c>
      <c r="E78" s="244">
        <f>Dat_01!D151</f>
        <v>2392.9653020000001</v>
      </c>
      <c r="F78" s="244">
        <f>Dat_01!E151</f>
        <v>2441.5411549999999</v>
      </c>
      <c r="G78" s="244">
        <f>Dat_01!F151</f>
        <v>2489.4079710000001</v>
      </c>
      <c r="H78" s="244">
        <f>Dat_01!G151</f>
        <v>2480.4490580000002</v>
      </c>
      <c r="I78" s="244">
        <f>Dat_01!H151</f>
        <v>2251.2689540000001</v>
      </c>
      <c r="J78" s="244">
        <f>Dat_01!I151</f>
        <v>2335.5272960000002</v>
      </c>
      <c r="K78" s="244">
        <f>Dat_01!J151</f>
        <v>2353.5895970000001</v>
      </c>
      <c r="L78" s="244">
        <f>Dat_01!K151</f>
        <v>2418.3062</v>
      </c>
      <c r="M78" s="244">
        <f>Dat_01!L151</f>
        <v>2402.7120199999999</v>
      </c>
      <c r="N78" s="244">
        <f>Dat_01!M151</f>
        <v>2432.0428059999999</v>
      </c>
      <c r="O78" s="244">
        <f>Dat_01!N151</f>
        <v>2367.3085000000001</v>
      </c>
    </row>
    <row r="79" spans="2:16">
      <c r="B79" s="243" t="s">
        <v>580</v>
      </c>
      <c r="C79" s="244">
        <f>Dat_01!B152</f>
        <v>215.23479399999999</v>
      </c>
      <c r="D79" s="244">
        <f>Dat_01!C152</f>
        <v>213.315484</v>
      </c>
      <c r="E79" s="244">
        <f>Dat_01!D152</f>
        <v>228.412195</v>
      </c>
      <c r="F79" s="244">
        <f>Dat_01!E152</f>
        <v>206.525261</v>
      </c>
      <c r="G79" s="244">
        <f>Dat_01!F152</f>
        <v>218.5118425</v>
      </c>
      <c r="H79" s="244">
        <f>Dat_01!G152</f>
        <v>226.5715625</v>
      </c>
      <c r="I79" s="244">
        <f>Dat_01!H152</f>
        <v>204.21008800000001</v>
      </c>
      <c r="J79" s="244">
        <f>Dat_01!I152</f>
        <v>215.3954785</v>
      </c>
      <c r="K79" s="244">
        <f>Dat_01!J152</f>
        <v>169.464494</v>
      </c>
      <c r="L79" s="244">
        <f>Dat_01!K152</f>
        <v>137.027331</v>
      </c>
      <c r="M79" s="244">
        <f>Dat_01!L152</f>
        <v>175.4103795</v>
      </c>
      <c r="N79" s="244">
        <f>Dat_01!M152</f>
        <v>199.57543200000001</v>
      </c>
      <c r="O79" s="244">
        <f>Dat_01!N152</f>
        <v>200.26025000000001</v>
      </c>
    </row>
    <row r="80" spans="2:16">
      <c r="B80" s="243" t="s">
        <v>581</v>
      </c>
      <c r="C80" s="244">
        <f>Dat_01!B153</f>
        <v>65.701224999999994</v>
      </c>
      <c r="D80" s="244">
        <f>Dat_01!C153</f>
        <v>62.429442000000002</v>
      </c>
      <c r="E80" s="244">
        <f>Dat_01!D153</f>
        <v>66.129401999999999</v>
      </c>
      <c r="F80" s="244">
        <f>Dat_01!E153</f>
        <v>66.557590000000005</v>
      </c>
      <c r="G80" s="244">
        <f>Dat_01!F153</f>
        <v>69.971927500000007</v>
      </c>
      <c r="H80" s="244">
        <f>Dat_01!G153</f>
        <v>69.2635705</v>
      </c>
      <c r="I80" s="244">
        <f>Dat_01!H153</f>
        <v>62.195681999999998</v>
      </c>
      <c r="J80" s="244">
        <f>Dat_01!I153</f>
        <v>65.909200499999997</v>
      </c>
      <c r="K80" s="244">
        <f>Dat_01!J153</f>
        <v>66.929152000000002</v>
      </c>
      <c r="L80" s="244">
        <f>Dat_01!K153</f>
        <v>24.344857999999999</v>
      </c>
      <c r="M80" s="244">
        <f>Dat_01!L153</f>
        <v>50.801109500000003</v>
      </c>
      <c r="N80" s="244">
        <f>Dat_01!M153</f>
        <v>64.813796999999994</v>
      </c>
      <c r="O80" s="244">
        <f>Dat_01!N153</f>
        <v>66.838449999999995</v>
      </c>
    </row>
    <row r="81" spans="2:15">
      <c r="B81" s="243" t="s">
        <v>582</v>
      </c>
      <c r="C81" s="244">
        <f>Dat_01!B150</f>
        <v>315.27266900000001</v>
      </c>
      <c r="D81" s="244">
        <f>Dat_01!C150</f>
        <v>308.60664700000001</v>
      </c>
      <c r="E81" s="244">
        <f>Dat_01!D150</f>
        <v>308.82652000000002</v>
      </c>
      <c r="F81" s="244">
        <f>Dat_01!E150</f>
        <v>306.82307200000002</v>
      </c>
      <c r="G81" s="244">
        <f>Dat_01!F150</f>
        <v>311.65107799999998</v>
      </c>
      <c r="H81" s="244">
        <f>Dat_01!G150</f>
        <v>295.34965499999998</v>
      </c>
      <c r="I81" s="244">
        <f>Dat_01!H150</f>
        <v>301.51934999999997</v>
      </c>
      <c r="J81" s="244">
        <f>Dat_01!I150</f>
        <v>269.07042999999999</v>
      </c>
      <c r="K81" s="244">
        <f>Dat_01!J150</f>
        <v>237.13678899999999</v>
      </c>
      <c r="L81" s="244">
        <f>Dat_01!K150</f>
        <v>290.867997</v>
      </c>
      <c r="M81" s="244">
        <f>Dat_01!L150</f>
        <v>304.44358</v>
      </c>
      <c r="N81" s="244">
        <f>Dat_01!M150</f>
        <v>323.38886200000002</v>
      </c>
      <c r="O81" s="244">
        <f>Dat_01!N150</f>
        <v>321.39170000000001</v>
      </c>
    </row>
    <row r="82" spans="2:15">
      <c r="B82" s="243" t="s">
        <v>583</v>
      </c>
      <c r="C82" s="244">
        <f>Dat_01!B154</f>
        <v>20312.963629000002</v>
      </c>
      <c r="D82" s="244">
        <f>Dat_01!C154</f>
        <v>19032.477428999999</v>
      </c>
      <c r="E82" s="244">
        <f>Dat_01!D154</f>
        <v>20193.038908999999</v>
      </c>
      <c r="F82" s="244">
        <f>Dat_01!E154</f>
        <v>21583.331875999997</v>
      </c>
      <c r="G82" s="244">
        <f>Dat_01!F154</f>
        <v>23137.836201999999</v>
      </c>
      <c r="H82" s="244">
        <f>Dat_01!G154</f>
        <v>21726.830746</v>
      </c>
      <c r="I82" s="244">
        <f>Dat_01!H154</f>
        <v>20761.173205999999</v>
      </c>
      <c r="J82" s="244">
        <f>Dat_01!I154</f>
        <v>23141.781785999996</v>
      </c>
      <c r="K82" s="244">
        <f>Dat_01!J154</f>
        <v>19662.724482000001</v>
      </c>
      <c r="L82" s="244">
        <f>Dat_01!K154</f>
        <v>19004.744849000002</v>
      </c>
      <c r="M82" s="244">
        <f>Dat_01!L154</f>
        <v>18649.977337</v>
      </c>
      <c r="N82" s="244">
        <f>Dat_01!M154</f>
        <v>20491.458040000005</v>
      </c>
      <c r="O82" s="244">
        <f>Dat_01!N154</f>
        <v>21075.406299999995</v>
      </c>
    </row>
    <row r="83" spans="2:15">
      <c r="B83" s="243" t="s">
        <v>584</v>
      </c>
      <c r="C83" s="244"/>
      <c r="D83" s="244"/>
      <c r="E83" s="244"/>
      <c r="F83" s="244"/>
      <c r="G83" s="244"/>
      <c r="H83" s="244"/>
      <c r="I83" s="244"/>
      <c r="J83" s="244"/>
      <c r="K83" s="244"/>
      <c r="L83" s="244"/>
      <c r="M83" s="244"/>
      <c r="N83" s="244"/>
      <c r="O83" s="244"/>
    </row>
    <row r="84" spans="2:15">
      <c r="B84" s="243" t="s">
        <v>585</v>
      </c>
      <c r="C84" s="244"/>
      <c r="D84" s="244"/>
      <c r="E84" s="244"/>
      <c r="F84" s="244"/>
      <c r="G84" s="244"/>
      <c r="H84" s="244"/>
      <c r="I84" s="244"/>
      <c r="J84" s="244"/>
      <c r="K84" s="244"/>
      <c r="L84" s="244"/>
      <c r="M84" s="244"/>
      <c r="N84" s="244"/>
      <c r="O84" s="244"/>
    </row>
    <row r="85" spans="2:15">
      <c r="B85" s="243" t="s">
        <v>586</v>
      </c>
      <c r="C85" s="244"/>
      <c r="D85" s="244"/>
      <c r="E85" s="244"/>
      <c r="F85" s="244"/>
      <c r="G85" s="244"/>
      <c r="H85" s="244"/>
      <c r="I85" s="244"/>
      <c r="J85" s="244"/>
      <c r="K85" s="244"/>
      <c r="L85" s="244"/>
      <c r="M85" s="244"/>
      <c r="N85" s="244"/>
      <c r="O85" s="244"/>
    </row>
    <row r="86" spans="2:15">
      <c r="B86" s="245" t="s">
        <v>587</v>
      </c>
      <c r="C86" s="246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</row>
    <row r="88" spans="2:15">
      <c r="B88" s="247" t="s">
        <v>17</v>
      </c>
      <c r="C88" s="248">
        <f t="shared" ref="C88:O88" si="2">SUM(C69,C75:C77,C80:C81)</f>
        <v>6232.0632507339988</v>
      </c>
      <c r="D88" s="248">
        <f t="shared" si="2"/>
        <v>5686.4873520619985</v>
      </c>
      <c r="E88" s="248">
        <f t="shared" si="2"/>
        <v>5386.4968563779994</v>
      </c>
      <c r="F88" s="248">
        <f t="shared" si="2"/>
        <v>5900.0658755320001</v>
      </c>
      <c r="G88" s="248">
        <f t="shared" si="2"/>
        <v>7924.9592531699991</v>
      </c>
      <c r="H88" s="248">
        <f t="shared" si="2"/>
        <v>8375.1434272860006</v>
      </c>
      <c r="I88" s="248">
        <f t="shared" si="2"/>
        <v>8093.3406413500006</v>
      </c>
      <c r="J88" s="248">
        <f t="shared" si="2"/>
        <v>13173.441544056001</v>
      </c>
      <c r="K88" s="248">
        <f t="shared" si="2"/>
        <v>10420.192731246001</v>
      </c>
      <c r="L88" s="248">
        <f t="shared" si="2"/>
        <v>8344.699632324</v>
      </c>
      <c r="M88" s="248">
        <f t="shared" si="2"/>
        <v>7967.701650084</v>
      </c>
      <c r="N88" s="248">
        <f t="shared" si="2"/>
        <v>7636.057402985999</v>
      </c>
      <c r="O88" s="248">
        <f t="shared" si="2"/>
        <v>7088.2334499999997</v>
      </c>
    </row>
    <row r="89" spans="2:15">
      <c r="B89" s="245" t="s">
        <v>16</v>
      </c>
      <c r="C89" s="246">
        <f t="shared" ref="C89:O89" si="3">SUM(C70:C74,C78:C79)</f>
        <v>14080.900378266</v>
      </c>
      <c r="D89" s="246">
        <f t="shared" si="3"/>
        <v>13345.990076938002</v>
      </c>
      <c r="E89" s="246">
        <f t="shared" si="3"/>
        <v>14806.542052622</v>
      </c>
      <c r="F89" s="246">
        <f t="shared" si="3"/>
        <v>15683.266000467998</v>
      </c>
      <c r="G89" s="246">
        <f t="shared" si="3"/>
        <v>15212.87694883</v>
      </c>
      <c r="H89" s="246">
        <f t="shared" si="3"/>
        <v>13351.687318714001</v>
      </c>
      <c r="I89" s="246">
        <f t="shared" si="3"/>
        <v>12667.832564649998</v>
      </c>
      <c r="J89" s="246">
        <f t="shared" si="3"/>
        <v>9968.3402419440008</v>
      </c>
      <c r="K89" s="246">
        <f t="shared" si="3"/>
        <v>9242.5317507540003</v>
      </c>
      <c r="L89" s="246">
        <f t="shared" si="3"/>
        <v>10660.045216675999</v>
      </c>
      <c r="M89" s="246">
        <f t="shared" si="3"/>
        <v>10682.275686915998</v>
      </c>
      <c r="N89" s="246">
        <f t="shared" si="3"/>
        <v>12855.400637014</v>
      </c>
      <c r="O89" s="246">
        <f t="shared" si="3"/>
        <v>13987.172849999999</v>
      </c>
    </row>
    <row r="91" spans="2:15">
      <c r="B91" s="247" t="s">
        <v>17</v>
      </c>
      <c r="C91" s="249">
        <f>SUM(ROUND(C69/SUM(C88:C89)*100,1),ROUND(C75/SUM(C88:C89)*100,1),ROUND(C76/SUM(C88:C89)*100,1),ROUND(C77/SUM(C88:C89)*100,1),ROUND(C80/SUM(C88:C89)*100,1),ROUND(C81/SUM(C88:C89)*100,1))</f>
        <v>30.6</v>
      </c>
      <c r="D91" s="249">
        <f t="shared" ref="D91:N91" si="4">SUM(ROUND(D69/SUM(D88:D89)*100,1),ROUND(D75/SUM(D88:D89)*100,1),ROUND(D76/SUM(D88:D89)*100,1),ROUND(D77/SUM(D88:D89)*100,1),ROUND(D80/SUM(D88:D89)*100,1),ROUND(D81/SUM(D88:D89)*100,1))</f>
        <v>29.8</v>
      </c>
      <c r="E91" s="249">
        <f t="shared" si="4"/>
        <v>26.6</v>
      </c>
      <c r="F91" s="249">
        <f t="shared" si="4"/>
        <v>27.299999999999997</v>
      </c>
      <c r="G91" s="249">
        <f t="shared" si="4"/>
        <v>34.29999999999999</v>
      </c>
      <c r="H91" s="249">
        <f t="shared" si="4"/>
        <v>38.499999999999993</v>
      </c>
      <c r="I91" s="249">
        <f t="shared" si="4"/>
        <v>38.999999999999993</v>
      </c>
      <c r="J91" s="249">
        <f t="shared" si="4"/>
        <v>57</v>
      </c>
      <c r="K91" s="249">
        <f t="shared" si="4"/>
        <v>53</v>
      </c>
      <c r="L91" s="249">
        <f t="shared" si="4"/>
        <v>43.800000000000004</v>
      </c>
      <c r="M91" s="249">
        <f t="shared" si="4"/>
        <v>42.800000000000004</v>
      </c>
      <c r="N91" s="249">
        <f t="shared" si="4"/>
        <v>37.299999999999997</v>
      </c>
      <c r="O91" s="249">
        <f>SUM(ROUND(O69/SUM(O88:O89)*100,1),ROUND(O75/SUM(O88:O89)*100,1),ROUND(O76/SUM(O88:O89)*100,1),ROUND(O77/SUM(O88:O89)*100,1),ROUND(O80/SUM(O88:O89)*100,1),ROUND(O81/SUM(O88:O89)*100,1))</f>
        <v>33.5</v>
      </c>
    </row>
    <row r="92" spans="2:15">
      <c r="B92" s="245" t="s">
        <v>16</v>
      </c>
      <c r="C92" s="250">
        <f t="shared" ref="C92:O92" si="5">100-C91</f>
        <v>69.400000000000006</v>
      </c>
      <c r="D92" s="250">
        <f t="shared" si="5"/>
        <v>70.2</v>
      </c>
      <c r="E92" s="250">
        <f t="shared" si="5"/>
        <v>73.400000000000006</v>
      </c>
      <c r="F92" s="250">
        <f t="shared" si="5"/>
        <v>72.7</v>
      </c>
      <c r="G92" s="250">
        <f t="shared" si="5"/>
        <v>65.700000000000017</v>
      </c>
      <c r="H92" s="250">
        <f t="shared" si="5"/>
        <v>61.500000000000007</v>
      </c>
      <c r="I92" s="250">
        <f t="shared" si="5"/>
        <v>61.000000000000007</v>
      </c>
      <c r="J92" s="250">
        <f t="shared" si="5"/>
        <v>43</v>
      </c>
      <c r="K92" s="250">
        <f t="shared" si="5"/>
        <v>47</v>
      </c>
      <c r="L92" s="250">
        <f t="shared" si="5"/>
        <v>56.199999999999996</v>
      </c>
      <c r="M92" s="250">
        <f t="shared" si="5"/>
        <v>57.199999999999996</v>
      </c>
      <c r="N92" s="250">
        <f t="shared" si="5"/>
        <v>62.7</v>
      </c>
      <c r="O92" s="250">
        <f t="shared" si="5"/>
        <v>66.5</v>
      </c>
    </row>
    <row r="94" spans="2:15">
      <c r="B94" s="181" t="s">
        <v>92</v>
      </c>
    </row>
    <row r="95" spans="2:15">
      <c r="B95" s="181" t="s">
        <v>93</v>
      </c>
    </row>
    <row r="97" spans="2:16">
      <c r="B97" s="160" t="s">
        <v>588</v>
      </c>
      <c r="C97" s="242"/>
      <c r="D97" s="242"/>
      <c r="E97" s="242"/>
      <c r="F97" s="242"/>
      <c r="G97" s="242"/>
      <c r="H97" s="242"/>
      <c r="I97" s="242"/>
      <c r="J97" s="242"/>
      <c r="K97" s="242"/>
      <c r="L97" s="242"/>
      <c r="M97" s="242"/>
      <c r="N97" s="242"/>
      <c r="O97" s="242"/>
      <c r="P97" s="242"/>
    </row>
    <row r="98" spans="2:16">
      <c r="B98" s="240"/>
      <c r="C98" s="241" t="s">
        <v>101</v>
      </c>
      <c r="D98" s="241" t="s">
        <v>100</v>
      </c>
      <c r="E98" s="241" t="s">
        <v>102</v>
      </c>
      <c r="F98" s="241" t="s">
        <v>103</v>
      </c>
      <c r="G98" s="241" t="s">
        <v>104</v>
      </c>
      <c r="H98" s="241" t="s">
        <v>105</v>
      </c>
      <c r="I98" s="241" t="s">
        <v>106</v>
      </c>
      <c r="J98" s="241" t="s">
        <v>98</v>
      </c>
      <c r="K98" s="241" t="s">
        <v>99</v>
      </c>
      <c r="L98" s="241" t="s">
        <v>100</v>
      </c>
      <c r="M98" s="241" t="s">
        <v>99</v>
      </c>
      <c r="N98" s="241" t="s">
        <v>101</v>
      </c>
      <c r="O98" s="241" t="s">
        <v>101</v>
      </c>
      <c r="P98" s="242"/>
    </row>
    <row r="99" spans="2:16">
      <c r="B99" s="243" t="s">
        <v>2</v>
      </c>
      <c r="C99" s="244">
        <f>C69</f>
        <v>1082.4397687339999</v>
      </c>
      <c r="D99" s="244">
        <f t="shared" ref="D99:O99" si="6">D69</f>
        <v>1147.5808360619999</v>
      </c>
      <c r="E99" s="244">
        <f t="shared" si="6"/>
        <v>773.35631237799998</v>
      </c>
      <c r="F99" s="244">
        <f t="shared" si="6"/>
        <v>831.61728853199998</v>
      </c>
      <c r="G99" s="244">
        <f t="shared" si="6"/>
        <v>1249.93701867</v>
      </c>
      <c r="H99" s="244">
        <f t="shared" si="6"/>
        <v>2193.9237987860001</v>
      </c>
      <c r="I99" s="244">
        <f t="shared" si="6"/>
        <v>2387.5167263500002</v>
      </c>
      <c r="J99" s="244">
        <f t="shared" si="6"/>
        <v>4399.0090775560002</v>
      </c>
      <c r="K99" s="244">
        <f t="shared" si="6"/>
        <v>4716.4282802460002</v>
      </c>
      <c r="L99" s="244">
        <f t="shared" si="6"/>
        <v>3520.7950463239999</v>
      </c>
      <c r="M99" s="244">
        <f t="shared" si="6"/>
        <v>3708.6988255840001</v>
      </c>
      <c r="N99" s="244">
        <f t="shared" si="6"/>
        <v>3024.3379099859999</v>
      </c>
      <c r="O99" s="244">
        <f t="shared" si="6"/>
        <v>2110.0834</v>
      </c>
    </row>
    <row r="100" spans="2:16">
      <c r="B100" s="243" t="s">
        <v>83</v>
      </c>
      <c r="C100" s="244">
        <f t="shared" ref="C100:O112" si="7">C70</f>
        <v>112.205176266</v>
      </c>
      <c r="D100" s="244">
        <f t="shared" si="7"/>
        <v>118.471554938</v>
      </c>
      <c r="E100" s="244">
        <f t="shared" si="7"/>
        <v>133.820917622</v>
      </c>
      <c r="F100" s="244">
        <f t="shared" si="7"/>
        <v>222.09125546800001</v>
      </c>
      <c r="G100" s="244">
        <f t="shared" si="7"/>
        <v>309.58646633000001</v>
      </c>
      <c r="H100" s="244">
        <f t="shared" si="7"/>
        <v>273.43523521399999</v>
      </c>
      <c r="I100" s="244">
        <f t="shared" si="7"/>
        <v>180.62302364999999</v>
      </c>
      <c r="J100" s="244">
        <f t="shared" si="7"/>
        <v>369.77771444400003</v>
      </c>
      <c r="K100" s="244">
        <f t="shared" si="7"/>
        <v>345.63732475400002</v>
      </c>
      <c r="L100" s="244">
        <f t="shared" si="7"/>
        <v>153.27436067599999</v>
      </c>
      <c r="M100" s="244">
        <f t="shared" si="7"/>
        <v>58.722846416000003</v>
      </c>
      <c r="N100" s="244">
        <f t="shared" si="7"/>
        <v>35.306144013999997</v>
      </c>
      <c r="O100" s="244">
        <f t="shared" si="7"/>
        <v>50.643900000000002</v>
      </c>
    </row>
    <row r="101" spans="2:16">
      <c r="B101" s="243" t="s">
        <v>3</v>
      </c>
      <c r="C101" s="244">
        <f t="shared" si="7"/>
        <v>5078.9521169999998</v>
      </c>
      <c r="D101" s="244">
        <f t="shared" si="7"/>
        <v>4722.5735260000001</v>
      </c>
      <c r="E101" s="244">
        <f t="shared" si="7"/>
        <v>4301.3254559999996</v>
      </c>
      <c r="F101" s="244">
        <f t="shared" si="7"/>
        <v>3601.78287</v>
      </c>
      <c r="G101" s="244">
        <f t="shared" si="7"/>
        <v>5039.108604</v>
      </c>
      <c r="H101" s="244">
        <f t="shared" si="7"/>
        <v>5096.5286329999999</v>
      </c>
      <c r="I101" s="244">
        <f t="shared" si="7"/>
        <v>4592.3205680000001</v>
      </c>
      <c r="J101" s="244">
        <f t="shared" si="7"/>
        <v>4488.9170219999996</v>
      </c>
      <c r="K101" s="244">
        <f t="shared" si="7"/>
        <v>3812.588835</v>
      </c>
      <c r="L101" s="244">
        <f t="shared" si="7"/>
        <v>3728.673667</v>
      </c>
      <c r="M101" s="244">
        <f t="shared" si="7"/>
        <v>3591.591351</v>
      </c>
      <c r="N101" s="244">
        <f t="shared" si="7"/>
        <v>4471.0236880000002</v>
      </c>
      <c r="O101" s="244">
        <f t="shared" si="7"/>
        <v>5140.7584999999999</v>
      </c>
    </row>
    <row r="102" spans="2:16">
      <c r="B102" s="243" t="s">
        <v>4</v>
      </c>
      <c r="C102" s="244">
        <f t="shared" si="7"/>
        <v>2962.4341599999998</v>
      </c>
      <c r="D102" s="244">
        <f t="shared" si="7"/>
        <v>2821.1507489999999</v>
      </c>
      <c r="E102" s="244">
        <f t="shared" si="7"/>
        <v>3901.3327119999999</v>
      </c>
      <c r="F102" s="244">
        <f t="shared" si="7"/>
        <v>4664.8877439999997</v>
      </c>
      <c r="G102" s="244">
        <f t="shared" si="7"/>
        <v>4128.1496340000003</v>
      </c>
      <c r="H102" s="244">
        <f t="shared" si="7"/>
        <v>3020.0704609999998</v>
      </c>
      <c r="I102" s="244">
        <f t="shared" si="7"/>
        <v>3488.6857300000001</v>
      </c>
      <c r="J102" s="244">
        <f t="shared" si="7"/>
        <v>1310.6821359999999</v>
      </c>
      <c r="K102" s="244">
        <f t="shared" si="7"/>
        <v>1360.590295</v>
      </c>
      <c r="L102" s="244">
        <f t="shared" si="7"/>
        <v>2254.3341909999999</v>
      </c>
      <c r="M102" s="244">
        <f t="shared" si="7"/>
        <v>2273.6508990000002</v>
      </c>
      <c r="N102" s="244">
        <f t="shared" si="7"/>
        <v>3488.1731799999998</v>
      </c>
      <c r="O102" s="244">
        <f t="shared" si="7"/>
        <v>3524.2485000000001</v>
      </c>
    </row>
    <row r="103" spans="2:16">
      <c r="B103" s="243" t="s">
        <v>576</v>
      </c>
      <c r="C103" s="244">
        <f t="shared" si="7"/>
        <v>0</v>
      </c>
      <c r="D103" s="244">
        <f t="shared" si="7"/>
        <v>0</v>
      </c>
      <c r="E103" s="244">
        <f t="shared" si="7"/>
        <v>0</v>
      </c>
      <c r="F103" s="244">
        <f t="shared" si="7"/>
        <v>0</v>
      </c>
      <c r="G103" s="244">
        <f t="shared" si="7"/>
        <v>0</v>
      </c>
      <c r="H103" s="244">
        <f t="shared" si="7"/>
        <v>0</v>
      </c>
      <c r="I103" s="244">
        <f t="shared" si="7"/>
        <v>0</v>
      </c>
      <c r="J103" s="244">
        <f t="shared" si="7"/>
        <v>0</v>
      </c>
      <c r="K103" s="244">
        <f t="shared" si="7"/>
        <v>0</v>
      </c>
      <c r="L103" s="244">
        <f t="shared" si="7"/>
        <v>0</v>
      </c>
      <c r="M103" s="244">
        <f t="shared" si="7"/>
        <v>0</v>
      </c>
      <c r="N103" s="244">
        <f t="shared" si="7"/>
        <v>0</v>
      </c>
      <c r="O103" s="244">
        <f t="shared" si="7"/>
        <v>0</v>
      </c>
    </row>
    <row r="104" spans="2:16">
      <c r="B104" s="243" t="s">
        <v>577</v>
      </c>
      <c r="C104" s="244">
        <f t="shared" si="7"/>
        <v>3454.4160280000001</v>
      </c>
      <c r="D104" s="244">
        <f t="shared" si="7"/>
        <v>3197.9247850000002</v>
      </c>
      <c r="E104" s="244">
        <f t="shared" si="7"/>
        <v>3848.6854699999999</v>
      </c>
      <c r="F104" s="244">
        <f t="shared" si="7"/>
        <v>4546.437715</v>
      </c>
      <c r="G104" s="244">
        <f t="shared" si="7"/>
        <v>3028.112431</v>
      </c>
      <c r="H104" s="244">
        <f t="shared" si="7"/>
        <v>2254.6323689999999</v>
      </c>
      <c r="I104" s="244">
        <f t="shared" si="7"/>
        <v>1950.724201</v>
      </c>
      <c r="J104" s="244">
        <f t="shared" si="7"/>
        <v>1248.0405949999999</v>
      </c>
      <c r="K104" s="244">
        <f t="shared" si="7"/>
        <v>1200.6612050000001</v>
      </c>
      <c r="L104" s="244">
        <f t="shared" si="7"/>
        <v>1968.4294669999999</v>
      </c>
      <c r="M104" s="244">
        <f t="shared" si="7"/>
        <v>2180.1881910000002</v>
      </c>
      <c r="N104" s="244">
        <f t="shared" si="7"/>
        <v>2229.279387</v>
      </c>
      <c r="O104" s="244">
        <f t="shared" si="7"/>
        <v>2703.9531999999999</v>
      </c>
    </row>
    <row r="105" spans="2:16">
      <c r="B105" s="243" t="s">
        <v>5</v>
      </c>
      <c r="C105" s="244">
        <f t="shared" si="7"/>
        <v>3296.3615829999999</v>
      </c>
      <c r="D105" s="244">
        <f t="shared" si="7"/>
        <v>2817.340224</v>
      </c>
      <c r="E105" s="244">
        <f t="shared" si="7"/>
        <v>3186.7215689999998</v>
      </c>
      <c r="F105" s="244">
        <f t="shared" si="7"/>
        <v>3957.8393489999999</v>
      </c>
      <c r="G105" s="244">
        <f t="shared" si="7"/>
        <v>5753.2710479999996</v>
      </c>
      <c r="H105" s="244">
        <f t="shared" si="7"/>
        <v>5286.0049170000002</v>
      </c>
      <c r="I105" s="244">
        <f t="shared" si="7"/>
        <v>4625.0512550000003</v>
      </c>
      <c r="J105" s="244">
        <f t="shared" si="7"/>
        <v>7650.1390380000003</v>
      </c>
      <c r="K105" s="244">
        <f t="shared" si="7"/>
        <v>4409.5657819999997</v>
      </c>
      <c r="L105" s="244">
        <f t="shared" si="7"/>
        <v>3253.8841389999998</v>
      </c>
      <c r="M105" s="244">
        <f t="shared" si="7"/>
        <v>2577.227746</v>
      </c>
      <c r="N105" s="244">
        <f t="shared" si="7"/>
        <v>2478.2899400000001</v>
      </c>
      <c r="O105" s="244">
        <f t="shared" si="7"/>
        <v>3056.7289999999998</v>
      </c>
    </row>
    <row r="106" spans="2:16">
      <c r="B106" s="243" t="s">
        <v>578</v>
      </c>
      <c r="C106" s="244">
        <f t="shared" si="7"/>
        <v>779.85283000000004</v>
      </c>
      <c r="D106" s="244">
        <f t="shared" si="7"/>
        <v>742.38754800000004</v>
      </c>
      <c r="E106" s="244">
        <f t="shared" si="7"/>
        <v>652.66983100000004</v>
      </c>
      <c r="F106" s="244">
        <f t="shared" si="7"/>
        <v>516.57625399999995</v>
      </c>
      <c r="G106" s="244">
        <f t="shared" si="7"/>
        <v>408.96712500000001</v>
      </c>
      <c r="H106" s="244">
        <f t="shared" si="7"/>
        <v>418.21396900000002</v>
      </c>
      <c r="I106" s="244">
        <f t="shared" si="7"/>
        <v>487.24947700000001</v>
      </c>
      <c r="J106" s="244">
        <f t="shared" si="7"/>
        <v>555.35785499999997</v>
      </c>
      <c r="K106" s="244">
        <f t="shared" si="7"/>
        <v>664.19763599999999</v>
      </c>
      <c r="L106" s="244">
        <f t="shared" si="7"/>
        <v>777.59795799999995</v>
      </c>
      <c r="M106" s="244">
        <f t="shared" si="7"/>
        <v>775.23778600000003</v>
      </c>
      <c r="N106" s="244">
        <f t="shared" si="7"/>
        <v>886.33224600000005</v>
      </c>
      <c r="O106" s="244">
        <f t="shared" si="7"/>
        <v>790.10954743100001</v>
      </c>
    </row>
    <row r="107" spans="2:16">
      <c r="B107" s="243" t="s">
        <v>579</v>
      </c>
      <c r="C107" s="244">
        <f t="shared" si="7"/>
        <v>692.43517499999996</v>
      </c>
      <c r="D107" s="244">
        <f t="shared" si="7"/>
        <v>608.14265499999999</v>
      </c>
      <c r="E107" s="244">
        <f t="shared" si="7"/>
        <v>398.79322200000001</v>
      </c>
      <c r="F107" s="244">
        <f t="shared" si="7"/>
        <v>220.652322</v>
      </c>
      <c r="G107" s="244">
        <f t="shared" si="7"/>
        <v>131.161056</v>
      </c>
      <c r="H107" s="244">
        <f t="shared" si="7"/>
        <v>112.387517</v>
      </c>
      <c r="I107" s="244">
        <f t="shared" si="7"/>
        <v>229.80815100000001</v>
      </c>
      <c r="J107" s="244">
        <f t="shared" si="7"/>
        <v>233.95594299999999</v>
      </c>
      <c r="K107" s="244">
        <f t="shared" si="7"/>
        <v>325.935092</v>
      </c>
      <c r="L107" s="244">
        <f t="shared" si="7"/>
        <v>477.20963399999999</v>
      </c>
      <c r="M107" s="244">
        <f t="shared" si="7"/>
        <v>551.29260299999999</v>
      </c>
      <c r="N107" s="244">
        <f t="shared" si="7"/>
        <v>858.89464799999996</v>
      </c>
      <c r="O107" s="244">
        <f t="shared" si="7"/>
        <v>743.08135256900005</v>
      </c>
    </row>
    <row r="108" spans="2:16">
      <c r="B108" s="243" t="s">
        <v>9</v>
      </c>
      <c r="C108" s="244">
        <f t="shared" si="7"/>
        <v>2257.6581030000002</v>
      </c>
      <c r="D108" s="244">
        <f t="shared" si="7"/>
        <v>2272.5539779999999</v>
      </c>
      <c r="E108" s="244">
        <f t="shared" si="7"/>
        <v>2392.9653020000001</v>
      </c>
      <c r="F108" s="244">
        <f t="shared" si="7"/>
        <v>2441.5411549999999</v>
      </c>
      <c r="G108" s="244">
        <f t="shared" si="7"/>
        <v>2489.4079710000001</v>
      </c>
      <c r="H108" s="244">
        <f t="shared" si="7"/>
        <v>2480.4490580000002</v>
      </c>
      <c r="I108" s="244">
        <f t="shared" si="7"/>
        <v>2251.2689540000001</v>
      </c>
      <c r="J108" s="244">
        <f t="shared" si="7"/>
        <v>2335.5272960000002</v>
      </c>
      <c r="K108" s="244">
        <f t="shared" si="7"/>
        <v>2353.5895970000001</v>
      </c>
      <c r="L108" s="244">
        <f t="shared" si="7"/>
        <v>2418.3062</v>
      </c>
      <c r="M108" s="244">
        <f t="shared" si="7"/>
        <v>2402.7120199999999</v>
      </c>
      <c r="N108" s="244">
        <f t="shared" si="7"/>
        <v>2432.0428059999999</v>
      </c>
      <c r="O108" s="244">
        <f t="shared" si="7"/>
        <v>2367.3085000000001</v>
      </c>
    </row>
    <row r="109" spans="2:16">
      <c r="B109" s="243" t="s">
        <v>580</v>
      </c>
      <c r="C109" s="244">
        <f t="shared" si="7"/>
        <v>215.23479399999999</v>
      </c>
      <c r="D109" s="244">
        <f t="shared" si="7"/>
        <v>213.315484</v>
      </c>
      <c r="E109" s="244">
        <f t="shared" si="7"/>
        <v>228.412195</v>
      </c>
      <c r="F109" s="244">
        <f t="shared" si="7"/>
        <v>206.525261</v>
      </c>
      <c r="G109" s="244">
        <f t="shared" si="7"/>
        <v>218.5118425</v>
      </c>
      <c r="H109" s="244">
        <f t="shared" si="7"/>
        <v>226.5715625</v>
      </c>
      <c r="I109" s="244">
        <f t="shared" si="7"/>
        <v>204.21008800000001</v>
      </c>
      <c r="J109" s="244">
        <f t="shared" si="7"/>
        <v>215.3954785</v>
      </c>
      <c r="K109" s="244">
        <f t="shared" si="7"/>
        <v>169.464494</v>
      </c>
      <c r="L109" s="244">
        <f t="shared" si="7"/>
        <v>137.027331</v>
      </c>
      <c r="M109" s="244">
        <f t="shared" si="7"/>
        <v>175.4103795</v>
      </c>
      <c r="N109" s="244">
        <f t="shared" si="7"/>
        <v>199.57543200000001</v>
      </c>
      <c r="O109" s="244">
        <f t="shared" si="7"/>
        <v>200.26025000000001</v>
      </c>
    </row>
    <row r="110" spans="2:16">
      <c r="B110" s="243" t="s">
        <v>581</v>
      </c>
      <c r="C110" s="244">
        <f t="shared" si="7"/>
        <v>65.701224999999994</v>
      </c>
      <c r="D110" s="244">
        <f t="shared" si="7"/>
        <v>62.429442000000002</v>
      </c>
      <c r="E110" s="244">
        <f t="shared" si="7"/>
        <v>66.129401999999999</v>
      </c>
      <c r="F110" s="244">
        <f t="shared" si="7"/>
        <v>66.557590000000005</v>
      </c>
      <c r="G110" s="244">
        <f t="shared" si="7"/>
        <v>69.971927500000007</v>
      </c>
      <c r="H110" s="244">
        <f t="shared" si="7"/>
        <v>69.2635705</v>
      </c>
      <c r="I110" s="244">
        <f t="shared" si="7"/>
        <v>62.195681999999998</v>
      </c>
      <c r="J110" s="244">
        <f t="shared" si="7"/>
        <v>65.909200499999997</v>
      </c>
      <c r="K110" s="244">
        <f t="shared" si="7"/>
        <v>66.929152000000002</v>
      </c>
      <c r="L110" s="244">
        <f t="shared" si="7"/>
        <v>24.344857999999999</v>
      </c>
      <c r="M110" s="244">
        <f t="shared" si="7"/>
        <v>50.801109500000003</v>
      </c>
      <c r="N110" s="244">
        <f t="shared" si="7"/>
        <v>64.813796999999994</v>
      </c>
      <c r="O110" s="244">
        <f t="shared" si="7"/>
        <v>66.838449999999995</v>
      </c>
    </row>
    <row r="111" spans="2:16">
      <c r="B111" s="243" t="s">
        <v>582</v>
      </c>
      <c r="C111" s="244">
        <f t="shared" si="7"/>
        <v>315.27266900000001</v>
      </c>
      <c r="D111" s="244">
        <f t="shared" si="7"/>
        <v>308.60664700000001</v>
      </c>
      <c r="E111" s="244">
        <f t="shared" si="7"/>
        <v>308.82652000000002</v>
      </c>
      <c r="F111" s="244">
        <f t="shared" si="7"/>
        <v>306.82307200000002</v>
      </c>
      <c r="G111" s="244">
        <f t="shared" si="7"/>
        <v>311.65107799999998</v>
      </c>
      <c r="H111" s="244">
        <f t="shared" si="7"/>
        <v>295.34965499999998</v>
      </c>
      <c r="I111" s="244">
        <f t="shared" si="7"/>
        <v>301.51934999999997</v>
      </c>
      <c r="J111" s="244">
        <f t="shared" si="7"/>
        <v>269.07042999999999</v>
      </c>
      <c r="K111" s="244">
        <f t="shared" si="7"/>
        <v>237.13678899999999</v>
      </c>
      <c r="L111" s="244">
        <f t="shared" si="7"/>
        <v>290.867997</v>
      </c>
      <c r="M111" s="244">
        <f t="shared" si="7"/>
        <v>304.44358</v>
      </c>
      <c r="N111" s="244">
        <f t="shared" si="7"/>
        <v>323.38886200000002</v>
      </c>
      <c r="O111" s="244">
        <f t="shared" si="7"/>
        <v>321.39170000000001</v>
      </c>
    </row>
    <row r="112" spans="2:16">
      <c r="B112" s="243" t="s">
        <v>583</v>
      </c>
      <c r="C112" s="244">
        <f t="shared" si="7"/>
        <v>20312.963629000002</v>
      </c>
      <c r="D112" s="244">
        <f t="shared" si="7"/>
        <v>19032.477428999999</v>
      </c>
      <c r="E112" s="244">
        <f t="shared" si="7"/>
        <v>20193.038908999999</v>
      </c>
      <c r="F112" s="244">
        <f t="shared" si="7"/>
        <v>21583.331875999997</v>
      </c>
      <c r="G112" s="244">
        <f t="shared" si="7"/>
        <v>23137.836201999999</v>
      </c>
      <c r="H112" s="244">
        <f t="shared" si="7"/>
        <v>21726.830746</v>
      </c>
      <c r="I112" s="244">
        <f t="shared" si="7"/>
        <v>20761.173205999999</v>
      </c>
      <c r="J112" s="244">
        <f t="shared" si="7"/>
        <v>23141.781785999996</v>
      </c>
      <c r="K112" s="244">
        <f t="shared" si="7"/>
        <v>19662.724482000001</v>
      </c>
      <c r="L112" s="244">
        <f t="shared" si="7"/>
        <v>19004.744849000002</v>
      </c>
      <c r="M112" s="244">
        <f t="shared" si="7"/>
        <v>18649.977337</v>
      </c>
      <c r="N112" s="244">
        <f t="shared" si="7"/>
        <v>20491.458040000005</v>
      </c>
      <c r="O112" s="244">
        <f t="shared" si="7"/>
        <v>21075.406299999995</v>
      </c>
    </row>
    <row r="113" spans="2:18">
      <c r="B113" s="243" t="s">
        <v>584</v>
      </c>
      <c r="C113" s="244"/>
      <c r="D113" s="244"/>
      <c r="E113" s="244"/>
      <c r="F113" s="244"/>
      <c r="G113" s="244"/>
      <c r="H113" s="244"/>
      <c r="I113" s="244"/>
      <c r="J113" s="244"/>
      <c r="K113" s="244"/>
      <c r="L113" s="244"/>
      <c r="M113" s="244"/>
      <c r="N113" s="244"/>
      <c r="O113" s="244"/>
    </row>
    <row r="114" spans="2:18">
      <c r="B114" s="243" t="s">
        <v>585</v>
      </c>
      <c r="C114" s="244"/>
      <c r="D114" s="244"/>
      <c r="E114" s="244"/>
      <c r="F114" s="244"/>
      <c r="G114" s="244"/>
      <c r="H114" s="244"/>
      <c r="I114" s="244"/>
      <c r="J114" s="244"/>
      <c r="K114" s="244"/>
      <c r="L114" s="244"/>
      <c r="M114" s="244"/>
      <c r="N114" s="244"/>
      <c r="O114" s="244"/>
    </row>
    <row r="115" spans="2:18">
      <c r="B115" s="243" t="s">
        <v>586</v>
      </c>
      <c r="C115" s="244"/>
      <c r="D115" s="244"/>
      <c r="E115" s="244"/>
      <c r="F115" s="244"/>
      <c r="G115" s="244"/>
      <c r="H115" s="244"/>
      <c r="I115" s="244"/>
      <c r="J115" s="244"/>
      <c r="K115" s="244"/>
      <c r="L115" s="244"/>
      <c r="M115" s="244"/>
      <c r="N115" s="244"/>
      <c r="O115" s="244"/>
    </row>
    <row r="116" spans="2:18">
      <c r="B116" s="245" t="s">
        <v>587</v>
      </c>
      <c r="C116" s="246"/>
      <c r="D116" s="246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</row>
    <row r="118" spans="2:18">
      <c r="B118" s="247" t="s">
        <v>19</v>
      </c>
      <c r="C118" s="248">
        <f>SUM(C99:C101,C105:C107,C110:C111)</f>
        <v>11423.220544</v>
      </c>
      <c r="D118" s="248">
        <f t="shared" ref="D118:O118" si="8">SUM(D99:D101,D105:D107,D110:D111)</f>
        <v>10527.532433000002</v>
      </c>
      <c r="E118" s="248">
        <f t="shared" si="8"/>
        <v>9821.6432299999997</v>
      </c>
      <c r="F118" s="248">
        <f t="shared" si="8"/>
        <v>9723.940000999999</v>
      </c>
      <c r="G118" s="248">
        <f t="shared" si="8"/>
        <v>13273.654323500003</v>
      </c>
      <c r="H118" s="248">
        <f t="shared" si="8"/>
        <v>13745.1072955</v>
      </c>
      <c r="I118" s="248">
        <f t="shared" si="8"/>
        <v>12866.284232999998</v>
      </c>
      <c r="J118" s="248">
        <f t="shared" si="8"/>
        <v>18032.136280499999</v>
      </c>
      <c r="K118" s="248">
        <f t="shared" si="8"/>
        <v>14578.418891000001</v>
      </c>
      <c r="L118" s="248">
        <f t="shared" si="8"/>
        <v>12226.647660000001</v>
      </c>
      <c r="M118" s="248">
        <f t="shared" si="8"/>
        <v>11618.015847499999</v>
      </c>
      <c r="N118" s="248">
        <f t="shared" si="8"/>
        <v>12142.387235</v>
      </c>
      <c r="O118" s="248">
        <f t="shared" si="8"/>
        <v>12279.635849999999</v>
      </c>
    </row>
    <row r="119" spans="2:18">
      <c r="B119" s="245" t="s">
        <v>20</v>
      </c>
      <c r="C119" s="246">
        <f>SUM(C102:C104,C108:C109)</f>
        <v>8889.7430850000001</v>
      </c>
      <c r="D119" s="246">
        <f t="shared" ref="D119:O119" si="9">SUM(D102:D104,D108:D109)</f>
        <v>8504.9449960000002</v>
      </c>
      <c r="E119" s="246">
        <f t="shared" si="9"/>
        <v>10371.395679000001</v>
      </c>
      <c r="F119" s="246">
        <f t="shared" si="9"/>
        <v>11859.391874999999</v>
      </c>
      <c r="G119" s="246">
        <f t="shared" si="9"/>
        <v>9864.1818785000014</v>
      </c>
      <c r="H119" s="246">
        <f t="shared" si="9"/>
        <v>7981.7234505000006</v>
      </c>
      <c r="I119" s="246">
        <f t="shared" si="9"/>
        <v>7894.8889730000001</v>
      </c>
      <c r="J119" s="246">
        <f t="shared" si="9"/>
        <v>5109.6455054999997</v>
      </c>
      <c r="K119" s="246">
        <f t="shared" si="9"/>
        <v>5084.3055910000003</v>
      </c>
      <c r="L119" s="246">
        <f t="shared" si="9"/>
        <v>6778.0971890000001</v>
      </c>
      <c r="M119" s="246">
        <f t="shared" si="9"/>
        <v>7031.9614895000004</v>
      </c>
      <c r="N119" s="246">
        <f t="shared" si="9"/>
        <v>8349.0708049999994</v>
      </c>
      <c r="O119" s="246">
        <f t="shared" si="9"/>
        <v>8795.77045</v>
      </c>
      <c r="R119" s="251"/>
    </row>
    <row r="121" spans="2:18">
      <c r="B121" s="247" t="s">
        <v>589</v>
      </c>
      <c r="C121" s="249">
        <f>SUM(ROUND(C99/SUM(C118:C119)*100,1),ROUND(C100/SUM(C118:C119)*100,1),ROUND(C101/SUM(C118:C119)*100,1),ROUND(C105/SUM(C118:C119)*100,1),ROUND(C106/SUM(C118:C119)*100,1),ROUND(C107/SUM(C118:C119)*100,1),ROUND(C111/SUM(C118:C119)*100,1),ROUND(C110/SUM(C118:C119)*100,1))</f>
        <v>56.199999999999989</v>
      </c>
      <c r="D121" s="249">
        <f t="shared" ref="D121:O121" si="10">SUM(ROUND(D99/SUM(D118:D119)*100,1),ROUND(D100/SUM(D118:D119)*100,1),ROUND(D101/SUM(D118:D119)*100,1),ROUND(D105/SUM(D118:D119)*100,1),ROUND(D106/SUM(D118:D119)*100,1),ROUND(D107/SUM(D118:D119)*100,1),ROUND(D111/SUM(D118:D119)*100,1),ROUND(D110/SUM(D118:D119)*100,1))</f>
        <v>55.2</v>
      </c>
      <c r="E121" s="249">
        <f t="shared" si="10"/>
        <v>48.6</v>
      </c>
      <c r="F121" s="249">
        <f t="shared" si="10"/>
        <v>45</v>
      </c>
      <c r="G121" s="249">
        <f t="shared" si="10"/>
        <v>57.399999999999991</v>
      </c>
      <c r="H121" s="249">
        <f t="shared" si="10"/>
        <v>63.3</v>
      </c>
      <c r="I121" s="249">
        <f t="shared" si="10"/>
        <v>61.999999999999993</v>
      </c>
      <c r="J121" s="249">
        <f t="shared" si="10"/>
        <v>78</v>
      </c>
      <c r="K121" s="249">
        <f t="shared" si="10"/>
        <v>74.2</v>
      </c>
      <c r="L121" s="249">
        <f t="shared" si="10"/>
        <v>64.2</v>
      </c>
      <c r="M121" s="249">
        <f t="shared" si="10"/>
        <v>62.4</v>
      </c>
      <c r="N121" s="249">
        <f t="shared" si="10"/>
        <v>59.3</v>
      </c>
      <c r="O121" s="249">
        <f t="shared" si="10"/>
        <v>58.099999999999994</v>
      </c>
    </row>
    <row r="122" spans="2:18">
      <c r="B122" s="245" t="s">
        <v>590</v>
      </c>
      <c r="C122" s="250">
        <f t="shared" ref="C122" si="11">100-C121</f>
        <v>43.800000000000011</v>
      </c>
      <c r="D122" s="250">
        <f t="shared" ref="D122:O122" si="12">100-D121</f>
        <v>44.8</v>
      </c>
      <c r="E122" s="250">
        <f t="shared" si="12"/>
        <v>51.4</v>
      </c>
      <c r="F122" s="250">
        <f t="shared" si="12"/>
        <v>55</v>
      </c>
      <c r="G122" s="250">
        <f t="shared" si="12"/>
        <v>42.600000000000009</v>
      </c>
      <c r="H122" s="250">
        <f t="shared" si="12"/>
        <v>36.700000000000003</v>
      </c>
      <c r="I122" s="250">
        <f t="shared" si="12"/>
        <v>38.000000000000007</v>
      </c>
      <c r="J122" s="250">
        <f t="shared" si="12"/>
        <v>22</v>
      </c>
      <c r="K122" s="250">
        <f t="shared" si="12"/>
        <v>25.799999999999997</v>
      </c>
      <c r="L122" s="250">
        <f t="shared" si="12"/>
        <v>35.799999999999997</v>
      </c>
      <c r="M122" s="250">
        <f t="shared" si="12"/>
        <v>37.6</v>
      </c>
      <c r="N122" s="250">
        <f t="shared" si="12"/>
        <v>40.700000000000003</v>
      </c>
      <c r="O122" s="250">
        <f t="shared" si="12"/>
        <v>41.900000000000006</v>
      </c>
    </row>
    <row r="124" spans="2:18">
      <c r="B124" s="160" t="s">
        <v>591</v>
      </c>
      <c r="C124" s="252"/>
      <c r="D124" s="252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</row>
    <row r="125" spans="2:18">
      <c r="B125" s="240"/>
      <c r="C125" s="241" t="s">
        <v>101</v>
      </c>
      <c r="D125" s="241" t="s">
        <v>100</v>
      </c>
      <c r="E125" s="241" t="s">
        <v>102</v>
      </c>
      <c r="F125" s="241" t="s">
        <v>103</v>
      </c>
      <c r="G125" s="241" t="s">
        <v>104</v>
      </c>
      <c r="H125" s="241" t="s">
        <v>105</v>
      </c>
      <c r="I125" s="241" t="s">
        <v>106</v>
      </c>
      <c r="J125" s="241" t="s">
        <v>98</v>
      </c>
      <c r="K125" s="241" t="s">
        <v>99</v>
      </c>
      <c r="L125" s="241" t="s">
        <v>100</v>
      </c>
      <c r="M125" s="241" t="s">
        <v>99</v>
      </c>
      <c r="N125" s="241" t="s">
        <v>101</v>
      </c>
      <c r="O125" s="241" t="s">
        <v>101</v>
      </c>
    </row>
    <row r="126" spans="2:18">
      <c r="B126" s="243" t="s">
        <v>2</v>
      </c>
      <c r="C126" s="244">
        <f>C69</f>
        <v>1082.4397687339999</v>
      </c>
      <c r="D126" s="244">
        <f t="shared" ref="D126:O126" si="13">D69</f>
        <v>1147.5808360619999</v>
      </c>
      <c r="E126" s="244">
        <f t="shared" si="13"/>
        <v>773.35631237799998</v>
      </c>
      <c r="F126" s="244">
        <f t="shared" si="13"/>
        <v>831.61728853199998</v>
      </c>
      <c r="G126" s="244">
        <f t="shared" si="13"/>
        <v>1249.93701867</v>
      </c>
      <c r="H126" s="244">
        <f t="shared" si="13"/>
        <v>2193.9237987860001</v>
      </c>
      <c r="I126" s="244">
        <f t="shared" si="13"/>
        <v>2387.5167263500002</v>
      </c>
      <c r="J126" s="244">
        <f t="shared" si="13"/>
        <v>4399.0090775560002</v>
      </c>
      <c r="K126" s="244">
        <f t="shared" si="13"/>
        <v>4716.4282802460002</v>
      </c>
      <c r="L126" s="244">
        <f t="shared" si="13"/>
        <v>3520.7950463239999</v>
      </c>
      <c r="M126" s="244">
        <f t="shared" si="13"/>
        <v>3708.6988255840001</v>
      </c>
      <c r="N126" s="244">
        <f t="shared" si="13"/>
        <v>3024.3379099859999</v>
      </c>
      <c r="O126" s="244">
        <f t="shared" si="13"/>
        <v>2110.0834</v>
      </c>
      <c r="P126" s="253"/>
    </row>
    <row r="127" spans="2:18">
      <c r="B127" s="243" t="s">
        <v>83</v>
      </c>
      <c r="C127" s="244">
        <f t="shared" ref="C127:O139" si="14">C70</f>
        <v>112.205176266</v>
      </c>
      <c r="D127" s="244">
        <f t="shared" si="14"/>
        <v>118.471554938</v>
      </c>
      <c r="E127" s="244">
        <f t="shared" si="14"/>
        <v>133.820917622</v>
      </c>
      <c r="F127" s="244">
        <f t="shared" si="14"/>
        <v>222.09125546800001</v>
      </c>
      <c r="G127" s="244">
        <f t="shared" si="14"/>
        <v>309.58646633000001</v>
      </c>
      <c r="H127" s="244">
        <f t="shared" si="14"/>
        <v>273.43523521399999</v>
      </c>
      <c r="I127" s="244">
        <f t="shared" si="14"/>
        <v>180.62302364999999</v>
      </c>
      <c r="J127" s="244">
        <f t="shared" si="14"/>
        <v>369.77771444400003</v>
      </c>
      <c r="K127" s="244">
        <f t="shared" si="14"/>
        <v>345.63732475400002</v>
      </c>
      <c r="L127" s="244">
        <f t="shared" si="14"/>
        <v>153.27436067599999</v>
      </c>
      <c r="M127" s="244">
        <f t="shared" si="14"/>
        <v>58.722846416000003</v>
      </c>
      <c r="N127" s="244">
        <f t="shared" si="14"/>
        <v>35.306144013999997</v>
      </c>
      <c r="O127" s="244">
        <f t="shared" si="14"/>
        <v>50.643900000000002</v>
      </c>
    </row>
    <row r="128" spans="2:18">
      <c r="B128" s="243" t="s">
        <v>3</v>
      </c>
      <c r="C128" s="244">
        <f t="shared" si="14"/>
        <v>5078.9521169999998</v>
      </c>
      <c r="D128" s="244">
        <f t="shared" si="14"/>
        <v>4722.5735260000001</v>
      </c>
      <c r="E128" s="244">
        <f t="shared" si="14"/>
        <v>4301.3254559999996</v>
      </c>
      <c r="F128" s="244">
        <f t="shared" si="14"/>
        <v>3601.78287</v>
      </c>
      <c r="G128" s="244">
        <f t="shared" si="14"/>
        <v>5039.108604</v>
      </c>
      <c r="H128" s="244">
        <f t="shared" si="14"/>
        <v>5096.5286329999999</v>
      </c>
      <c r="I128" s="244">
        <f t="shared" si="14"/>
        <v>4592.3205680000001</v>
      </c>
      <c r="J128" s="244">
        <f t="shared" si="14"/>
        <v>4488.9170219999996</v>
      </c>
      <c r="K128" s="244">
        <f t="shared" si="14"/>
        <v>3812.588835</v>
      </c>
      <c r="L128" s="244">
        <f t="shared" si="14"/>
        <v>3728.673667</v>
      </c>
      <c r="M128" s="244">
        <f t="shared" si="14"/>
        <v>3591.591351</v>
      </c>
      <c r="N128" s="244">
        <f t="shared" si="14"/>
        <v>4471.0236880000002</v>
      </c>
      <c r="O128" s="244">
        <f t="shared" si="14"/>
        <v>5140.7584999999999</v>
      </c>
    </row>
    <row r="129" spans="2:15">
      <c r="B129" s="243" t="s">
        <v>4</v>
      </c>
      <c r="C129" s="244">
        <f t="shared" si="14"/>
        <v>2962.4341599999998</v>
      </c>
      <c r="D129" s="244">
        <f t="shared" si="14"/>
        <v>2821.1507489999999</v>
      </c>
      <c r="E129" s="244">
        <f t="shared" si="14"/>
        <v>3901.3327119999999</v>
      </c>
      <c r="F129" s="244">
        <f t="shared" si="14"/>
        <v>4664.8877439999997</v>
      </c>
      <c r="G129" s="244">
        <f t="shared" si="14"/>
        <v>4128.1496340000003</v>
      </c>
      <c r="H129" s="244">
        <f t="shared" si="14"/>
        <v>3020.0704609999998</v>
      </c>
      <c r="I129" s="244">
        <f t="shared" si="14"/>
        <v>3488.6857300000001</v>
      </c>
      <c r="J129" s="244">
        <f t="shared" si="14"/>
        <v>1310.6821359999999</v>
      </c>
      <c r="K129" s="244">
        <f t="shared" si="14"/>
        <v>1360.590295</v>
      </c>
      <c r="L129" s="244">
        <f t="shared" si="14"/>
        <v>2254.3341909999999</v>
      </c>
      <c r="M129" s="244">
        <f t="shared" si="14"/>
        <v>2273.6508990000002</v>
      </c>
      <c r="N129" s="244">
        <f t="shared" si="14"/>
        <v>3488.1731799999998</v>
      </c>
      <c r="O129" s="244">
        <f t="shared" si="14"/>
        <v>3524.2485000000001</v>
      </c>
    </row>
    <row r="130" spans="2:15">
      <c r="B130" s="243" t="s">
        <v>576</v>
      </c>
      <c r="C130" s="244">
        <f t="shared" si="14"/>
        <v>0</v>
      </c>
      <c r="D130" s="244">
        <f t="shared" si="14"/>
        <v>0</v>
      </c>
      <c r="E130" s="244">
        <f t="shared" si="14"/>
        <v>0</v>
      </c>
      <c r="F130" s="244">
        <f t="shared" si="14"/>
        <v>0</v>
      </c>
      <c r="G130" s="244">
        <f t="shared" si="14"/>
        <v>0</v>
      </c>
      <c r="H130" s="244">
        <f t="shared" si="14"/>
        <v>0</v>
      </c>
      <c r="I130" s="244">
        <f t="shared" si="14"/>
        <v>0</v>
      </c>
      <c r="J130" s="244">
        <f t="shared" si="14"/>
        <v>0</v>
      </c>
      <c r="K130" s="244">
        <f t="shared" si="14"/>
        <v>0</v>
      </c>
      <c r="L130" s="244">
        <f t="shared" si="14"/>
        <v>0</v>
      </c>
      <c r="M130" s="244">
        <f t="shared" si="14"/>
        <v>0</v>
      </c>
      <c r="N130" s="244">
        <f t="shared" si="14"/>
        <v>0</v>
      </c>
      <c r="O130" s="244">
        <f t="shared" si="14"/>
        <v>0</v>
      </c>
    </row>
    <row r="131" spans="2:15">
      <c r="B131" s="243" t="s">
        <v>577</v>
      </c>
      <c r="C131" s="244">
        <f t="shared" si="14"/>
        <v>3454.4160280000001</v>
      </c>
      <c r="D131" s="244">
        <f t="shared" si="14"/>
        <v>3197.9247850000002</v>
      </c>
      <c r="E131" s="244">
        <f t="shared" si="14"/>
        <v>3848.6854699999999</v>
      </c>
      <c r="F131" s="244">
        <f t="shared" si="14"/>
        <v>4546.437715</v>
      </c>
      <c r="G131" s="244">
        <f t="shared" si="14"/>
        <v>3028.112431</v>
      </c>
      <c r="H131" s="244">
        <f t="shared" si="14"/>
        <v>2254.6323689999999</v>
      </c>
      <c r="I131" s="244">
        <f t="shared" si="14"/>
        <v>1950.724201</v>
      </c>
      <c r="J131" s="244">
        <f t="shared" si="14"/>
        <v>1248.0405949999999</v>
      </c>
      <c r="K131" s="244">
        <f t="shared" si="14"/>
        <v>1200.6612050000001</v>
      </c>
      <c r="L131" s="244">
        <f t="shared" si="14"/>
        <v>1968.4294669999999</v>
      </c>
      <c r="M131" s="244">
        <f t="shared" si="14"/>
        <v>2180.1881910000002</v>
      </c>
      <c r="N131" s="244">
        <f t="shared" si="14"/>
        <v>2229.279387</v>
      </c>
      <c r="O131" s="244">
        <f t="shared" si="14"/>
        <v>2703.9531999999999</v>
      </c>
    </row>
    <row r="132" spans="2:15">
      <c r="B132" s="243" t="s">
        <v>5</v>
      </c>
      <c r="C132" s="244">
        <f t="shared" si="14"/>
        <v>3296.3615829999999</v>
      </c>
      <c r="D132" s="244">
        <f t="shared" si="14"/>
        <v>2817.340224</v>
      </c>
      <c r="E132" s="244">
        <f t="shared" si="14"/>
        <v>3186.7215689999998</v>
      </c>
      <c r="F132" s="244">
        <f t="shared" si="14"/>
        <v>3957.8393489999999</v>
      </c>
      <c r="G132" s="244">
        <f t="shared" si="14"/>
        <v>5753.2710479999996</v>
      </c>
      <c r="H132" s="244">
        <f t="shared" si="14"/>
        <v>5286.0049170000002</v>
      </c>
      <c r="I132" s="244">
        <f t="shared" si="14"/>
        <v>4625.0512550000003</v>
      </c>
      <c r="J132" s="244">
        <f t="shared" si="14"/>
        <v>7650.1390380000003</v>
      </c>
      <c r="K132" s="244">
        <f t="shared" si="14"/>
        <v>4409.5657819999997</v>
      </c>
      <c r="L132" s="244">
        <f t="shared" si="14"/>
        <v>3253.8841389999998</v>
      </c>
      <c r="M132" s="244">
        <f t="shared" si="14"/>
        <v>2577.227746</v>
      </c>
      <c r="N132" s="244">
        <f t="shared" si="14"/>
        <v>2478.2899400000001</v>
      </c>
      <c r="O132" s="244">
        <f t="shared" si="14"/>
        <v>3056.7289999999998</v>
      </c>
    </row>
    <row r="133" spans="2:15">
      <c r="B133" s="243" t="s">
        <v>578</v>
      </c>
      <c r="C133" s="244">
        <f t="shared" si="14"/>
        <v>779.85283000000004</v>
      </c>
      <c r="D133" s="244">
        <f t="shared" si="14"/>
        <v>742.38754800000004</v>
      </c>
      <c r="E133" s="244">
        <f t="shared" si="14"/>
        <v>652.66983100000004</v>
      </c>
      <c r="F133" s="244">
        <f t="shared" si="14"/>
        <v>516.57625399999995</v>
      </c>
      <c r="G133" s="244">
        <f t="shared" si="14"/>
        <v>408.96712500000001</v>
      </c>
      <c r="H133" s="244">
        <f t="shared" si="14"/>
        <v>418.21396900000002</v>
      </c>
      <c r="I133" s="244">
        <f t="shared" si="14"/>
        <v>487.24947700000001</v>
      </c>
      <c r="J133" s="244">
        <f t="shared" si="14"/>
        <v>555.35785499999997</v>
      </c>
      <c r="K133" s="244">
        <f t="shared" si="14"/>
        <v>664.19763599999999</v>
      </c>
      <c r="L133" s="244">
        <f t="shared" si="14"/>
        <v>777.59795799999995</v>
      </c>
      <c r="M133" s="244">
        <f t="shared" si="14"/>
        <v>775.23778600000003</v>
      </c>
      <c r="N133" s="244">
        <f t="shared" si="14"/>
        <v>886.33224600000005</v>
      </c>
      <c r="O133" s="244">
        <f t="shared" si="14"/>
        <v>790.10954743100001</v>
      </c>
    </row>
    <row r="134" spans="2:15">
      <c r="B134" s="243" t="s">
        <v>579</v>
      </c>
      <c r="C134" s="244">
        <f t="shared" si="14"/>
        <v>692.43517499999996</v>
      </c>
      <c r="D134" s="244">
        <f t="shared" si="14"/>
        <v>608.14265499999999</v>
      </c>
      <c r="E134" s="244">
        <f t="shared" si="14"/>
        <v>398.79322200000001</v>
      </c>
      <c r="F134" s="244">
        <f t="shared" si="14"/>
        <v>220.652322</v>
      </c>
      <c r="G134" s="244">
        <f t="shared" si="14"/>
        <v>131.161056</v>
      </c>
      <c r="H134" s="244">
        <f t="shared" si="14"/>
        <v>112.387517</v>
      </c>
      <c r="I134" s="244">
        <f t="shared" si="14"/>
        <v>229.80815100000001</v>
      </c>
      <c r="J134" s="244">
        <f t="shared" si="14"/>
        <v>233.95594299999999</v>
      </c>
      <c r="K134" s="244">
        <f t="shared" si="14"/>
        <v>325.935092</v>
      </c>
      <c r="L134" s="244">
        <f t="shared" si="14"/>
        <v>477.20963399999999</v>
      </c>
      <c r="M134" s="244">
        <f t="shared" si="14"/>
        <v>551.29260299999999</v>
      </c>
      <c r="N134" s="244">
        <f t="shared" si="14"/>
        <v>858.89464799999996</v>
      </c>
      <c r="O134" s="244">
        <f t="shared" si="14"/>
        <v>743.08135256900005</v>
      </c>
    </row>
    <row r="135" spans="2:15">
      <c r="B135" s="243" t="s">
        <v>9</v>
      </c>
      <c r="C135" s="244">
        <f t="shared" si="14"/>
        <v>2257.6581030000002</v>
      </c>
      <c r="D135" s="244">
        <f t="shared" si="14"/>
        <v>2272.5539779999999</v>
      </c>
      <c r="E135" s="244">
        <f t="shared" si="14"/>
        <v>2392.9653020000001</v>
      </c>
      <c r="F135" s="244">
        <f t="shared" si="14"/>
        <v>2441.5411549999999</v>
      </c>
      <c r="G135" s="244">
        <f t="shared" si="14"/>
        <v>2489.4079710000001</v>
      </c>
      <c r="H135" s="244">
        <f t="shared" si="14"/>
        <v>2480.4490580000002</v>
      </c>
      <c r="I135" s="244">
        <f t="shared" si="14"/>
        <v>2251.2689540000001</v>
      </c>
      <c r="J135" s="244">
        <f t="shared" si="14"/>
        <v>2335.5272960000002</v>
      </c>
      <c r="K135" s="244">
        <f t="shared" si="14"/>
        <v>2353.5895970000001</v>
      </c>
      <c r="L135" s="244">
        <f t="shared" si="14"/>
        <v>2418.3062</v>
      </c>
      <c r="M135" s="244">
        <f t="shared" si="14"/>
        <v>2402.7120199999999</v>
      </c>
      <c r="N135" s="244">
        <f t="shared" si="14"/>
        <v>2432.0428059999999</v>
      </c>
      <c r="O135" s="244">
        <f t="shared" si="14"/>
        <v>2367.3085000000001</v>
      </c>
    </row>
    <row r="136" spans="2:15">
      <c r="B136" s="243" t="s">
        <v>580</v>
      </c>
      <c r="C136" s="244">
        <f t="shared" si="14"/>
        <v>215.23479399999999</v>
      </c>
      <c r="D136" s="244">
        <f t="shared" si="14"/>
        <v>213.315484</v>
      </c>
      <c r="E136" s="244">
        <f t="shared" si="14"/>
        <v>228.412195</v>
      </c>
      <c r="F136" s="244">
        <f t="shared" si="14"/>
        <v>206.525261</v>
      </c>
      <c r="G136" s="244">
        <f t="shared" si="14"/>
        <v>218.5118425</v>
      </c>
      <c r="H136" s="244">
        <f t="shared" si="14"/>
        <v>226.5715625</v>
      </c>
      <c r="I136" s="244">
        <f t="shared" si="14"/>
        <v>204.21008800000001</v>
      </c>
      <c r="J136" s="244">
        <f t="shared" si="14"/>
        <v>215.3954785</v>
      </c>
      <c r="K136" s="244">
        <f t="shared" si="14"/>
        <v>169.464494</v>
      </c>
      <c r="L136" s="244">
        <f t="shared" si="14"/>
        <v>137.027331</v>
      </c>
      <c r="M136" s="244">
        <f t="shared" si="14"/>
        <v>175.4103795</v>
      </c>
      <c r="N136" s="244">
        <f t="shared" si="14"/>
        <v>199.57543200000001</v>
      </c>
      <c r="O136" s="244">
        <f t="shared" si="14"/>
        <v>200.26025000000001</v>
      </c>
    </row>
    <row r="137" spans="2:15">
      <c r="B137" s="243" t="s">
        <v>581</v>
      </c>
      <c r="C137" s="244">
        <f t="shared" si="14"/>
        <v>65.701224999999994</v>
      </c>
      <c r="D137" s="244">
        <f t="shared" si="14"/>
        <v>62.429442000000002</v>
      </c>
      <c r="E137" s="244">
        <f t="shared" si="14"/>
        <v>66.129401999999999</v>
      </c>
      <c r="F137" s="244">
        <f t="shared" si="14"/>
        <v>66.557590000000005</v>
      </c>
      <c r="G137" s="244">
        <f t="shared" si="14"/>
        <v>69.971927500000007</v>
      </c>
      <c r="H137" s="244">
        <f t="shared" si="14"/>
        <v>69.2635705</v>
      </c>
      <c r="I137" s="244">
        <f t="shared" si="14"/>
        <v>62.195681999999998</v>
      </c>
      <c r="J137" s="244">
        <f t="shared" si="14"/>
        <v>65.909200499999997</v>
      </c>
      <c r="K137" s="244">
        <f t="shared" si="14"/>
        <v>66.929152000000002</v>
      </c>
      <c r="L137" s="244">
        <f t="shared" si="14"/>
        <v>24.344857999999999</v>
      </c>
      <c r="M137" s="244">
        <f t="shared" si="14"/>
        <v>50.801109500000003</v>
      </c>
      <c r="N137" s="244">
        <f t="shared" si="14"/>
        <v>64.813796999999994</v>
      </c>
      <c r="O137" s="244">
        <f t="shared" si="14"/>
        <v>66.838449999999995</v>
      </c>
    </row>
    <row r="138" spans="2:15">
      <c r="B138" s="243" t="s">
        <v>582</v>
      </c>
      <c r="C138" s="244">
        <f t="shared" si="14"/>
        <v>315.27266900000001</v>
      </c>
      <c r="D138" s="244">
        <f t="shared" si="14"/>
        <v>308.60664700000001</v>
      </c>
      <c r="E138" s="244">
        <f t="shared" si="14"/>
        <v>308.82652000000002</v>
      </c>
      <c r="F138" s="244">
        <f t="shared" si="14"/>
        <v>306.82307200000002</v>
      </c>
      <c r="G138" s="244">
        <f t="shared" si="14"/>
        <v>311.65107799999998</v>
      </c>
      <c r="H138" s="244">
        <f t="shared" si="14"/>
        <v>295.34965499999998</v>
      </c>
      <c r="I138" s="244">
        <f t="shared" si="14"/>
        <v>301.51934999999997</v>
      </c>
      <c r="J138" s="244">
        <f t="shared" si="14"/>
        <v>269.07042999999999</v>
      </c>
      <c r="K138" s="244">
        <f t="shared" si="14"/>
        <v>237.13678899999999</v>
      </c>
      <c r="L138" s="244">
        <f t="shared" si="14"/>
        <v>290.867997</v>
      </c>
      <c r="M138" s="244">
        <f t="shared" si="14"/>
        <v>304.44358</v>
      </c>
      <c r="N138" s="244">
        <f t="shared" si="14"/>
        <v>323.38886200000002</v>
      </c>
      <c r="O138" s="244">
        <f t="shared" si="14"/>
        <v>321.39170000000001</v>
      </c>
    </row>
    <row r="139" spans="2:15">
      <c r="B139" s="243" t="s">
        <v>583</v>
      </c>
      <c r="C139" s="244">
        <f t="shared" si="14"/>
        <v>20312.963629000002</v>
      </c>
      <c r="D139" s="244">
        <f t="shared" si="14"/>
        <v>19032.477428999999</v>
      </c>
      <c r="E139" s="244">
        <f t="shared" si="14"/>
        <v>20193.038908999999</v>
      </c>
      <c r="F139" s="244">
        <f t="shared" si="14"/>
        <v>21583.331875999997</v>
      </c>
      <c r="G139" s="244">
        <f t="shared" si="14"/>
        <v>23137.836201999999</v>
      </c>
      <c r="H139" s="244">
        <f t="shared" si="14"/>
        <v>21726.830746</v>
      </c>
      <c r="I139" s="244">
        <f t="shared" si="14"/>
        <v>20761.173205999999</v>
      </c>
      <c r="J139" s="244">
        <f t="shared" si="14"/>
        <v>23141.781785999996</v>
      </c>
      <c r="K139" s="244">
        <f t="shared" si="14"/>
        <v>19662.724482000001</v>
      </c>
      <c r="L139" s="244">
        <f t="shared" si="14"/>
        <v>19004.744849000002</v>
      </c>
      <c r="M139" s="244">
        <f t="shared" si="14"/>
        <v>18649.977337</v>
      </c>
      <c r="N139" s="244">
        <f t="shared" si="14"/>
        <v>20491.458040000005</v>
      </c>
      <c r="O139" s="244">
        <f t="shared" si="14"/>
        <v>21075.406299999995</v>
      </c>
    </row>
    <row r="140" spans="2:15">
      <c r="B140" s="243" t="s">
        <v>584</v>
      </c>
      <c r="C140" s="244"/>
      <c r="D140" s="244"/>
      <c r="E140" s="244"/>
      <c r="F140" s="244"/>
      <c r="G140" s="244"/>
      <c r="H140" s="244"/>
      <c r="I140" s="244"/>
      <c r="J140" s="244"/>
      <c r="K140" s="244"/>
      <c r="L140" s="244"/>
      <c r="M140" s="244"/>
      <c r="N140" s="244"/>
      <c r="O140" s="244"/>
    </row>
    <row r="141" spans="2:15">
      <c r="B141" s="243" t="s">
        <v>585</v>
      </c>
      <c r="C141" s="244"/>
      <c r="D141" s="244"/>
      <c r="E141" s="244"/>
      <c r="F141" s="244"/>
      <c r="G141" s="244"/>
      <c r="H141" s="244"/>
      <c r="I141" s="244"/>
      <c r="J141" s="244"/>
      <c r="K141" s="244"/>
      <c r="L141" s="244"/>
      <c r="M141" s="244"/>
      <c r="N141" s="244"/>
      <c r="O141" s="244"/>
    </row>
    <row r="142" spans="2:15">
      <c r="B142" s="243" t="s">
        <v>586</v>
      </c>
      <c r="C142" s="244"/>
      <c r="D142" s="244"/>
      <c r="E142" s="244"/>
      <c r="F142" s="244"/>
      <c r="G142" s="244"/>
      <c r="H142" s="244"/>
      <c r="I142" s="244"/>
      <c r="J142" s="244"/>
      <c r="K142" s="244"/>
      <c r="L142" s="244"/>
      <c r="M142" s="244"/>
      <c r="N142" s="244"/>
      <c r="O142" s="244"/>
    </row>
    <row r="143" spans="2:15">
      <c r="B143" s="245" t="s">
        <v>587</v>
      </c>
      <c r="C143" s="246"/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</row>
    <row r="145" spans="2:15">
      <c r="B145" s="247" t="s">
        <v>17</v>
      </c>
      <c r="C145" s="248">
        <f>SUM(C126,C132:C134,C137:C138)</f>
        <v>6232.0632507339988</v>
      </c>
      <c r="D145" s="248">
        <f t="shared" ref="D145:N145" si="15">SUM(D126,D132:D134,D137:D138)</f>
        <v>5686.4873520619985</v>
      </c>
      <c r="E145" s="248">
        <f t="shared" si="15"/>
        <v>5386.4968563779994</v>
      </c>
      <c r="F145" s="248">
        <f t="shared" si="15"/>
        <v>5900.0658755320001</v>
      </c>
      <c r="G145" s="248">
        <f t="shared" si="15"/>
        <v>7924.9592531699991</v>
      </c>
      <c r="H145" s="248">
        <f t="shared" si="15"/>
        <v>8375.1434272860006</v>
      </c>
      <c r="I145" s="248">
        <f t="shared" si="15"/>
        <v>8093.3406413500006</v>
      </c>
      <c r="J145" s="248">
        <f t="shared" si="15"/>
        <v>13173.441544056001</v>
      </c>
      <c r="K145" s="248">
        <f t="shared" si="15"/>
        <v>10420.192731246001</v>
      </c>
      <c r="L145" s="248">
        <f t="shared" si="15"/>
        <v>8344.699632324</v>
      </c>
      <c r="M145" s="248">
        <f t="shared" si="15"/>
        <v>7967.701650084</v>
      </c>
      <c r="N145" s="248">
        <f t="shared" si="15"/>
        <v>7636.057402985999</v>
      </c>
      <c r="O145" s="248">
        <f>SUM(O126,O132:O134,O137:O138)</f>
        <v>7088.2334499999997</v>
      </c>
    </row>
    <row r="146" spans="2:15">
      <c r="B146" s="245" t="s">
        <v>16</v>
      </c>
      <c r="C146" s="246">
        <f>SUM(C127:C131,C135:C136)</f>
        <v>14080.900378266</v>
      </c>
      <c r="D146" s="246">
        <f t="shared" ref="D146:O146" si="16">SUM(D127:D131,D135:D136)</f>
        <v>13345.990076938002</v>
      </c>
      <c r="E146" s="246">
        <f t="shared" si="16"/>
        <v>14806.542052622</v>
      </c>
      <c r="F146" s="246">
        <f t="shared" si="16"/>
        <v>15683.266000467998</v>
      </c>
      <c r="G146" s="246">
        <f t="shared" si="16"/>
        <v>15212.87694883</v>
      </c>
      <c r="H146" s="246">
        <f t="shared" si="16"/>
        <v>13351.687318714001</v>
      </c>
      <c r="I146" s="246">
        <f t="shared" si="16"/>
        <v>12667.832564649998</v>
      </c>
      <c r="J146" s="246">
        <f t="shared" si="16"/>
        <v>9968.3402419440008</v>
      </c>
      <c r="K146" s="246">
        <f t="shared" si="16"/>
        <v>9242.5317507540003</v>
      </c>
      <c r="L146" s="246">
        <f t="shared" si="16"/>
        <v>10660.045216675999</v>
      </c>
      <c r="M146" s="246">
        <f t="shared" si="16"/>
        <v>10682.275686915998</v>
      </c>
      <c r="N146" s="246">
        <f t="shared" si="16"/>
        <v>12855.400637014</v>
      </c>
      <c r="O146" s="246">
        <f t="shared" si="16"/>
        <v>13987.172849999999</v>
      </c>
    </row>
    <row r="148" spans="2:15">
      <c r="B148" s="247" t="s">
        <v>17</v>
      </c>
      <c r="C148" s="249">
        <f t="shared" ref="C148:N148" si="17">SUM(ROUND(C126/SUM(C145:C146)*100,1),ROUND(C132/SUM(C145:C146)*100,1),ROUND(C133/SUM(C145:C146)*100,1),ROUND(C134/SUM(C145:C146)*100,1),ROUND(C137/SUM(C145:C146)*100,1),ROUND(C138/SUM(C145:C146)*100,1))</f>
        <v>30.6</v>
      </c>
      <c r="D148" s="249">
        <f t="shared" si="17"/>
        <v>29.8</v>
      </c>
      <c r="E148" s="249">
        <f t="shared" si="17"/>
        <v>26.6</v>
      </c>
      <c r="F148" s="249">
        <f t="shared" si="17"/>
        <v>27.299999999999997</v>
      </c>
      <c r="G148" s="249">
        <f t="shared" si="17"/>
        <v>34.29999999999999</v>
      </c>
      <c r="H148" s="249">
        <f t="shared" si="17"/>
        <v>38.499999999999993</v>
      </c>
      <c r="I148" s="249">
        <f t="shared" si="17"/>
        <v>38.999999999999993</v>
      </c>
      <c r="J148" s="249">
        <f t="shared" si="17"/>
        <v>57</v>
      </c>
      <c r="K148" s="249">
        <f t="shared" si="17"/>
        <v>53</v>
      </c>
      <c r="L148" s="249">
        <f t="shared" si="17"/>
        <v>43.800000000000004</v>
      </c>
      <c r="M148" s="249">
        <f t="shared" si="17"/>
        <v>42.800000000000004</v>
      </c>
      <c r="N148" s="249">
        <f t="shared" si="17"/>
        <v>37.299999999999997</v>
      </c>
      <c r="O148" s="249">
        <f>SUM(ROUND(O126/SUM(O145:O146)*100,1),ROUND(O132/SUM(O145:O146)*100,1),ROUND(O133/SUM(O145:O146)*100,1),ROUND(O134/SUM(O145:O146)*100,1),ROUND(O137/SUM(O145:O146)*100,1),ROUND(O138/SUM(O145:O146)*100,1))</f>
        <v>33.5</v>
      </c>
    </row>
    <row r="149" spans="2:15">
      <c r="B149" s="245" t="s">
        <v>16</v>
      </c>
      <c r="C149" s="250">
        <f t="shared" ref="C149:N149" si="18">100-C148</f>
        <v>69.400000000000006</v>
      </c>
      <c r="D149" s="250">
        <f t="shared" si="18"/>
        <v>70.2</v>
      </c>
      <c r="E149" s="250">
        <f t="shared" si="18"/>
        <v>73.400000000000006</v>
      </c>
      <c r="F149" s="250">
        <f t="shared" si="18"/>
        <v>72.7</v>
      </c>
      <c r="G149" s="250">
        <f t="shared" si="18"/>
        <v>65.700000000000017</v>
      </c>
      <c r="H149" s="250">
        <f t="shared" si="18"/>
        <v>61.500000000000007</v>
      </c>
      <c r="I149" s="250">
        <f t="shared" si="18"/>
        <v>61.000000000000007</v>
      </c>
      <c r="J149" s="250">
        <f t="shared" si="18"/>
        <v>43</v>
      </c>
      <c r="K149" s="250">
        <f t="shared" si="18"/>
        <v>47</v>
      </c>
      <c r="L149" s="250">
        <f t="shared" si="18"/>
        <v>56.199999999999996</v>
      </c>
      <c r="M149" s="250">
        <f t="shared" si="18"/>
        <v>57.199999999999996</v>
      </c>
      <c r="N149" s="250">
        <f t="shared" si="18"/>
        <v>62.7</v>
      </c>
      <c r="O149" s="250">
        <f t="shared" ref="O149" si="19">100-O148</f>
        <v>66.5</v>
      </c>
    </row>
    <row r="153" spans="2:15">
      <c r="B153" s="160" t="s">
        <v>24</v>
      </c>
    </row>
    <row r="154" spans="2:15">
      <c r="B154" s="247"/>
      <c r="C154" s="247"/>
      <c r="D154" s="307" t="s">
        <v>22</v>
      </c>
      <c r="E154" s="307" t="s">
        <v>23</v>
      </c>
    </row>
    <row r="155" spans="2:15">
      <c r="B155" s="245" t="s">
        <v>592</v>
      </c>
      <c r="C155" s="245" t="s">
        <v>593</v>
      </c>
      <c r="D155" s="308"/>
      <c r="E155" s="308"/>
    </row>
    <row r="156" spans="2:15">
      <c r="B156" s="254">
        <v>43313</v>
      </c>
      <c r="C156" s="243">
        <v>1</v>
      </c>
      <c r="D156" s="255">
        <f>Dat_01!W180</f>
        <v>109.253</v>
      </c>
      <c r="E156" s="256">
        <f>Dat_01!V180</f>
        <v>14.863993769946795</v>
      </c>
    </row>
    <row r="157" spans="2:15">
      <c r="B157" s="254">
        <v>43314</v>
      </c>
      <c r="C157" s="243">
        <v>2</v>
      </c>
      <c r="D157" s="255">
        <f>Dat_01!W181</f>
        <v>94.386499999999998</v>
      </c>
      <c r="E157" s="256">
        <f>Dat_01!V181</f>
        <v>12.264547749633863</v>
      </c>
    </row>
    <row r="158" spans="2:15">
      <c r="B158" s="254">
        <v>43315</v>
      </c>
      <c r="C158" s="243">
        <v>3</v>
      </c>
      <c r="D158" s="255">
        <f>Dat_01!W182</f>
        <v>76.282399999999996</v>
      </c>
      <c r="E158" s="256">
        <f>Dat_01!V182</f>
        <v>9.5327047211396696</v>
      </c>
    </row>
    <row r="159" spans="2:15">
      <c r="B159" s="254">
        <v>43316</v>
      </c>
      <c r="C159" s="243">
        <v>4</v>
      </c>
      <c r="D159" s="255">
        <f>Dat_01!W183</f>
        <v>93.499300000000005</v>
      </c>
      <c r="E159" s="256">
        <f>Dat_01!V183</f>
        <v>13.67537031278658</v>
      </c>
    </row>
    <row r="160" spans="2:15">
      <c r="B160" s="254">
        <v>43317</v>
      </c>
      <c r="C160" s="243">
        <v>5</v>
      </c>
      <c r="D160" s="255">
        <f>Dat_01!W184</f>
        <v>80.483699999999999</v>
      </c>
      <c r="E160" s="256">
        <f>Dat_01!V184</f>
        <v>12.523844861468339</v>
      </c>
    </row>
    <row r="161" spans="2:5">
      <c r="B161" s="254">
        <v>43318</v>
      </c>
      <c r="C161" s="243">
        <v>6</v>
      </c>
      <c r="D161" s="255">
        <f>Dat_01!W185</f>
        <v>59.8992</v>
      </c>
      <c r="E161" s="256">
        <f>Dat_01!V185</f>
        <v>8.0149993550448588</v>
      </c>
    </row>
    <row r="162" spans="2:5">
      <c r="B162" s="254">
        <v>43319</v>
      </c>
      <c r="C162" s="243">
        <v>7</v>
      </c>
      <c r="D162" s="255">
        <f>Dat_01!W186</f>
        <v>99.2851</v>
      </c>
      <c r="E162" s="256">
        <f>Dat_01!V186</f>
        <v>13.189681066034955</v>
      </c>
    </row>
    <row r="163" spans="2:5">
      <c r="B163" s="254">
        <v>43320</v>
      </c>
      <c r="C163" s="243">
        <v>8</v>
      </c>
      <c r="D163" s="255">
        <f>Dat_01!W187</f>
        <v>98.385300000000001</v>
      </c>
      <c r="E163" s="256">
        <f>Dat_01!V187</f>
        <v>13.700070125875669</v>
      </c>
    </row>
    <row r="164" spans="2:5">
      <c r="B164" s="254">
        <v>43321</v>
      </c>
      <c r="C164" s="243">
        <v>9</v>
      </c>
      <c r="D164" s="255">
        <f>Dat_01!W188</f>
        <v>124.2709</v>
      </c>
      <c r="E164" s="256">
        <f>Dat_01!V188</f>
        <v>18.130451351158928</v>
      </c>
    </row>
    <row r="165" spans="2:5">
      <c r="B165" s="254">
        <v>43322</v>
      </c>
      <c r="C165" s="243">
        <v>10</v>
      </c>
      <c r="D165" s="255">
        <f>Dat_01!W189</f>
        <v>101.97439999999999</v>
      </c>
      <c r="E165" s="256">
        <f>Dat_01!V189</f>
        <v>15.458719254059918</v>
      </c>
    </row>
    <row r="166" spans="2:5">
      <c r="B166" s="254">
        <v>43323</v>
      </c>
      <c r="C166" s="243">
        <v>11</v>
      </c>
      <c r="D166" s="255">
        <f>Dat_01!W190</f>
        <v>81.158699999999996</v>
      </c>
      <c r="E166" s="256">
        <f>Dat_01!V190</f>
        <v>13.198933855140844</v>
      </c>
    </row>
    <row r="167" spans="2:5">
      <c r="B167" s="254">
        <v>43324</v>
      </c>
      <c r="C167" s="243">
        <v>12</v>
      </c>
      <c r="D167" s="255">
        <f>Dat_01!W191</f>
        <v>88.935399999999987</v>
      </c>
      <c r="E167" s="256">
        <f>Dat_01!V191</f>
        <v>14.940848383032337</v>
      </c>
    </row>
    <row r="168" spans="2:5">
      <c r="B168" s="254">
        <v>43325</v>
      </c>
      <c r="C168" s="243">
        <v>13</v>
      </c>
      <c r="D168" s="255">
        <f>Dat_01!W192</f>
        <v>74.584699999999998</v>
      </c>
      <c r="E168" s="256">
        <f>Dat_01!V192</f>
        <v>11.404302934121747</v>
      </c>
    </row>
    <row r="169" spans="2:5">
      <c r="B169" s="254">
        <v>43326</v>
      </c>
      <c r="C169" s="243">
        <v>14</v>
      </c>
      <c r="D169" s="255">
        <f>Dat_01!W193</f>
        <v>138.2928</v>
      </c>
      <c r="E169" s="256">
        <f>Dat_01!V193</f>
        <v>21.046777871881911</v>
      </c>
    </row>
    <row r="170" spans="2:5">
      <c r="B170" s="254">
        <v>43327</v>
      </c>
      <c r="C170" s="243">
        <v>15</v>
      </c>
      <c r="D170" s="255">
        <f>Dat_01!W194</f>
        <v>92.519600000000011</v>
      </c>
      <c r="E170" s="256">
        <f>Dat_01!V194</f>
        <v>15.847770305685833</v>
      </c>
    </row>
    <row r="171" spans="2:5">
      <c r="B171" s="254">
        <v>43328</v>
      </c>
      <c r="C171" s="243">
        <v>16</v>
      </c>
      <c r="D171" s="255">
        <f>Dat_01!W195</f>
        <v>77.842100000000002</v>
      </c>
      <c r="E171" s="256">
        <f>Dat_01!V195</f>
        <v>12.15224048547703</v>
      </c>
    </row>
    <row r="172" spans="2:5">
      <c r="B172" s="254">
        <v>43329</v>
      </c>
      <c r="C172" s="243">
        <v>17</v>
      </c>
      <c r="D172" s="255">
        <f>Dat_01!W196</f>
        <v>160.1414</v>
      </c>
      <c r="E172" s="256">
        <f>Dat_01!V196</f>
        <v>25.118718395026118</v>
      </c>
    </row>
    <row r="173" spans="2:5">
      <c r="B173" s="254">
        <v>43330</v>
      </c>
      <c r="C173" s="243">
        <v>18</v>
      </c>
      <c r="D173" s="255">
        <f>Dat_01!W197</f>
        <v>170.5181</v>
      </c>
      <c r="E173" s="256">
        <f>Dat_01!V197</f>
        <v>28.07141069794088</v>
      </c>
    </row>
    <row r="174" spans="2:5">
      <c r="B174" s="254">
        <v>43331</v>
      </c>
      <c r="C174" s="243">
        <v>19</v>
      </c>
      <c r="D174" s="255">
        <f>Dat_01!W198</f>
        <v>136.79259999999999</v>
      </c>
      <c r="E174" s="256">
        <f>Dat_01!V198</f>
        <v>23.841631413536646</v>
      </c>
    </row>
    <row r="175" spans="2:5">
      <c r="B175" s="254">
        <v>43332</v>
      </c>
      <c r="C175" s="243">
        <v>20</v>
      </c>
      <c r="D175" s="255">
        <f>Dat_01!W199</f>
        <v>132.4939</v>
      </c>
      <c r="E175" s="256">
        <f>Dat_01!V199</f>
        <v>19.654769223100953</v>
      </c>
    </row>
    <row r="176" spans="2:5">
      <c r="B176" s="254">
        <v>43333</v>
      </c>
      <c r="C176" s="243">
        <v>21</v>
      </c>
      <c r="D176" s="255">
        <f>Dat_01!W200</f>
        <v>85.234700000000004</v>
      </c>
      <c r="E176" s="256">
        <f>Dat_01!V200</f>
        <v>11.70768526015987</v>
      </c>
    </row>
    <row r="177" spans="2:27">
      <c r="B177" s="254">
        <v>43334</v>
      </c>
      <c r="C177" s="243">
        <v>22</v>
      </c>
      <c r="D177" s="255">
        <f>Dat_01!W201</f>
        <v>51.664999999999999</v>
      </c>
      <c r="E177" s="256">
        <f>Dat_01!V201</f>
        <v>6.9820832163233577</v>
      </c>
    </row>
    <row r="178" spans="2:27">
      <c r="B178" s="254">
        <v>43335</v>
      </c>
      <c r="C178" s="243">
        <v>23</v>
      </c>
      <c r="D178" s="255">
        <f>Dat_01!W202</f>
        <v>61.673400000000001</v>
      </c>
      <c r="E178" s="256">
        <f>Dat_01!V202</f>
        <v>8.5212324778259152</v>
      </c>
    </row>
    <row r="179" spans="2:27">
      <c r="B179" s="254">
        <v>43336</v>
      </c>
      <c r="C179" s="243">
        <v>24</v>
      </c>
      <c r="D179" s="255">
        <f>Dat_01!W203</f>
        <v>114.789</v>
      </c>
      <c r="E179" s="256">
        <f>Dat_01!V203</f>
        <v>16.665856039955429</v>
      </c>
    </row>
    <row r="180" spans="2:27">
      <c r="B180" s="254">
        <v>43337</v>
      </c>
      <c r="C180" s="243">
        <v>25</v>
      </c>
      <c r="D180" s="255">
        <f>Dat_01!W204</f>
        <v>111.28280000000001</v>
      </c>
      <c r="E180" s="256">
        <f>Dat_01!V204</f>
        <v>18.826885157705878</v>
      </c>
    </row>
    <row r="181" spans="2:27">
      <c r="B181" s="254">
        <v>43338</v>
      </c>
      <c r="C181" s="243">
        <v>26</v>
      </c>
      <c r="D181" s="255">
        <f>Dat_01!W205</f>
        <v>57.481099999999998</v>
      </c>
      <c r="E181" s="256">
        <f>Dat_01!V205</f>
        <v>10.436103871016</v>
      </c>
    </row>
    <row r="182" spans="2:27">
      <c r="B182" s="254">
        <v>43339</v>
      </c>
      <c r="C182" s="243">
        <v>27</v>
      </c>
      <c r="D182" s="255">
        <f>Dat_01!W206</f>
        <v>73.254300000000001</v>
      </c>
      <c r="E182" s="256">
        <f>Dat_01!V206</f>
        <v>10.452451130703333</v>
      </c>
    </row>
    <row r="183" spans="2:27">
      <c r="B183" s="254">
        <v>43340</v>
      </c>
      <c r="C183" s="243">
        <v>28</v>
      </c>
      <c r="D183" s="255">
        <f>Dat_01!W207</f>
        <v>119.9609</v>
      </c>
      <c r="E183" s="256">
        <f>Dat_01!V207</f>
        <v>16.012682440562237</v>
      </c>
    </row>
    <row r="184" spans="2:27">
      <c r="B184" s="254">
        <v>43341</v>
      </c>
      <c r="C184" s="243">
        <v>29</v>
      </c>
      <c r="D184" s="255">
        <f>Dat_01!W208</f>
        <v>77.518100000000004</v>
      </c>
      <c r="E184" s="256">
        <f>Dat_01!V208</f>
        <v>10.769952374581235</v>
      </c>
    </row>
    <row r="185" spans="2:27">
      <c r="B185" s="254">
        <v>43342</v>
      </c>
      <c r="C185" s="243">
        <v>30</v>
      </c>
      <c r="D185" s="255">
        <f>Dat_01!W209</f>
        <v>93.075500000000005</v>
      </c>
      <c r="E185" s="256">
        <f>Dat_01!V209</f>
        <v>12.727391071825858</v>
      </c>
    </row>
    <row r="186" spans="2:27">
      <c r="B186" s="254">
        <v>43343</v>
      </c>
      <c r="C186" s="243">
        <v>31</v>
      </c>
      <c r="D186" s="255">
        <f>Dat_01!W210</f>
        <v>119.79510000000001</v>
      </c>
      <c r="E186" s="256">
        <f>Dat_01!V210</f>
        <v>16.660076998293178</v>
      </c>
    </row>
    <row r="187" spans="2:27">
      <c r="B187" s="257"/>
      <c r="C187" s="243"/>
      <c r="D187" s="255"/>
      <c r="E187" s="255"/>
    </row>
    <row r="188" spans="2:27">
      <c r="B188" s="243"/>
      <c r="C188" s="243"/>
      <c r="D188" s="243"/>
      <c r="E188" s="243"/>
    </row>
    <row r="189" spans="2:27">
      <c r="B189" s="245" t="s">
        <v>594</v>
      </c>
      <c r="C189" s="245"/>
      <c r="D189" s="258">
        <f>MAX(D156:D186)</f>
        <v>170.5181</v>
      </c>
      <c r="E189" s="259">
        <f>VLOOKUP(D189,D156:E186,2)</f>
        <v>16.660076998293178</v>
      </c>
    </row>
    <row r="191" spans="2:27">
      <c r="B191" s="160" t="s">
        <v>595</v>
      </c>
    </row>
    <row r="192" spans="2:27">
      <c r="B192" s="260"/>
      <c r="C192" s="261">
        <v>1</v>
      </c>
      <c r="D192" s="261">
        <v>2</v>
      </c>
      <c r="E192" s="261">
        <v>3</v>
      </c>
      <c r="F192" s="261">
        <v>4</v>
      </c>
      <c r="G192" s="261">
        <v>5</v>
      </c>
      <c r="H192" s="261">
        <v>6</v>
      </c>
      <c r="I192" s="261">
        <v>7</v>
      </c>
      <c r="J192" s="261">
        <v>8</v>
      </c>
      <c r="K192" s="261">
        <v>9</v>
      </c>
      <c r="L192" s="261">
        <v>10</v>
      </c>
      <c r="M192" s="261">
        <v>11</v>
      </c>
      <c r="N192" s="261">
        <v>12</v>
      </c>
      <c r="O192" s="261">
        <v>13</v>
      </c>
      <c r="P192" s="261">
        <v>14</v>
      </c>
      <c r="Q192" s="261">
        <v>15</v>
      </c>
      <c r="R192" s="261">
        <v>16</v>
      </c>
      <c r="S192" s="261">
        <v>17</v>
      </c>
      <c r="T192" s="261">
        <v>18</v>
      </c>
      <c r="U192" s="261">
        <v>19</v>
      </c>
      <c r="V192" s="261">
        <v>20</v>
      </c>
      <c r="W192" s="261">
        <v>21</v>
      </c>
      <c r="X192" s="261">
        <v>22</v>
      </c>
      <c r="Y192" s="261">
        <v>23</v>
      </c>
      <c r="Z192" s="261">
        <v>24</v>
      </c>
      <c r="AA192" s="262" t="s">
        <v>15</v>
      </c>
    </row>
    <row r="193" spans="2:27">
      <c r="B193" s="243" t="s">
        <v>5</v>
      </c>
      <c r="C193" s="244">
        <v>9.1643000000000008</v>
      </c>
      <c r="D193" s="244">
        <v>8.7952999999999992</v>
      </c>
      <c r="E193" s="244">
        <v>8.8308</v>
      </c>
      <c r="F193" s="244">
        <v>8.5412999999999997</v>
      </c>
      <c r="G193" s="244">
        <v>8.3774999999999995</v>
      </c>
      <c r="H193" s="244">
        <v>8.2622</v>
      </c>
      <c r="I193" s="244">
        <v>8.3582999999999998</v>
      </c>
      <c r="J193" s="244">
        <v>8.2825000000000006</v>
      </c>
      <c r="K193" s="244">
        <v>7.7236000000000002</v>
      </c>
      <c r="L193" s="244">
        <v>7.4927000000000001</v>
      </c>
      <c r="M193" s="244">
        <v>7.0507</v>
      </c>
      <c r="N193" s="244">
        <v>6.7298999999999998</v>
      </c>
      <c r="O193" s="244">
        <v>5.7401</v>
      </c>
      <c r="P193" s="244">
        <v>5.3799000000000001</v>
      </c>
      <c r="Q193" s="244">
        <v>4.9191000000000003</v>
      </c>
      <c r="R193" s="244">
        <v>5.3954000000000004</v>
      </c>
      <c r="S193" s="244">
        <v>5.3757000000000001</v>
      </c>
      <c r="T193" s="244">
        <v>5.6306000000000003</v>
      </c>
      <c r="U193" s="244">
        <v>5.8331</v>
      </c>
      <c r="V193" s="244">
        <v>6.3666999999999998</v>
      </c>
      <c r="W193" s="244">
        <v>6.7653999999999996</v>
      </c>
      <c r="X193" s="244">
        <v>6.9931999999999999</v>
      </c>
      <c r="Y193" s="244">
        <v>7.2034000000000002</v>
      </c>
      <c r="Z193" s="244">
        <v>7.3064</v>
      </c>
      <c r="AA193" s="244">
        <f t="shared" ref="AA193:AA194" si="20">SUM(C193:Z193)</f>
        <v>170.5181</v>
      </c>
    </row>
    <row r="194" spans="2:27">
      <c r="B194" s="243" t="s">
        <v>10</v>
      </c>
      <c r="C194" s="244">
        <v>25.1279</v>
      </c>
      <c r="D194" s="244">
        <v>24.4297</v>
      </c>
      <c r="E194" s="244">
        <v>23.810600000000001</v>
      </c>
      <c r="F194" s="244">
        <v>23.1861</v>
      </c>
      <c r="G194" s="244">
        <v>22.812899999999999</v>
      </c>
      <c r="H194" s="244">
        <v>22.671399999999998</v>
      </c>
      <c r="I194" s="244">
        <v>22.881699999999999</v>
      </c>
      <c r="J194" s="244">
        <v>22.9634</v>
      </c>
      <c r="K194" s="244">
        <v>23.478000000000002</v>
      </c>
      <c r="L194" s="244">
        <v>24.83</v>
      </c>
      <c r="M194" s="244">
        <v>25.264600000000002</v>
      </c>
      <c r="N194" s="244">
        <v>26.226400000000002</v>
      </c>
      <c r="O194" s="244">
        <v>26.419699999999999</v>
      </c>
      <c r="P194" s="244">
        <v>26.6785</v>
      </c>
      <c r="Q194" s="244">
        <v>26.776900000000001</v>
      </c>
      <c r="R194" s="244">
        <v>26.777999999999999</v>
      </c>
      <c r="S194" s="244">
        <v>26.0596</v>
      </c>
      <c r="T194" s="244">
        <v>25.779599999999999</v>
      </c>
      <c r="U194" s="244">
        <v>26.1708</v>
      </c>
      <c r="V194" s="244">
        <v>27.240100000000002</v>
      </c>
      <c r="W194" s="244">
        <v>27.512499999999999</v>
      </c>
      <c r="X194" s="244">
        <v>27.726400000000002</v>
      </c>
      <c r="Y194" s="244">
        <v>27.232600000000001</v>
      </c>
      <c r="Z194" s="244">
        <v>25.386600000000001</v>
      </c>
      <c r="AA194" s="244">
        <f t="shared" si="20"/>
        <v>607.44400000000019</v>
      </c>
    </row>
    <row r="195" spans="2:27">
      <c r="B195" s="243"/>
      <c r="C195" s="243"/>
      <c r="D195" s="243"/>
      <c r="E195" s="243"/>
      <c r="F195" s="243"/>
      <c r="G195" s="243"/>
      <c r="H195" s="243"/>
      <c r="I195" s="243"/>
      <c r="J195" s="243"/>
      <c r="K195" s="243"/>
      <c r="L195" s="243"/>
      <c r="M195" s="243"/>
      <c r="N195" s="243"/>
      <c r="O195" s="243"/>
      <c r="P195" s="243"/>
      <c r="Q195" s="243"/>
      <c r="R195" s="243"/>
      <c r="S195" s="243"/>
      <c r="T195" s="243"/>
      <c r="U195" s="243"/>
      <c r="V195" s="243"/>
      <c r="W195" s="243"/>
      <c r="X195" s="243"/>
      <c r="Y195" s="243"/>
      <c r="Z195" s="243"/>
      <c r="AA195" s="243"/>
    </row>
    <row r="196" spans="2:27">
      <c r="B196" s="243"/>
      <c r="C196" s="243"/>
      <c r="D196" s="243"/>
      <c r="E196" s="243"/>
      <c r="F196" s="243"/>
      <c r="G196" s="243"/>
      <c r="H196" s="243"/>
      <c r="I196" s="243"/>
      <c r="J196" s="243"/>
      <c r="K196" s="243"/>
      <c r="L196" s="243"/>
      <c r="M196" s="243"/>
      <c r="N196" s="243"/>
      <c r="O196" s="243"/>
      <c r="P196" s="243"/>
      <c r="Q196" s="243"/>
      <c r="R196" s="243"/>
      <c r="S196" s="243"/>
      <c r="T196" s="243"/>
      <c r="U196" s="243"/>
      <c r="V196" s="243"/>
      <c r="W196" s="243"/>
      <c r="X196" s="243"/>
      <c r="Y196" s="243"/>
      <c r="Z196" s="243"/>
      <c r="AA196" s="243"/>
    </row>
    <row r="197" spans="2:27">
      <c r="B197" s="245" t="s">
        <v>560</v>
      </c>
      <c r="C197" s="263">
        <f>C193/C194*100</f>
        <v>36.470616326871728</v>
      </c>
      <c r="D197" s="263">
        <f t="shared" ref="D197:AA197" si="21">D193/D194*100</f>
        <v>36.002488773910443</v>
      </c>
      <c r="E197" s="263">
        <f t="shared" si="21"/>
        <v>37.087683636699623</v>
      </c>
      <c r="F197" s="263">
        <f t="shared" si="21"/>
        <v>36.838019330547176</v>
      </c>
      <c r="G197" s="263">
        <f t="shared" si="21"/>
        <v>36.722643767342163</v>
      </c>
      <c r="H197" s="263">
        <f t="shared" si="21"/>
        <v>36.443272140229546</v>
      </c>
      <c r="I197" s="263">
        <f t="shared" si="21"/>
        <v>36.528317389005188</v>
      </c>
      <c r="J197" s="263">
        <f t="shared" si="21"/>
        <v>36.068265152372909</v>
      </c>
      <c r="K197" s="263">
        <f t="shared" si="21"/>
        <v>32.897180339040801</v>
      </c>
      <c r="L197" s="263">
        <f t="shared" si="21"/>
        <v>30.175996778091026</v>
      </c>
      <c r="M197" s="263">
        <f t="shared" si="21"/>
        <v>27.90742778433064</v>
      </c>
      <c r="N197" s="263">
        <f t="shared" si="21"/>
        <v>25.660784552969524</v>
      </c>
      <c r="O197" s="263">
        <f t="shared" si="21"/>
        <v>21.726590385204979</v>
      </c>
      <c r="P197" s="263">
        <f t="shared" si="21"/>
        <v>20.165676481061528</v>
      </c>
      <c r="Q197" s="263">
        <f t="shared" si="21"/>
        <v>18.370685180136611</v>
      </c>
      <c r="R197" s="263">
        <f t="shared" si="21"/>
        <v>20.148629471954592</v>
      </c>
      <c r="S197" s="263">
        <f t="shared" si="21"/>
        <v>20.62848240187877</v>
      </c>
      <c r="T197" s="263">
        <f t="shared" si="21"/>
        <v>21.841300873558943</v>
      </c>
      <c r="U197" s="263">
        <f t="shared" si="21"/>
        <v>22.288581166796583</v>
      </c>
      <c r="V197" s="263">
        <f t="shared" si="21"/>
        <v>23.372528000998528</v>
      </c>
      <c r="W197" s="263">
        <f t="shared" si="21"/>
        <v>24.590277146751475</v>
      </c>
      <c r="X197" s="263">
        <f t="shared" si="21"/>
        <v>25.222170927347221</v>
      </c>
      <c r="Y197" s="263">
        <f t="shared" si="21"/>
        <v>26.451385471824214</v>
      </c>
      <c r="Z197" s="263">
        <f t="shared" si="21"/>
        <v>28.780537764017232</v>
      </c>
      <c r="AA197" s="263">
        <f t="shared" si="21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9"/>
  <sheetViews>
    <sheetView workbookViewId="0">
      <selection activeCell="F3" sqref="F3"/>
    </sheetView>
  </sheetViews>
  <sheetFormatPr baseColWidth="10" defaultRowHeight="12.75"/>
  <cols>
    <col min="1" max="2" width="14.7109375" customWidth="1"/>
    <col min="3" max="8" width="17.5703125" customWidth="1"/>
    <col min="9" max="10" width="7.7109375" style="228" customWidth="1"/>
    <col min="11" max="11" width="7.7109375" style="229" customWidth="1"/>
  </cols>
  <sheetData>
    <row r="1" spans="1:10">
      <c r="A1" s="194"/>
      <c r="B1" s="194" t="s">
        <v>118</v>
      </c>
      <c r="C1" s="232" t="s">
        <v>32</v>
      </c>
      <c r="D1" s="232" t="s">
        <v>33</v>
      </c>
      <c r="E1" s="232" t="s">
        <v>34</v>
      </c>
      <c r="F1" s="233" t="s">
        <v>32</v>
      </c>
      <c r="G1" s="233" t="s">
        <v>33</v>
      </c>
      <c r="H1" s="233" t="s">
        <v>34</v>
      </c>
    </row>
    <row r="2" spans="1:10">
      <c r="A2" s="194" t="s">
        <v>30</v>
      </c>
      <c r="B2" s="194" t="s">
        <v>31</v>
      </c>
      <c r="C2" s="209"/>
      <c r="D2" s="209"/>
      <c r="E2" s="209"/>
      <c r="F2" s="309" t="s">
        <v>563</v>
      </c>
      <c r="G2" s="310"/>
      <c r="H2" s="310"/>
    </row>
    <row r="3" spans="1:10">
      <c r="A3" s="227" t="s">
        <v>139</v>
      </c>
      <c r="B3" s="197" t="s">
        <v>156</v>
      </c>
      <c r="C3" s="198">
        <v>281.60138999999998</v>
      </c>
      <c r="D3" s="198">
        <v>37.907432</v>
      </c>
      <c r="E3" s="198">
        <v>37.907432</v>
      </c>
      <c r="F3" s="198">
        <v>3.8168256220002226</v>
      </c>
      <c r="G3" s="198">
        <v>18.209588883748388</v>
      </c>
      <c r="H3" s="198">
        <f>IF(F3&lt;G3,F3,G3)</f>
        <v>3.8168256220002226</v>
      </c>
      <c r="I3" s="228">
        <f>IF(DAY(B3)=1,600,"")</f>
        <v>600</v>
      </c>
      <c r="J3" s="228" t="str">
        <f>IF(DAY(B3)=15,MID(A3,1,1),"")</f>
        <v/>
      </c>
    </row>
    <row r="4" spans="1:10">
      <c r="A4" s="227" t="s">
        <v>139</v>
      </c>
      <c r="B4" s="197" t="s">
        <v>157</v>
      </c>
      <c r="C4" s="198">
        <v>17.868390999999999</v>
      </c>
      <c r="D4" s="198">
        <v>37.907432</v>
      </c>
      <c r="E4" s="198">
        <v>17.868390999999999</v>
      </c>
      <c r="F4" s="198">
        <v>1.4380734259992314</v>
      </c>
      <c r="G4" s="198">
        <v>18.209588883748388</v>
      </c>
      <c r="H4" s="198">
        <f t="shared" ref="H4:H67" si="0">IF(F4&lt;G4,F4,G4)</f>
        <v>1.4380734259992314</v>
      </c>
      <c r="I4" s="228" t="str">
        <f t="shared" ref="I4:I67" si="1">IF(DAY(B4)=1,600,"")</f>
        <v/>
      </c>
      <c r="J4" s="228" t="str">
        <f t="shared" ref="J4:J67" si="2">IF(DAY(B4)=15,MID(A4,1,1),"")</f>
        <v/>
      </c>
    </row>
    <row r="5" spans="1:10">
      <c r="A5" s="227" t="s">
        <v>139</v>
      </c>
      <c r="B5" s="197" t="s">
        <v>158</v>
      </c>
      <c r="C5" s="198">
        <v>48.049598000000003</v>
      </c>
      <c r="D5" s="198">
        <v>37.907432</v>
      </c>
      <c r="E5" s="198">
        <v>37.907432</v>
      </c>
      <c r="F5" s="198">
        <v>2.975847520000082</v>
      </c>
      <c r="G5" s="198">
        <v>18.209588883748388</v>
      </c>
      <c r="H5" s="198">
        <f t="shared" si="0"/>
        <v>2.975847520000082</v>
      </c>
      <c r="I5" s="228" t="str">
        <f t="shared" si="1"/>
        <v/>
      </c>
      <c r="J5" s="228" t="str">
        <f t="shared" si="2"/>
        <v/>
      </c>
    </row>
    <row r="6" spans="1:10">
      <c r="A6" s="227" t="s">
        <v>139</v>
      </c>
      <c r="B6" s="197" t="s">
        <v>159</v>
      </c>
      <c r="C6" s="198">
        <v>33.456347000000001</v>
      </c>
      <c r="D6" s="198">
        <v>37.907432</v>
      </c>
      <c r="E6" s="198">
        <v>33.456347000000001</v>
      </c>
      <c r="F6" s="198">
        <v>4.1446258560001583</v>
      </c>
      <c r="G6" s="198">
        <v>18.209588883748388</v>
      </c>
      <c r="H6" s="198">
        <f t="shared" si="0"/>
        <v>4.1446258560001583</v>
      </c>
      <c r="I6" s="228" t="str">
        <f t="shared" si="1"/>
        <v/>
      </c>
      <c r="J6" s="228" t="str">
        <f t="shared" si="2"/>
        <v/>
      </c>
    </row>
    <row r="7" spans="1:10">
      <c r="A7" s="227" t="s">
        <v>139</v>
      </c>
      <c r="B7" s="197" t="s">
        <v>160</v>
      </c>
      <c r="C7" s="198">
        <v>25.640377000000001</v>
      </c>
      <c r="D7" s="198">
        <v>37.907432</v>
      </c>
      <c r="E7" s="198">
        <v>25.640377000000001</v>
      </c>
      <c r="F7" s="198">
        <v>14.927450494000192</v>
      </c>
      <c r="G7" s="198">
        <v>18.209588883748388</v>
      </c>
      <c r="H7" s="198">
        <f t="shared" si="0"/>
        <v>14.927450494000192</v>
      </c>
      <c r="I7" s="228" t="str">
        <f t="shared" si="1"/>
        <v/>
      </c>
      <c r="J7" s="228" t="str">
        <f t="shared" si="2"/>
        <v/>
      </c>
    </row>
    <row r="8" spans="1:10">
      <c r="A8" s="227" t="s">
        <v>139</v>
      </c>
      <c r="B8" s="197" t="s">
        <v>161</v>
      </c>
      <c r="C8" s="198">
        <v>34.265155</v>
      </c>
      <c r="D8" s="198">
        <v>37.907432</v>
      </c>
      <c r="E8" s="198">
        <v>34.265155</v>
      </c>
      <c r="F8" s="198">
        <v>21.924414267999925</v>
      </c>
      <c r="G8" s="198">
        <v>18.209588883748388</v>
      </c>
      <c r="H8" s="198">
        <f t="shared" si="0"/>
        <v>18.209588883748388</v>
      </c>
      <c r="I8" s="228" t="str">
        <f t="shared" si="1"/>
        <v/>
      </c>
      <c r="J8" s="228" t="str">
        <f t="shared" si="2"/>
        <v/>
      </c>
    </row>
    <row r="9" spans="1:10">
      <c r="A9" s="227" t="s">
        <v>139</v>
      </c>
      <c r="B9" s="197" t="s">
        <v>162</v>
      </c>
      <c r="C9" s="198">
        <v>27.608514</v>
      </c>
      <c r="D9" s="198">
        <v>37.907432</v>
      </c>
      <c r="E9" s="198">
        <v>27.608514</v>
      </c>
      <c r="F9" s="198">
        <v>4.3516992580000657</v>
      </c>
      <c r="G9" s="198">
        <v>18.209588883748388</v>
      </c>
      <c r="H9" s="198">
        <f t="shared" si="0"/>
        <v>4.3516992580000657</v>
      </c>
      <c r="I9" s="228" t="str">
        <f t="shared" si="1"/>
        <v/>
      </c>
      <c r="J9" s="228" t="str">
        <f t="shared" si="2"/>
        <v/>
      </c>
    </row>
    <row r="10" spans="1:10">
      <c r="A10" s="227" t="s">
        <v>139</v>
      </c>
      <c r="B10" s="197" t="s">
        <v>163</v>
      </c>
      <c r="C10" s="198">
        <v>32.553691999999998</v>
      </c>
      <c r="D10" s="198">
        <v>37.907432</v>
      </c>
      <c r="E10" s="198">
        <v>32.553691999999998</v>
      </c>
      <c r="F10" s="198">
        <v>4.9573860239996579</v>
      </c>
      <c r="G10" s="198">
        <v>18.209588883748388</v>
      </c>
      <c r="H10" s="198">
        <f t="shared" si="0"/>
        <v>4.9573860239996579</v>
      </c>
      <c r="I10" s="228" t="str">
        <f t="shared" si="1"/>
        <v/>
      </c>
      <c r="J10" s="228" t="str">
        <f t="shared" si="2"/>
        <v/>
      </c>
    </row>
    <row r="11" spans="1:10">
      <c r="A11" s="227" t="s">
        <v>139</v>
      </c>
      <c r="B11" s="197" t="s">
        <v>164</v>
      </c>
      <c r="C11" s="198">
        <v>30.065242999999999</v>
      </c>
      <c r="D11" s="198">
        <v>37.907432</v>
      </c>
      <c r="E11" s="198">
        <v>30.065242999999999</v>
      </c>
      <c r="F11" s="198">
        <v>7.6060317239999868</v>
      </c>
      <c r="G11" s="198">
        <v>18.209588883748388</v>
      </c>
      <c r="H11" s="198">
        <f t="shared" si="0"/>
        <v>7.6060317239999868</v>
      </c>
      <c r="I11" s="228" t="str">
        <f t="shared" si="1"/>
        <v/>
      </c>
      <c r="J11" s="228" t="str">
        <f t="shared" si="2"/>
        <v/>
      </c>
    </row>
    <row r="12" spans="1:10">
      <c r="A12" s="227" t="s">
        <v>139</v>
      </c>
      <c r="B12" s="197" t="s">
        <v>165</v>
      </c>
      <c r="C12" s="198">
        <v>28.978148000000001</v>
      </c>
      <c r="D12" s="198">
        <v>37.907432</v>
      </c>
      <c r="E12" s="198">
        <v>28.978148000000001</v>
      </c>
      <c r="F12" s="198">
        <v>11.689617402</v>
      </c>
      <c r="G12" s="198">
        <v>18.209588883748388</v>
      </c>
      <c r="H12" s="198">
        <f t="shared" si="0"/>
        <v>11.689617402</v>
      </c>
      <c r="I12" s="228" t="str">
        <f t="shared" si="1"/>
        <v/>
      </c>
      <c r="J12" s="228" t="str">
        <f t="shared" si="2"/>
        <v/>
      </c>
    </row>
    <row r="13" spans="1:10">
      <c r="A13" s="227" t="s">
        <v>139</v>
      </c>
      <c r="B13" s="197" t="s">
        <v>166</v>
      </c>
      <c r="C13" s="198">
        <v>31.865707</v>
      </c>
      <c r="D13" s="198">
        <v>37.907432</v>
      </c>
      <c r="E13" s="198">
        <v>31.865707</v>
      </c>
      <c r="F13" s="198">
        <v>5.4022796820006693</v>
      </c>
      <c r="G13" s="198">
        <v>18.209588883748388</v>
      </c>
      <c r="H13" s="198">
        <f t="shared" si="0"/>
        <v>5.4022796820006693</v>
      </c>
      <c r="I13" s="228" t="str">
        <f t="shared" si="1"/>
        <v/>
      </c>
      <c r="J13" s="228" t="str">
        <f t="shared" si="2"/>
        <v/>
      </c>
    </row>
    <row r="14" spans="1:10">
      <c r="A14" s="227" t="s">
        <v>139</v>
      </c>
      <c r="B14" s="197" t="s">
        <v>167</v>
      </c>
      <c r="C14" s="198">
        <v>37.679257</v>
      </c>
      <c r="D14" s="198">
        <v>37.907432</v>
      </c>
      <c r="E14" s="198">
        <v>37.679257</v>
      </c>
      <c r="F14" s="198">
        <v>16.487690755999655</v>
      </c>
      <c r="G14" s="198">
        <v>18.209588883748388</v>
      </c>
      <c r="H14" s="198">
        <f t="shared" si="0"/>
        <v>16.487690755999655</v>
      </c>
      <c r="I14" s="228" t="str">
        <f t="shared" si="1"/>
        <v/>
      </c>
      <c r="J14" s="228" t="str">
        <f t="shared" si="2"/>
        <v/>
      </c>
    </row>
    <row r="15" spans="1:10">
      <c r="A15" s="227" t="s">
        <v>139</v>
      </c>
      <c r="B15" s="197" t="s">
        <v>168</v>
      </c>
      <c r="C15" s="198">
        <v>15.896443</v>
      </c>
      <c r="D15" s="198">
        <v>37.907432</v>
      </c>
      <c r="E15" s="198">
        <v>15.896443</v>
      </c>
      <c r="F15" s="198">
        <v>7.0919091539998513</v>
      </c>
      <c r="G15" s="198">
        <v>18.209588883748388</v>
      </c>
      <c r="H15" s="198">
        <f t="shared" si="0"/>
        <v>7.0919091539998513</v>
      </c>
      <c r="I15" s="228" t="str">
        <f t="shared" si="1"/>
        <v/>
      </c>
      <c r="J15" s="228" t="str">
        <f t="shared" si="2"/>
        <v/>
      </c>
    </row>
    <row r="16" spans="1:10">
      <c r="A16" s="227" t="s">
        <v>139</v>
      </c>
      <c r="B16" s="197" t="s">
        <v>169</v>
      </c>
      <c r="C16" s="198">
        <v>-253.28519900000001</v>
      </c>
      <c r="D16" s="198">
        <v>37.907432</v>
      </c>
      <c r="E16" s="198">
        <v>-253.28519900000001</v>
      </c>
      <c r="F16" s="198">
        <v>3.661566798000119</v>
      </c>
      <c r="G16" s="198">
        <v>18.209588883748388</v>
      </c>
      <c r="H16" s="198">
        <f t="shared" si="0"/>
        <v>3.661566798000119</v>
      </c>
      <c r="I16" s="228" t="str">
        <f t="shared" si="1"/>
        <v/>
      </c>
      <c r="J16" s="228" t="str">
        <f t="shared" si="2"/>
        <v/>
      </c>
    </row>
    <row r="17" spans="1:11">
      <c r="A17" s="227" t="s">
        <v>139</v>
      </c>
      <c r="B17" s="197" t="s">
        <v>170</v>
      </c>
      <c r="C17" s="198">
        <v>44.065136000000003</v>
      </c>
      <c r="D17" s="198">
        <v>37.907432</v>
      </c>
      <c r="E17" s="198">
        <v>37.907432</v>
      </c>
      <c r="F17" s="198">
        <v>10.475100337999793</v>
      </c>
      <c r="G17" s="198">
        <v>18.209588883748388</v>
      </c>
      <c r="H17" s="198">
        <f t="shared" si="0"/>
        <v>10.475100337999793</v>
      </c>
      <c r="I17" s="228" t="str">
        <f t="shared" si="1"/>
        <v/>
      </c>
      <c r="J17" s="228" t="str">
        <f t="shared" si="2"/>
        <v>A</v>
      </c>
      <c r="K17" s="229">
        <f>IF(DAY(B17)=15,G17,"")</f>
        <v>18.209588883748388</v>
      </c>
    </row>
    <row r="18" spans="1:11">
      <c r="A18" s="227" t="s">
        <v>139</v>
      </c>
      <c r="B18" s="197" t="s">
        <v>171</v>
      </c>
      <c r="C18" s="198">
        <v>34.919718000000003</v>
      </c>
      <c r="D18" s="198">
        <v>37.907432</v>
      </c>
      <c r="E18" s="198">
        <v>34.919718000000003</v>
      </c>
      <c r="F18" s="198">
        <v>3.1593870580005476</v>
      </c>
      <c r="G18" s="198">
        <v>18.209588883748388</v>
      </c>
      <c r="H18" s="198">
        <f t="shared" si="0"/>
        <v>3.1593870580005476</v>
      </c>
      <c r="I18" s="228" t="str">
        <f t="shared" si="1"/>
        <v/>
      </c>
      <c r="J18" s="228" t="str">
        <f t="shared" si="2"/>
        <v/>
      </c>
    </row>
    <row r="19" spans="1:11">
      <c r="A19" s="227" t="s">
        <v>139</v>
      </c>
      <c r="B19" s="197" t="s">
        <v>172</v>
      </c>
      <c r="C19" s="198">
        <v>33.184283000000001</v>
      </c>
      <c r="D19" s="198">
        <v>37.907432</v>
      </c>
      <c r="E19" s="198">
        <v>33.184283000000001</v>
      </c>
      <c r="F19" s="198">
        <v>0.45896479200006796</v>
      </c>
      <c r="G19" s="198">
        <v>18.209588883748388</v>
      </c>
      <c r="H19" s="198">
        <f t="shared" si="0"/>
        <v>0.45896479200006796</v>
      </c>
      <c r="I19" s="228" t="str">
        <f t="shared" si="1"/>
        <v/>
      </c>
      <c r="J19" s="228" t="str">
        <f t="shared" si="2"/>
        <v/>
      </c>
    </row>
    <row r="20" spans="1:11">
      <c r="A20" s="227" t="s">
        <v>139</v>
      </c>
      <c r="B20" s="197" t="s">
        <v>173</v>
      </c>
      <c r="C20" s="198">
        <v>27.753273</v>
      </c>
      <c r="D20" s="198">
        <v>37.907432</v>
      </c>
      <c r="E20" s="198">
        <v>27.753273</v>
      </c>
      <c r="F20" s="198">
        <v>9.4797988639998785</v>
      </c>
      <c r="G20" s="198">
        <v>18.209588883748388</v>
      </c>
      <c r="H20" s="198">
        <f t="shared" si="0"/>
        <v>9.4797988639998785</v>
      </c>
      <c r="I20" s="228" t="str">
        <f t="shared" si="1"/>
        <v/>
      </c>
      <c r="J20" s="228" t="str">
        <f t="shared" si="2"/>
        <v/>
      </c>
    </row>
    <row r="21" spans="1:11">
      <c r="A21" s="227" t="s">
        <v>139</v>
      </c>
      <c r="B21" s="197" t="s">
        <v>174</v>
      </c>
      <c r="C21" s="198">
        <v>25.255707000000001</v>
      </c>
      <c r="D21" s="198">
        <v>37.907432</v>
      </c>
      <c r="E21" s="198">
        <v>25.255707000000001</v>
      </c>
      <c r="F21" s="198">
        <v>7.8928468739995994</v>
      </c>
      <c r="G21" s="198">
        <v>18.209588883748388</v>
      </c>
      <c r="H21" s="198">
        <f t="shared" si="0"/>
        <v>7.8928468739995994</v>
      </c>
      <c r="I21" s="228" t="str">
        <f t="shared" si="1"/>
        <v/>
      </c>
      <c r="J21" s="228" t="str">
        <f t="shared" si="2"/>
        <v/>
      </c>
    </row>
    <row r="22" spans="1:11">
      <c r="A22" s="227" t="s">
        <v>139</v>
      </c>
      <c r="B22" s="197" t="s">
        <v>175</v>
      </c>
      <c r="C22" s="198">
        <v>16.417653999999999</v>
      </c>
      <c r="D22" s="198">
        <v>37.907432</v>
      </c>
      <c r="E22" s="198">
        <v>16.417653999999999</v>
      </c>
      <c r="F22" s="198">
        <v>12.568396003999778</v>
      </c>
      <c r="G22" s="198">
        <v>18.209588883748388</v>
      </c>
      <c r="H22" s="198">
        <f t="shared" si="0"/>
        <v>12.568396003999778</v>
      </c>
      <c r="I22" s="228" t="str">
        <f t="shared" si="1"/>
        <v/>
      </c>
      <c r="J22" s="228" t="str">
        <f t="shared" si="2"/>
        <v/>
      </c>
    </row>
    <row r="23" spans="1:11">
      <c r="A23" s="227" t="s">
        <v>139</v>
      </c>
      <c r="B23" s="197" t="s">
        <v>176</v>
      </c>
      <c r="C23" s="198">
        <v>300.72310499999998</v>
      </c>
      <c r="D23" s="198">
        <v>37.907432</v>
      </c>
      <c r="E23" s="198">
        <v>37.907432</v>
      </c>
      <c r="F23" s="198">
        <v>5.658252427999896</v>
      </c>
      <c r="G23" s="198">
        <v>18.209588883748388</v>
      </c>
      <c r="H23" s="198">
        <f t="shared" si="0"/>
        <v>5.658252427999896</v>
      </c>
      <c r="I23" s="228" t="str">
        <f t="shared" si="1"/>
        <v/>
      </c>
      <c r="J23" s="228" t="str">
        <f t="shared" si="2"/>
        <v/>
      </c>
    </row>
    <row r="24" spans="1:11">
      <c r="A24" s="227" t="s">
        <v>139</v>
      </c>
      <c r="B24" s="197" t="s">
        <v>177</v>
      </c>
      <c r="C24" s="198">
        <v>28.765355</v>
      </c>
      <c r="D24" s="198">
        <v>37.907432</v>
      </c>
      <c r="E24" s="198">
        <v>28.765355</v>
      </c>
      <c r="F24" s="198">
        <v>4.5894439959999778</v>
      </c>
      <c r="G24" s="198">
        <v>18.209588883748388</v>
      </c>
      <c r="H24" s="198">
        <f t="shared" si="0"/>
        <v>4.5894439959999778</v>
      </c>
      <c r="I24" s="228" t="str">
        <f t="shared" si="1"/>
        <v/>
      </c>
      <c r="J24" s="228" t="str">
        <f t="shared" si="2"/>
        <v/>
      </c>
    </row>
    <row r="25" spans="1:11">
      <c r="A25" s="227" t="s">
        <v>139</v>
      </c>
      <c r="B25" s="197" t="s">
        <v>178</v>
      </c>
      <c r="C25" s="198">
        <v>27.550809999999998</v>
      </c>
      <c r="D25" s="198">
        <v>37.907432</v>
      </c>
      <c r="E25" s="198">
        <v>27.550809999999998</v>
      </c>
      <c r="F25" s="198">
        <v>2.9210418860007135</v>
      </c>
      <c r="G25" s="198">
        <v>18.209588883748388</v>
      </c>
      <c r="H25" s="198">
        <f t="shared" si="0"/>
        <v>2.9210418860007135</v>
      </c>
      <c r="I25" s="228" t="str">
        <f t="shared" si="1"/>
        <v/>
      </c>
      <c r="J25" s="228" t="str">
        <f t="shared" si="2"/>
        <v/>
      </c>
    </row>
    <row r="26" spans="1:11">
      <c r="A26" s="227" t="s">
        <v>139</v>
      </c>
      <c r="B26" s="197" t="s">
        <v>179</v>
      </c>
      <c r="C26" s="198">
        <v>28.358052000000001</v>
      </c>
      <c r="D26" s="198">
        <v>37.907432</v>
      </c>
      <c r="E26" s="198">
        <v>28.358052000000001</v>
      </c>
      <c r="F26" s="198">
        <v>4.626087771999992</v>
      </c>
      <c r="G26" s="198">
        <v>18.209588883748388</v>
      </c>
      <c r="H26" s="198">
        <f t="shared" si="0"/>
        <v>4.626087771999992</v>
      </c>
      <c r="I26" s="228" t="str">
        <f t="shared" si="1"/>
        <v/>
      </c>
      <c r="J26" s="228" t="str">
        <f t="shared" si="2"/>
        <v/>
      </c>
    </row>
    <row r="27" spans="1:11">
      <c r="A27" s="227" t="s">
        <v>139</v>
      </c>
      <c r="B27" s="197" t="s">
        <v>180</v>
      </c>
      <c r="C27" s="198">
        <v>32.247858000000001</v>
      </c>
      <c r="D27" s="198">
        <v>37.907432</v>
      </c>
      <c r="E27" s="198">
        <v>32.247858000000001</v>
      </c>
      <c r="F27" s="198">
        <v>6.1624998199996499</v>
      </c>
      <c r="G27" s="198">
        <v>18.209588883748388</v>
      </c>
      <c r="H27" s="198">
        <f t="shared" si="0"/>
        <v>6.1624998199996499</v>
      </c>
      <c r="I27" s="228" t="str">
        <f t="shared" si="1"/>
        <v/>
      </c>
      <c r="J27" s="228" t="str">
        <f t="shared" si="2"/>
        <v/>
      </c>
    </row>
    <row r="28" spans="1:11">
      <c r="A28" s="227" t="s">
        <v>139</v>
      </c>
      <c r="B28" s="197" t="s">
        <v>181</v>
      </c>
      <c r="C28" s="198">
        <v>-7.6489320000000003</v>
      </c>
      <c r="D28" s="198">
        <v>37.907432</v>
      </c>
      <c r="E28" s="198">
        <v>-7.6489320000000003</v>
      </c>
      <c r="F28" s="198">
        <v>1.9062715880004926</v>
      </c>
      <c r="G28" s="198">
        <v>18.209588883748388</v>
      </c>
      <c r="H28" s="198">
        <f t="shared" si="0"/>
        <v>1.9062715880004926</v>
      </c>
      <c r="I28" s="228" t="str">
        <f t="shared" si="1"/>
        <v/>
      </c>
      <c r="J28" s="228" t="str">
        <f t="shared" si="2"/>
        <v/>
      </c>
    </row>
    <row r="29" spans="1:11">
      <c r="A29" s="227" t="s">
        <v>139</v>
      </c>
      <c r="B29" s="197" t="s">
        <v>182</v>
      </c>
      <c r="C29" s="198">
        <v>37.119275999999999</v>
      </c>
      <c r="D29" s="198">
        <v>37.907432</v>
      </c>
      <c r="E29" s="198">
        <v>37.119275999999999</v>
      </c>
      <c r="F29" s="198">
        <v>21.763451713999657</v>
      </c>
      <c r="G29" s="198">
        <v>18.209588883748388</v>
      </c>
      <c r="H29" s="198">
        <f t="shared" si="0"/>
        <v>18.209588883748388</v>
      </c>
      <c r="I29" s="228" t="str">
        <f t="shared" si="1"/>
        <v/>
      </c>
      <c r="J29" s="228" t="str">
        <f t="shared" si="2"/>
        <v/>
      </c>
    </row>
    <row r="30" spans="1:11">
      <c r="A30" s="227" t="s">
        <v>139</v>
      </c>
      <c r="B30" s="197" t="s">
        <v>183</v>
      </c>
      <c r="C30" s="198">
        <v>66.422178000000002</v>
      </c>
      <c r="D30" s="198">
        <v>37.907432</v>
      </c>
      <c r="E30" s="198">
        <v>37.907432</v>
      </c>
      <c r="F30" s="198">
        <v>1.9350464739997406</v>
      </c>
      <c r="G30" s="198">
        <v>18.209588883748388</v>
      </c>
      <c r="H30" s="198">
        <f t="shared" si="0"/>
        <v>1.9350464739997406</v>
      </c>
      <c r="I30" s="228" t="str">
        <f t="shared" si="1"/>
        <v/>
      </c>
      <c r="J30" s="228" t="str">
        <f t="shared" si="2"/>
        <v/>
      </c>
    </row>
    <row r="31" spans="1:11">
      <c r="A31" s="227" t="s">
        <v>139</v>
      </c>
      <c r="B31" s="197" t="s">
        <v>184</v>
      </c>
      <c r="C31" s="198">
        <v>27.563479999999998</v>
      </c>
      <c r="D31" s="198">
        <v>37.907432</v>
      </c>
      <c r="E31" s="198">
        <v>27.563479999999998</v>
      </c>
      <c r="F31" s="198">
        <v>20.435218976000037</v>
      </c>
      <c r="G31" s="198">
        <v>18.209588883748388</v>
      </c>
      <c r="H31" s="198">
        <f t="shared" si="0"/>
        <v>18.209588883748388</v>
      </c>
      <c r="I31" s="228" t="str">
        <f t="shared" si="1"/>
        <v/>
      </c>
      <c r="J31" s="228" t="str">
        <f t="shared" si="2"/>
        <v/>
      </c>
    </row>
    <row r="32" spans="1:11">
      <c r="A32" s="227" t="s">
        <v>139</v>
      </c>
      <c r="B32" s="197" t="s">
        <v>185</v>
      </c>
      <c r="C32" s="198">
        <v>31.329073000000001</v>
      </c>
      <c r="D32" s="198">
        <v>37.907432</v>
      </c>
      <c r="E32" s="198">
        <v>31.329073000000001</v>
      </c>
      <c r="F32" s="198">
        <v>17.370576209999832</v>
      </c>
      <c r="G32" s="198">
        <v>18.209588883748388</v>
      </c>
      <c r="H32" s="198">
        <f t="shared" si="0"/>
        <v>17.370576209999832</v>
      </c>
      <c r="I32" s="228" t="str">
        <f t="shared" si="1"/>
        <v/>
      </c>
      <c r="J32" s="228" t="str">
        <f t="shared" si="2"/>
        <v/>
      </c>
    </row>
    <row r="33" spans="1:11">
      <c r="A33" s="227" t="s">
        <v>139</v>
      </c>
      <c r="B33" s="197" t="s">
        <v>186</v>
      </c>
      <c r="C33" s="198">
        <v>28.861302999999999</v>
      </c>
      <c r="D33" s="198">
        <v>37.907432</v>
      </c>
      <c r="E33" s="198">
        <v>28.861302999999999</v>
      </c>
      <c r="F33" s="198">
        <v>10.939863956000016</v>
      </c>
      <c r="G33" s="198">
        <v>18.209588883748388</v>
      </c>
      <c r="H33" s="198">
        <f t="shared" si="0"/>
        <v>10.939863956000016</v>
      </c>
      <c r="I33" s="228" t="str">
        <f t="shared" si="1"/>
        <v/>
      </c>
      <c r="J33" s="228" t="str">
        <f t="shared" si="2"/>
        <v/>
      </c>
    </row>
    <row r="34" spans="1:11">
      <c r="A34" s="227" t="s">
        <v>140</v>
      </c>
      <c r="B34" s="197" t="s">
        <v>187</v>
      </c>
      <c r="C34" s="198">
        <v>31.819998999999999</v>
      </c>
      <c r="D34" s="198">
        <v>28.6516299</v>
      </c>
      <c r="E34" s="198">
        <v>28.6516299</v>
      </c>
      <c r="F34" s="198">
        <v>8.206970124000323</v>
      </c>
      <c r="G34" s="198">
        <v>23.816136999456674</v>
      </c>
      <c r="H34" s="198">
        <f t="shared" si="0"/>
        <v>8.206970124000323</v>
      </c>
      <c r="I34" s="228">
        <f t="shared" si="1"/>
        <v>600</v>
      </c>
      <c r="J34" s="228" t="str">
        <f t="shared" si="2"/>
        <v/>
      </c>
    </row>
    <row r="35" spans="1:11">
      <c r="A35" s="227" t="s">
        <v>140</v>
      </c>
      <c r="B35" s="197" t="s">
        <v>188</v>
      </c>
      <c r="C35" s="198">
        <v>33.891379000000001</v>
      </c>
      <c r="D35" s="198">
        <v>28.6516299</v>
      </c>
      <c r="E35" s="198">
        <v>28.6516299</v>
      </c>
      <c r="F35" s="198">
        <v>18.052470175999915</v>
      </c>
      <c r="G35" s="198">
        <v>23.816136999456674</v>
      </c>
      <c r="H35" s="198">
        <f t="shared" si="0"/>
        <v>18.052470175999915</v>
      </c>
      <c r="I35" s="228" t="str">
        <f t="shared" si="1"/>
        <v/>
      </c>
      <c r="J35" s="228" t="str">
        <f t="shared" si="2"/>
        <v/>
      </c>
    </row>
    <row r="36" spans="1:11">
      <c r="A36" s="227" t="s">
        <v>140</v>
      </c>
      <c r="B36" s="197" t="s">
        <v>189</v>
      </c>
      <c r="C36" s="198">
        <v>26.679590000000001</v>
      </c>
      <c r="D36" s="198">
        <v>28.6516299</v>
      </c>
      <c r="E36" s="198">
        <v>26.679590000000001</v>
      </c>
      <c r="F36" s="198">
        <v>10.010554954000334</v>
      </c>
      <c r="G36" s="198">
        <v>23.816136999456674</v>
      </c>
      <c r="H36" s="198">
        <f t="shared" si="0"/>
        <v>10.010554954000334</v>
      </c>
      <c r="I36" s="228" t="str">
        <f t="shared" si="1"/>
        <v/>
      </c>
      <c r="J36" s="228" t="str">
        <f t="shared" si="2"/>
        <v/>
      </c>
    </row>
    <row r="37" spans="1:11">
      <c r="A37" s="227" t="s">
        <v>140</v>
      </c>
      <c r="B37" s="197" t="s">
        <v>190</v>
      </c>
      <c r="C37" s="198">
        <v>28.939937</v>
      </c>
      <c r="D37" s="198">
        <v>28.6516299</v>
      </c>
      <c r="E37" s="198">
        <v>28.6516299</v>
      </c>
      <c r="F37" s="198">
        <v>12.942998063999433</v>
      </c>
      <c r="G37" s="198">
        <v>23.816136999456674</v>
      </c>
      <c r="H37" s="198">
        <f t="shared" si="0"/>
        <v>12.942998063999433</v>
      </c>
      <c r="I37" s="228" t="str">
        <f t="shared" si="1"/>
        <v/>
      </c>
      <c r="J37" s="228" t="str">
        <f t="shared" si="2"/>
        <v/>
      </c>
    </row>
    <row r="38" spans="1:11">
      <c r="A38" s="227" t="s">
        <v>140</v>
      </c>
      <c r="B38" s="197" t="s">
        <v>191</v>
      </c>
      <c r="C38" s="198">
        <v>34.017010999999997</v>
      </c>
      <c r="D38" s="198">
        <v>28.6516299</v>
      </c>
      <c r="E38" s="198">
        <v>28.6516299</v>
      </c>
      <c r="F38" s="198">
        <v>9.2383161040006758</v>
      </c>
      <c r="G38" s="198">
        <v>23.816136999456674</v>
      </c>
      <c r="H38" s="198">
        <f t="shared" si="0"/>
        <v>9.2383161040006758</v>
      </c>
      <c r="I38" s="228" t="str">
        <f t="shared" si="1"/>
        <v/>
      </c>
      <c r="J38" s="228" t="str">
        <f t="shared" si="2"/>
        <v/>
      </c>
    </row>
    <row r="39" spans="1:11">
      <c r="A39" s="227" t="s">
        <v>140</v>
      </c>
      <c r="B39" s="197" t="s">
        <v>192</v>
      </c>
      <c r="C39" s="198">
        <v>28.567889000000001</v>
      </c>
      <c r="D39" s="198">
        <v>28.6516299</v>
      </c>
      <c r="E39" s="198">
        <v>28.567889000000001</v>
      </c>
      <c r="F39" s="198">
        <v>5.956177771999533</v>
      </c>
      <c r="G39" s="198">
        <v>23.816136999456674</v>
      </c>
      <c r="H39" s="198">
        <f t="shared" si="0"/>
        <v>5.956177771999533</v>
      </c>
      <c r="I39" s="228" t="str">
        <f t="shared" si="1"/>
        <v/>
      </c>
      <c r="J39" s="228" t="str">
        <f t="shared" si="2"/>
        <v/>
      </c>
    </row>
    <row r="40" spans="1:11">
      <c r="A40" s="227" t="s">
        <v>140</v>
      </c>
      <c r="B40" s="197" t="s">
        <v>193</v>
      </c>
      <c r="C40" s="198">
        <v>-241.63312500000001</v>
      </c>
      <c r="D40" s="198">
        <v>28.6516299</v>
      </c>
      <c r="E40" s="198">
        <v>-241.63312500000001</v>
      </c>
      <c r="F40" s="198">
        <v>8.1167387440001608</v>
      </c>
      <c r="G40" s="198">
        <v>23.816136999456674</v>
      </c>
      <c r="H40" s="198">
        <f t="shared" si="0"/>
        <v>8.1167387440001608</v>
      </c>
      <c r="I40" s="228" t="str">
        <f t="shared" si="1"/>
        <v/>
      </c>
      <c r="J40" s="228" t="str">
        <f t="shared" si="2"/>
        <v/>
      </c>
    </row>
    <row r="41" spans="1:11">
      <c r="A41" s="227" t="s">
        <v>140</v>
      </c>
      <c r="B41" s="197" t="s">
        <v>194</v>
      </c>
      <c r="C41" s="198">
        <v>294.42538000000002</v>
      </c>
      <c r="D41" s="198">
        <v>28.6516299</v>
      </c>
      <c r="E41" s="198">
        <v>28.6516299</v>
      </c>
      <c r="F41" s="198">
        <v>12.103987826000184</v>
      </c>
      <c r="G41" s="198">
        <v>23.816136999456674</v>
      </c>
      <c r="H41" s="198">
        <f t="shared" si="0"/>
        <v>12.103987826000184</v>
      </c>
      <c r="I41" s="228" t="str">
        <f t="shared" si="1"/>
        <v/>
      </c>
      <c r="J41" s="228" t="str">
        <f t="shared" si="2"/>
        <v/>
      </c>
    </row>
    <row r="42" spans="1:11">
      <c r="A42" s="227" t="s">
        <v>140</v>
      </c>
      <c r="B42" s="197" t="s">
        <v>195</v>
      </c>
      <c r="C42" s="198">
        <v>24.967721000000001</v>
      </c>
      <c r="D42" s="198">
        <v>28.6516299</v>
      </c>
      <c r="E42" s="198">
        <v>24.967721000000001</v>
      </c>
      <c r="F42" s="198">
        <v>16.91100437399945</v>
      </c>
      <c r="G42" s="198">
        <v>23.816136999456674</v>
      </c>
      <c r="H42" s="198">
        <f t="shared" si="0"/>
        <v>16.91100437399945</v>
      </c>
      <c r="I42" s="228" t="str">
        <f t="shared" si="1"/>
        <v/>
      </c>
      <c r="J42" s="228" t="str">
        <f t="shared" si="2"/>
        <v/>
      </c>
    </row>
    <row r="43" spans="1:11">
      <c r="A43" s="227" t="s">
        <v>140</v>
      </c>
      <c r="B43" s="197" t="s">
        <v>196</v>
      </c>
      <c r="C43" s="198">
        <v>114.505314</v>
      </c>
      <c r="D43" s="198">
        <v>28.6516299</v>
      </c>
      <c r="E43" s="198">
        <v>28.6516299</v>
      </c>
      <c r="F43" s="198">
        <v>30.780945924000033</v>
      </c>
      <c r="G43" s="198">
        <v>23.816136999456674</v>
      </c>
      <c r="H43" s="198">
        <f t="shared" si="0"/>
        <v>23.816136999456674</v>
      </c>
      <c r="I43" s="228" t="str">
        <f t="shared" si="1"/>
        <v/>
      </c>
      <c r="J43" s="228" t="str">
        <f t="shared" si="2"/>
        <v/>
      </c>
    </row>
    <row r="44" spans="1:11">
      <c r="A44" s="227" t="s">
        <v>140</v>
      </c>
      <c r="B44" s="197" t="s">
        <v>197</v>
      </c>
      <c r="C44" s="198">
        <v>-53.726044000000002</v>
      </c>
      <c r="D44" s="198">
        <v>28.6516299</v>
      </c>
      <c r="E44" s="198">
        <v>-53.726044000000002</v>
      </c>
      <c r="F44" s="198">
        <v>9.2367546279999591</v>
      </c>
      <c r="G44" s="198">
        <v>23.816136999456674</v>
      </c>
      <c r="H44" s="198">
        <f t="shared" si="0"/>
        <v>9.2367546279999591</v>
      </c>
      <c r="I44" s="228" t="str">
        <f t="shared" si="1"/>
        <v/>
      </c>
      <c r="J44" s="228" t="str">
        <f t="shared" si="2"/>
        <v/>
      </c>
    </row>
    <row r="45" spans="1:11">
      <c r="A45" s="227" t="s">
        <v>140</v>
      </c>
      <c r="B45" s="197" t="s">
        <v>198</v>
      </c>
      <c r="C45" s="198">
        <v>26.391103999999999</v>
      </c>
      <c r="D45" s="198">
        <v>28.6516299</v>
      </c>
      <c r="E45" s="198">
        <v>26.391103999999999</v>
      </c>
      <c r="F45" s="198">
        <v>2.1625062840003837</v>
      </c>
      <c r="G45" s="198">
        <v>23.816136999456674</v>
      </c>
      <c r="H45" s="198">
        <f t="shared" si="0"/>
        <v>2.1625062840003837</v>
      </c>
      <c r="I45" s="228" t="str">
        <f t="shared" si="1"/>
        <v/>
      </c>
      <c r="J45" s="228" t="str">
        <f t="shared" si="2"/>
        <v/>
      </c>
    </row>
    <row r="46" spans="1:11">
      <c r="A46" s="227" t="s">
        <v>140</v>
      </c>
      <c r="B46" s="197" t="s">
        <v>199</v>
      </c>
      <c r="C46" s="198">
        <v>0.91768000000000005</v>
      </c>
      <c r="D46" s="198">
        <v>28.6516299</v>
      </c>
      <c r="E46" s="198">
        <v>0.91768000000000005</v>
      </c>
      <c r="F46" s="198">
        <v>1.5955005419996415</v>
      </c>
      <c r="G46" s="198">
        <v>23.816136999456674</v>
      </c>
      <c r="H46" s="198">
        <f t="shared" si="0"/>
        <v>1.5955005419996415</v>
      </c>
      <c r="I46" s="228" t="str">
        <f t="shared" si="1"/>
        <v/>
      </c>
      <c r="J46" s="228" t="str">
        <f t="shared" si="2"/>
        <v/>
      </c>
    </row>
    <row r="47" spans="1:11">
      <c r="A47" s="227" t="s">
        <v>140</v>
      </c>
      <c r="B47" s="197" t="s">
        <v>200</v>
      </c>
      <c r="C47" s="198">
        <v>37.735889999999998</v>
      </c>
      <c r="D47" s="198">
        <v>28.6516299</v>
      </c>
      <c r="E47" s="198">
        <v>28.6516299</v>
      </c>
      <c r="F47" s="198">
        <v>1.929082758000388</v>
      </c>
      <c r="G47" s="198">
        <v>23.816136999456674</v>
      </c>
      <c r="H47" s="198">
        <f t="shared" si="0"/>
        <v>1.929082758000388</v>
      </c>
      <c r="I47" s="228" t="str">
        <f t="shared" si="1"/>
        <v/>
      </c>
      <c r="J47" s="228" t="str">
        <f t="shared" si="2"/>
        <v/>
      </c>
    </row>
    <row r="48" spans="1:11">
      <c r="A48" s="227" t="s">
        <v>140</v>
      </c>
      <c r="B48" s="197" t="s">
        <v>201</v>
      </c>
      <c r="C48" s="198">
        <v>60.856391000000002</v>
      </c>
      <c r="D48" s="198">
        <v>28.6516299</v>
      </c>
      <c r="E48" s="198">
        <v>28.6516299</v>
      </c>
      <c r="F48" s="198">
        <v>1.4055502099996002</v>
      </c>
      <c r="G48" s="198">
        <v>23.816136999456674</v>
      </c>
      <c r="H48" s="198">
        <f t="shared" si="0"/>
        <v>1.4055502099996002</v>
      </c>
      <c r="I48" s="228" t="str">
        <f t="shared" si="1"/>
        <v/>
      </c>
      <c r="J48" s="228" t="str">
        <f t="shared" si="2"/>
        <v>S</v>
      </c>
      <c r="K48" s="229">
        <f>IF(DAY(B48)=15,G48,"")</f>
        <v>23.816136999456674</v>
      </c>
    </row>
    <row r="49" spans="1:10">
      <c r="A49" s="227" t="s">
        <v>140</v>
      </c>
      <c r="B49" s="197" t="s">
        <v>202</v>
      </c>
      <c r="C49" s="198">
        <v>33.416691999999998</v>
      </c>
      <c r="D49" s="198">
        <v>28.6516299</v>
      </c>
      <c r="E49" s="198">
        <v>28.6516299</v>
      </c>
      <c r="F49" s="198">
        <v>0.36852824000048984</v>
      </c>
      <c r="G49" s="198">
        <v>23.816136999456674</v>
      </c>
      <c r="H49" s="198">
        <f t="shared" si="0"/>
        <v>0.36852824000048984</v>
      </c>
      <c r="I49" s="228" t="str">
        <f t="shared" si="1"/>
        <v/>
      </c>
      <c r="J49" s="228" t="str">
        <f t="shared" si="2"/>
        <v/>
      </c>
    </row>
    <row r="50" spans="1:10">
      <c r="A50" s="227" t="s">
        <v>140</v>
      </c>
      <c r="B50" s="197" t="s">
        <v>203</v>
      </c>
      <c r="C50" s="198">
        <v>29.905958999999999</v>
      </c>
      <c r="D50" s="198">
        <v>28.6516299</v>
      </c>
      <c r="E50" s="198">
        <v>28.6516299</v>
      </c>
      <c r="F50" s="198">
        <v>12.750772416000249</v>
      </c>
      <c r="G50" s="198">
        <v>23.816136999456674</v>
      </c>
      <c r="H50" s="198">
        <f t="shared" si="0"/>
        <v>12.750772416000249</v>
      </c>
      <c r="I50" s="228" t="str">
        <f t="shared" si="1"/>
        <v/>
      </c>
      <c r="J50" s="228" t="str">
        <f t="shared" si="2"/>
        <v/>
      </c>
    </row>
    <row r="51" spans="1:10">
      <c r="A51" s="227" t="s">
        <v>140</v>
      </c>
      <c r="B51" s="197" t="s">
        <v>204</v>
      </c>
      <c r="C51" s="198">
        <v>-237.97131999999999</v>
      </c>
      <c r="D51" s="198">
        <v>28.6516299</v>
      </c>
      <c r="E51" s="198">
        <v>-237.97131999999999</v>
      </c>
      <c r="F51" s="198">
        <v>13.657197353999779</v>
      </c>
      <c r="G51" s="198">
        <v>23.816136999456674</v>
      </c>
      <c r="H51" s="198">
        <f t="shared" si="0"/>
        <v>13.657197353999779</v>
      </c>
      <c r="I51" s="228" t="str">
        <f t="shared" si="1"/>
        <v/>
      </c>
      <c r="J51" s="228" t="str">
        <f t="shared" si="2"/>
        <v/>
      </c>
    </row>
    <row r="52" spans="1:10">
      <c r="A52" s="227" t="s">
        <v>140</v>
      </c>
      <c r="B52" s="197" t="s">
        <v>205</v>
      </c>
      <c r="C52" s="198">
        <v>295.35660100000001</v>
      </c>
      <c r="D52" s="198">
        <v>28.6516299</v>
      </c>
      <c r="E52" s="198">
        <v>28.6516299</v>
      </c>
      <c r="F52" s="198">
        <v>7.8491512639997936</v>
      </c>
      <c r="G52" s="198">
        <v>23.816136999456674</v>
      </c>
      <c r="H52" s="198">
        <f t="shared" si="0"/>
        <v>7.8491512639997936</v>
      </c>
      <c r="I52" s="228" t="str">
        <f t="shared" si="1"/>
        <v/>
      </c>
      <c r="J52" s="228" t="str">
        <f t="shared" si="2"/>
        <v/>
      </c>
    </row>
    <row r="53" spans="1:10">
      <c r="A53" s="227" t="s">
        <v>140</v>
      </c>
      <c r="B53" s="197" t="s">
        <v>206</v>
      </c>
      <c r="C53" s="198">
        <v>34.976559000000002</v>
      </c>
      <c r="D53" s="198">
        <v>28.6516299</v>
      </c>
      <c r="E53" s="198">
        <v>28.6516299</v>
      </c>
      <c r="F53" s="198">
        <v>5.1132767800000929</v>
      </c>
      <c r="G53" s="198">
        <v>23.816136999456674</v>
      </c>
      <c r="H53" s="198">
        <f t="shared" si="0"/>
        <v>5.1132767800000929</v>
      </c>
      <c r="I53" s="228" t="str">
        <f t="shared" si="1"/>
        <v/>
      </c>
      <c r="J53" s="228" t="str">
        <f t="shared" si="2"/>
        <v/>
      </c>
    </row>
    <row r="54" spans="1:10">
      <c r="A54" s="227" t="s">
        <v>140</v>
      </c>
      <c r="B54" s="197" t="s">
        <v>207</v>
      </c>
      <c r="C54" s="198">
        <v>33.154980999999999</v>
      </c>
      <c r="D54" s="198">
        <v>28.6516299</v>
      </c>
      <c r="E54" s="198">
        <v>28.6516299</v>
      </c>
      <c r="F54" s="198">
        <v>9.2812838220002014</v>
      </c>
      <c r="G54" s="198">
        <v>23.816136999456674</v>
      </c>
      <c r="H54" s="198">
        <f t="shared" si="0"/>
        <v>9.2812838220002014</v>
      </c>
      <c r="I54" s="228" t="str">
        <f t="shared" si="1"/>
        <v/>
      </c>
      <c r="J54" s="228" t="str">
        <f t="shared" si="2"/>
        <v/>
      </c>
    </row>
    <row r="55" spans="1:10">
      <c r="A55" s="227" t="s">
        <v>140</v>
      </c>
      <c r="B55" s="197" t="s">
        <v>208</v>
      </c>
      <c r="C55" s="198">
        <v>-225.07448500000001</v>
      </c>
      <c r="D55" s="198">
        <v>28.6516299</v>
      </c>
      <c r="E55" s="198">
        <v>-225.07448500000001</v>
      </c>
      <c r="F55" s="198">
        <v>16.838750676000075</v>
      </c>
      <c r="G55" s="198">
        <v>23.816136999456674</v>
      </c>
      <c r="H55" s="198">
        <f t="shared" si="0"/>
        <v>16.838750676000075</v>
      </c>
      <c r="I55" s="228" t="str">
        <f t="shared" si="1"/>
        <v/>
      </c>
      <c r="J55" s="228" t="str">
        <f t="shared" si="2"/>
        <v/>
      </c>
    </row>
    <row r="56" spans="1:10">
      <c r="A56" s="227" t="s">
        <v>140</v>
      </c>
      <c r="B56" s="197" t="s">
        <v>209</v>
      </c>
      <c r="C56" s="198">
        <v>20.322901999999999</v>
      </c>
      <c r="D56" s="198">
        <v>28.6516299</v>
      </c>
      <c r="E56" s="198">
        <v>20.322901999999999</v>
      </c>
      <c r="F56" s="198">
        <v>9.4011935739992651</v>
      </c>
      <c r="G56" s="198">
        <v>23.816136999456674</v>
      </c>
      <c r="H56" s="198">
        <f t="shared" si="0"/>
        <v>9.4011935739992651</v>
      </c>
      <c r="I56" s="228" t="str">
        <f t="shared" si="1"/>
        <v/>
      </c>
      <c r="J56" s="228" t="str">
        <f t="shared" si="2"/>
        <v/>
      </c>
    </row>
    <row r="57" spans="1:10">
      <c r="A57" s="227" t="s">
        <v>140</v>
      </c>
      <c r="B57" s="197" t="s">
        <v>210</v>
      </c>
      <c r="C57" s="198">
        <v>21.735015000000001</v>
      </c>
      <c r="D57" s="198">
        <v>28.6516299</v>
      </c>
      <c r="E57" s="198">
        <v>21.735015000000001</v>
      </c>
      <c r="F57" s="198">
        <v>14.334016136000541</v>
      </c>
      <c r="G57" s="198">
        <v>23.816136999456674</v>
      </c>
      <c r="H57" s="198">
        <f t="shared" si="0"/>
        <v>14.334016136000541</v>
      </c>
      <c r="I57" s="228" t="str">
        <f t="shared" si="1"/>
        <v/>
      </c>
      <c r="J57" s="228" t="str">
        <f t="shared" si="2"/>
        <v/>
      </c>
    </row>
    <row r="58" spans="1:10">
      <c r="A58" s="227" t="s">
        <v>140</v>
      </c>
      <c r="B58" s="197" t="s">
        <v>211</v>
      </c>
      <c r="C58" s="198">
        <v>283.96651300000002</v>
      </c>
      <c r="D58" s="198">
        <v>28.6516299</v>
      </c>
      <c r="E58" s="198">
        <v>28.6516299</v>
      </c>
      <c r="F58" s="198">
        <v>6.2679970279997912</v>
      </c>
      <c r="G58" s="198">
        <v>23.816136999456674</v>
      </c>
      <c r="H58" s="198">
        <f t="shared" si="0"/>
        <v>6.2679970279997912</v>
      </c>
      <c r="I58" s="228" t="str">
        <f t="shared" si="1"/>
        <v/>
      </c>
      <c r="J58" s="228" t="str">
        <f t="shared" si="2"/>
        <v/>
      </c>
    </row>
    <row r="59" spans="1:10">
      <c r="A59" s="227" t="s">
        <v>140</v>
      </c>
      <c r="B59" s="197" t="s">
        <v>212</v>
      </c>
      <c r="C59" s="198">
        <v>26.666331</v>
      </c>
      <c r="D59" s="198">
        <v>28.6516299</v>
      </c>
      <c r="E59" s="198">
        <v>26.666331</v>
      </c>
      <c r="F59" s="198">
        <v>6.1972966640001896</v>
      </c>
      <c r="G59" s="198">
        <v>23.816136999456674</v>
      </c>
      <c r="H59" s="198">
        <f t="shared" si="0"/>
        <v>6.1972966640001896</v>
      </c>
      <c r="I59" s="228" t="str">
        <f t="shared" si="1"/>
        <v/>
      </c>
      <c r="J59" s="228" t="str">
        <f t="shared" si="2"/>
        <v/>
      </c>
    </row>
    <row r="60" spans="1:10">
      <c r="A60" s="227" t="s">
        <v>140</v>
      </c>
      <c r="B60" s="197" t="s">
        <v>213</v>
      </c>
      <c r="C60" s="198">
        <v>23.870211000000001</v>
      </c>
      <c r="D60" s="198">
        <v>28.6516299</v>
      </c>
      <c r="E60" s="198">
        <v>23.870211000000001</v>
      </c>
      <c r="F60" s="198">
        <v>2.0169837979996506</v>
      </c>
      <c r="G60" s="198">
        <v>23.816136999456674</v>
      </c>
      <c r="H60" s="198">
        <f t="shared" si="0"/>
        <v>2.0169837979996506</v>
      </c>
      <c r="I60" s="228" t="str">
        <f t="shared" si="1"/>
        <v/>
      </c>
      <c r="J60" s="228" t="str">
        <f t="shared" si="2"/>
        <v/>
      </c>
    </row>
    <row r="61" spans="1:10">
      <c r="A61" s="227" t="s">
        <v>140</v>
      </c>
      <c r="B61" s="197" t="s">
        <v>214</v>
      </c>
      <c r="C61" s="198">
        <v>23.000336000000001</v>
      </c>
      <c r="D61" s="198">
        <v>28.6516299</v>
      </c>
      <c r="E61" s="198">
        <v>23.000336000000001</v>
      </c>
      <c r="F61" s="198">
        <v>12.939576510000126</v>
      </c>
      <c r="G61" s="198">
        <v>23.816136999456674</v>
      </c>
      <c r="H61" s="198">
        <f t="shared" si="0"/>
        <v>12.939576510000126</v>
      </c>
      <c r="I61" s="228" t="str">
        <f t="shared" si="1"/>
        <v/>
      </c>
      <c r="J61" s="228" t="str">
        <f t="shared" si="2"/>
        <v/>
      </c>
    </row>
    <row r="62" spans="1:10">
      <c r="A62" s="227" t="s">
        <v>140</v>
      </c>
      <c r="B62" s="197" t="s">
        <v>215</v>
      </c>
      <c r="C62" s="198">
        <v>23.796066</v>
      </c>
      <c r="D62" s="198">
        <v>28.6516299</v>
      </c>
      <c r="E62" s="198">
        <v>23.796066</v>
      </c>
      <c r="F62" s="198">
        <v>4.2383000019998347</v>
      </c>
      <c r="G62" s="198">
        <v>23.816136999456674</v>
      </c>
      <c r="H62" s="198">
        <f t="shared" si="0"/>
        <v>4.2383000019998347</v>
      </c>
      <c r="I62" s="228" t="str">
        <f t="shared" si="1"/>
        <v/>
      </c>
      <c r="J62" s="228" t="str">
        <f t="shared" si="2"/>
        <v/>
      </c>
    </row>
    <row r="63" spans="1:10">
      <c r="A63" s="227" t="s">
        <v>140</v>
      </c>
      <c r="B63" s="197" t="s">
        <v>216</v>
      </c>
      <c r="C63" s="198">
        <v>24.070419999999999</v>
      </c>
      <c r="D63" s="198">
        <v>28.6516299</v>
      </c>
      <c r="E63" s="198">
        <v>24.070419999999999</v>
      </c>
      <c r="F63" s="198">
        <v>17.541421690000611</v>
      </c>
      <c r="G63" s="198">
        <v>23.816136999456674</v>
      </c>
      <c r="H63" s="198">
        <f t="shared" si="0"/>
        <v>17.541421690000611</v>
      </c>
      <c r="I63" s="228" t="str">
        <f t="shared" si="1"/>
        <v/>
      </c>
      <c r="J63" s="228" t="str">
        <f t="shared" si="2"/>
        <v/>
      </c>
    </row>
    <row r="64" spans="1:10">
      <c r="A64" s="227" t="s">
        <v>141</v>
      </c>
      <c r="B64" s="197" t="s">
        <v>217</v>
      </c>
      <c r="C64" s="198">
        <v>23.468454999999999</v>
      </c>
      <c r="D64" s="198">
        <v>23.518501838700001</v>
      </c>
      <c r="E64" s="198">
        <v>23.468454999999999</v>
      </c>
      <c r="F64" s="198">
        <v>18.704515311999913</v>
      </c>
      <c r="G64" s="198">
        <v>46.965055529077411</v>
      </c>
      <c r="H64" s="198">
        <f t="shared" si="0"/>
        <v>18.704515311999913</v>
      </c>
      <c r="I64" s="228">
        <f t="shared" si="1"/>
        <v>600</v>
      </c>
      <c r="J64" s="228" t="str">
        <f t="shared" si="2"/>
        <v/>
      </c>
    </row>
    <row r="65" spans="1:11">
      <c r="A65" s="227" t="s">
        <v>141</v>
      </c>
      <c r="B65" s="197" t="s">
        <v>218</v>
      </c>
      <c r="C65" s="198">
        <v>29.93224</v>
      </c>
      <c r="D65" s="198">
        <v>23.518501838700001</v>
      </c>
      <c r="E65" s="198">
        <v>23.518501838700001</v>
      </c>
      <c r="F65" s="198">
        <v>7.9476282499992852</v>
      </c>
      <c r="G65" s="198">
        <v>46.965055529077411</v>
      </c>
      <c r="H65" s="198">
        <f t="shared" si="0"/>
        <v>7.9476282499992852</v>
      </c>
      <c r="I65" s="228" t="str">
        <f t="shared" si="1"/>
        <v/>
      </c>
      <c r="J65" s="228" t="str">
        <f t="shared" si="2"/>
        <v/>
      </c>
    </row>
    <row r="66" spans="1:11">
      <c r="A66" s="227" t="s">
        <v>141</v>
      </c>
      <c r="B66" s="197" t="s">
        <v>219</v>
      </c>
      <c r="C66" s="198">
        <v>24.165962</v>
      </c>
      <c r="D66" s="198">
        <v>23.518501838700001</v>
      </c>
      <c r="E66" s="198">
        <v>23.518501838700001</v>
      </c>
      <c r="F66" s="198">
        <v>20.167072540000685</v>
      </c>
      <c r="G66" s="198">
        <v>46.965055529077411</v>
      </c>
      <c r="H66" s="198">
        <f t="shared" si="0"/>
        <v>20.167072540000685</v>
      </c>
      <c r="I66" s="228" t="str">
        <f t="shared" si="1"/>
        <v/>
      </c>
      <c r="J66" s="228" t="str">
        <f t="shared" si="2"/>
        <v/>
      </c>
    </row>
    <row r="67" spans="1:11">
      <c r="A67" s="227" t="s">
        <v>141</v>
      </c>
      <c r="B67" s="197" t="s">
        <v>220</v>
      </c>
      <c r="C67" s="198">
        <v>25.025499</v>
      </c>
      <c r="D67" s="198">
        <v>23.518501838700001</v>
      </c>
      <c r="E67" s="198">
        <v>23.518501838700001</v>
      </c>
      <c r="F67" s="198">
        <v>8.2272621300000424</v>
      </c>
      <c r="G67" s="198">
        <v>46.965055529077411</v>
      </c>
      <c r="H67" s="198">
        <f t="shared" si="0"/>
        <v>8.2272621300000424</v>
      </c>
      <c r="I67" s="228" t="str">
        <f t="shared" si="1"/>
        <v/>
      </c>
      <c r="J67" s="228" t="str">
        <f t="shared" si="2"/>
        <v/>
      </c>
    </row>
    <row r="68" spans="1:11">
      <c r="A68" s="227" t="s">
        <v>141</v>
      </c>
      <c r="B68" s="197" t="s">
        <v>221</v>
      </c>
      <c r="C68" s="198">
        <v>24.058494</v>
      </c>
      <c r="D68" s="198">
        <v>23.518501838700001</v>
      </c>
      <c r="E68" s="198">
        <v>23.518501838700001</v>
      </c>
      <c r="F68" s="198">
        <v>4.618792947999232</v>
      </c>
      <c r="G68" s="198">
        <v>46.965055529077411</v>
      </c>
      <c r="H68" s="198">
        <f t="shared" ref="H68:H131" si="3">IF(F68&lt;G68,F68,G68)</f>
        <v>4.618792947999232</v>
      </c>
      <c r="I68" s="228" t="str">
        <f t="shared" ref="I68:I131" si="4">IF(DAY(B68)=1,600,"")</f>
        <v/>
      </c>
      <c r="J68" s="228" t="str">
        <f t="shared" ref="J68:J131" si="5">IF(DAY(B68)=15,MID(A68,1,1),"")</f>
        <v/>
      </c>
    </row>
    <row r="69" spans="1:11">
      <c r="A69" s="227" t="s">
        <v>141</v>
      </c>
      <c r="B69" s="197" t="s">
        <v>222</v>
      </c>
      <c r="C69" s="198">
        <v>20.578254000000001</v>
      </c>
      <c r="D69" s="198">
        <v>23.518501838700001</v>
      </c>
      <c r="E69" s="198">
        <v>20.578254000000001</v>
      </c>
      <c r="F69" s="198">
        <v>23.979947690000003</v>
      </c>
      <c r="G69" s="198">
        <v>46.965055529077411</v>
      </c>
      <c r="H69" s="198">
        <f t="shared" si="3"/>
        <v>23.979947690000003</v>
      </c>
      <c r="I69" s="228" t="str">
        <f t="shared" si="4"/>
        <v/>
      </c>
      <c r="J69" s="228" t="str">
        <f t="shared" si="5"/>
        <v/>
      </c>
    </row>
    <row r="70" spans="1:11">
      <c r="A70" s="227" t="s">
        <v>141</v>
      </c>
      <c r="B70" s="197" t="s">
        <v>223</v>
      </c>
      <c r="C70" s="198">
        <v>19.629597</v>
      </c>
      <c r="D70" s="198">
        <v>23.518501838700001</v>
      </c>
      <c r="E70" s="198">
        <v>19.629597</v>
      </c>
      <c r="F70" s="198">
        <v>8.6178349180003195</v>
      </c>
      <c r="G70" s="198">
        <v>46.965055529077411</v>
      </c>
      <c r="H70" s="198">
        <f t="shared" si="3"/>
        <v>8.6178349180003195</v>
      </c>
      <c r="I70" s="228" t="str">
        <f t="shared" si="4"/>
        <v/>
      </c>
      <c r="J70" s="228" t="str">
        <f t="shared" si="5"/>
        <v/>
      </c>
    </row>
    <row r="71" spans="1:11">
      <c r="A71" s="227" t="s">
        <v>141</v>
      </c>
      <c r="B71" s="197" t="s">
        <v>224</v>
      </c>
      <c r="C71" s="198">
        <v>23.954650000000001</v>
      </c>
      <c r="D71" s="198">
        <v>23.518501838700001</v>
      </c>
      <c r="E71" s="198">
        <v>23.518501838700001</v>
      </c>
      <c r="F71" s="198">
        <v>11.772894552000514</v>
      </c>
      <c r="G71" s="198">
        <v>46.965055529077411</v>
      </c>
      <c r="H71" s="198">
        <f t="shared" si="3"/>
        <v>11.772894552000514</v>
      </c>
      <c r="I71" s="228" t="str">
        <f t="shared" si="4"/>
        <v/>
      </c>
      <c r="J71" s="228" t="str">
        <f t="shared" si="5"/>
        <v/>
      </c>
    </row>
    <row r="72" spans="1:11">
      <c r="A72" s="227" t="s">
        <v>141</v>
      </c>
      <c r="B72" s="197" t="s">
        <v>225</v>
      </c>
      <c r="C72" s="198">
        <v>21.337610000000002</v>
      </c>
      <c r="D72" s="198">
        <v>23.518501838700001</v>
      </c>
      <c r="E72" s="198">
        <v>21.337610000000002</v>
      </c>
      <c r="F72" s="198">
        <v>7.8747849579994647</v>
      </c>
      <c r="G72" s="198">
        <v>46.965055529077411</v>
      </c>
      <c r="H72" s="198">
        <f t="shared" si="3"/>
        <v>7.8747849579994647</v>
      </c>
      <c r="I72" s="228" t="str">
        <f t="shared" si="4"/>
        <v/>
      </c>
      <c r="J72" s="228" t="str">
        <f t="shared" si="5"/>
        <v/>
      </c>
    </row>
    <row r="73" spans="1:11">
      <c r="A73" s="227" t="s">
        <v>141</v>
      </c>
      <c r="B73" s="197" t="s">
        <v>226</v>
      </c>
      <c r="C73" s="198">
        <v>23.082363999999998</v>
      </c>
      <c r="D73" s="198">
        <v>23.518501838700001</v>
      </c>
      <c r="E73" s="198">
        <v>23.082363999999998</v>
      </c>
      <c r="F73" s="198">
        <v>13.134850287999672</v>
      </c>
      <c r="G73" s="198">
        <v>46.965055529077411</v>
      </c>
      <c r="H73" s="198">
        <f t="shared" si="3"/>
        <v>13.134850287999672</v>
      </c>
      <c r="I73" s="228" t="str">
        <f t="shared" si="4"/>
        <v/>
      </c>
      <c r="J73" s="228" t="str">
        <f t="shared" si="5"/>
        <v/>
      </c>
    </row>
    <row r="74" spans="1:11">
      <c r="A74" s="227" t="s">
        <v>141</v>
      </c>
      <c r="B74" s="197" t="s">
        <v>227</v>
      </c>
      <c r="C74" s="198">
        <v>17.462188000000001</v>
      </c>
      <c r="D74" s="198">
        <v>23.518501838700001</v>
      </c>
      <c r="E74" s="198">
        <v>17.462188000000001</v>
      </c>
      <c r="F74" s="198">
        <v>3.1997314180002765</v>
      </c>
      <c r="G74" s="198">
        <v>46.965055529077411</v>
      </c>
      <c r="H74" s="198">
        <f t="shared" si="3"/>
        <v>3.1997314180002765</v>
      </c>
      <c r="I74" s="228" t="str">
        <f t="shared" si="4"/>
        <v/>
      </c>
      <c r="J74" s="228" t="str">
        <f t="shared" si="5"/>
        <v/>
      </c>
    </row>
    <row r="75" spans="1:11">
      <c r="A75" s="227" t="s">
        <v>141</v>
      </c>
      <c r="B75" s="197" t="s">
        <v>228</v>
      </c>
      <c r="C75" s="198">
        <v>-233.56656799999999</v>
      </c>
      <c r="D75" s="198">
        <v>23.518501838700001</v>
      </c>
      <c r="E75" s="198">
        <v>-233.56656799999999</v>
      </c>
      <c r="F75" s="198">
        <v>7.489909994000441</v>
      </c>
      <c r="G75" s="198">
        <v>46.965055529077411</v>
      </c>
      <c r="H75" s="198">
        <f t="shared" si="3"/>
        <v>7.489909994000441</v>
      </c>
      <c r="I75" s="228" t="str">
        <f t="shared" si="4"/>
        <v/>
      </c>
      <c r="J75" s="228" t="str">
        <f t="shared" si="5"/>
        <v/>
      </c>
    </row>
    <row r="76" spans="1:11">
      <c r="A76" s="227" t="s">
        <v>141</v>
      </c>
      <c r="B76" s="197" t="s">
        <v>229</v>
      </c>
      <c r="C76" s="198">
        <v>20.323944999999998</v>
      </c>
      <c r="D76" s="198">
        <v>23.518501838700001</v>
      </c>
      <c r="E76" s="198">
        <v>20.323944999999998</v>
      </c>
      <c r="F76" s="198">
        <v>7.0782381979996591</v>
      </c>
      <c r="G76" s="198">
        <v>46.965055529077411</v>
      </c>
      <c r="H76" s="198">
        <f t="shared" si="3"/>
        <v>7.0782381979996591</v>
      </c>
      <c r="I76" s="228" t="str">
        <f t="shared" si="4"/>
        <v/>
      </c>
      <c r="J76" s="228" t="str">
        <f t="shared" si="5"/>
        <v/>
      </c>
    </row>
    <row r="77" spans="1:11">
      <c r="A77" s="227" t="s">
        <v>141</v>
      </c>
      <c r="B77" s="197" t="s">
        <v>230</v>
      </c>
      <c r="C77" s="198">
        <v>23.246687000000001</v>
      </c>
      <c r="D77" s="198">
        <v>23.518501838700001</v>
      </c>
      <c r="E77" s="198">
        <v>23.246687000000001</v>
      </c>
      <c r="F77" s="198">
        <v>6.2584046580004333</v>
      </c>
      <c r="G77" s="198">
        <v>46.965055529077411</v>
      </c>
      <c r="H77" s="198">
        <f t="shared" si="3"/>
        <v>6.2584046580004333</v>
      </c>
      <c r="I77" s="228" t="str">
        <f t="shared" si="4"/>
        <v/>
      </c>
      <c r="J77" s="228" t="str">
        <f t="shared" si="5"/>
        <v/>
      </c>
    </row>
    <row r="78" spans="1:11">
      <c r="A78" s="227" t="s">
        <v>141</v>
      </c>
      <c r="B78" s="197" t="s">
        <v>231</v>
      </c>
      <c r="C78" s="198">
        <v>15.690333000000001</v>
      </c>
      <c r="D78" s="198">
        <v>23.518501838700001</v>
      </c>
      <c r="E78" s="198">
        <v>15.690333000000001</v>
      </c>
      <c r="F78" s="198">
        <v>16.927156399999777</v>
      </c>
      <c r="G78" s="198">
        <v>46.965055529077411</v>
      </c>
      <c r="H78" s="198">
        <f t="shared" si="3"/>
        <v>16.927156399999777</v>
      </c>
      <c r="I78" s="228" t="str">
        <f t="shared" si="4"/>
        <v/>
      </c>
      <c r="J78" s="228" t="str">
        <f t="shared" si="5"/>
        <v>O</v>
      </c>
      <c r="K78" s="229">
        <f>IF(DAY(B78)=15,G78,"")</f>
        <v>46.965055529077411</v>
      </c>
    </row>
    <row r="79" spans="1:11">
      <c r="A79" s="227" t="s">
        <v>141</v>
      </c>
      <c r="B79" s="197" t="s">
        <v>232</v>
      </c>
      <c r="C79" s="198">
        <v>22.121397000000002</v>
      </c>
      <c r="D79" s="198">
        <v>23.518501838700001</v>
      </c>
      <c r="E79" s="198">
        <v>22.121397000000002</v>
      </c>
      <c r="F79" s="198">
        <v>8.1017168120000012</v>
      </c>
      <c r="G79" s="198">
        <v>46.965055529077411</v>
      </c>
      <c r="H79" s="198">
        <f t="shared" si="3"/>
        <v>8.1017168120000012</v>
      </c>
      <c r="I79" s="228" t="str">
        <f t="shared" si="4"/>
        <v/>
      </c>
      <c r="J79" s="228" t="str">
        <f t="shared" si="5"/>
        <v/>
      </c>
    </row>
    <row r="80" spans="1:11">
      <c r="A80" s="227" t="s">
        <v>141</v>
      </c>
      <c r="B80" s="197" t="s">
        <v>233</v>
      </c>
      <c r="C80" s="198">
        <v>289.98585500000002</v>
      </c>
      <c r="D80" s="198">
        <v>23.518501838700001</v>
      </c>
      <c r="E80" s="198">
        <v>23.518501838700001</v>
      </c>
      <c r="F80" s="198">
        <v>5.3093006480000877</v>
      </c>
      <c r="G80" s="198">
        <v>46.965055529077411</v>
      </c>
      <c r="H80" s="198">
        <f t="shared" si="3"/>
        <v>5.3093006480000877</v>
      </c>
      <c r="I80" s="228" t="str">
        <f t="shared" si="4"/>
        <v/>
      </c>
      <c r="J80" s="228" t="str">
        <f t="shared" si="5"/>
        <v/>
      </c>
    </row>
    <row r="81" spans="1:10">
      <c r="A81" s="227" t="s">
        <v>141</v>
      </c>
      <c r="B81" s="197" t="s">
        <v>234</v>
      </c>
      <c r="C81" s="198">
        <v>29.451115000000001</v>
      </c>
      <c r="D81" s="198">
        <v>23.518501838700001</v>
      </c>
      <c r="E81" s="198">
        <v>23.518501838700001</v>
      </c>
      <c r="F81" s="198">
        <v>9.2630509999999404</v>
      </c>
      <c r="G81" s="198">
        <v>46.965055529077411</v>
      </c>
      <c r="H81" s="198">
        <f t="shared" si="3"/>
        <v>9.2630509999999404</v>
      </c>
      <c r="I81" s="228" t="str">
        <f t="shared" si="4"/>
        <v/>
      </c>
      <c r="J81" s="228" t="str">
        <f t="shared" si="5"/>
        <v/>
      </c>
    </row>
    <row r="82" spans="1:10">
      <c r="A82" s="227" t="s">
        <v>141</v>
      </c>
      <c r="B82" s="197" t="s">
        <v>235</v>
      </c>
      <c r="C82" s="198">
        <v>26.563611000000002</v>
      </c>
      <c r="D82" s="198">
        <v>23.518501838700001</v>
      </c>
      <c r="E82" s="198">
        <v>23.518501838700001</v>
      </c>
      <c r="F82" s="198">
        <v>13.121949748000079</v>
      </c>
      <c r="G82" s="198">
        <v>46.965055529077411</v>
      </c>
      <c r="H82" s="198">
        <f t="shared" si="3"/>
        <v>13.121949748000079</v>
      </c>
      <c r="I82" s="228" t="str">
        <f t="shared" si="4"/>
        <v/>
      </c>
      <c r="J82" s="228" t="str">
        <f t="shared" si="5"/>
        <v/>
      </c>
    </row>
    <row r="83" spans="1:10">
      <c r="A83" s="227" t="s">
        <v>141</v>
      </c>
      <c r="B83" s="197" t="s">
        <v>236</v>
      </c>
      <c r="C83" s="198">
        <v>27.507686</v>
      </c>
      <c r="D83" s="198">
        <v>23.518501838700001</v>
      </c>
      <c r="E83" s="198">
        <v>23.518501838700001</v>
      </c>
      <c r="F83" s="198">
        <v>31.441332551999668</v>
      </c>
      <c r="G83" s="198">
        <v>46.965055529077411</v>
      </c>
      <c r="H83" s="198">
        <f t="shared" si="3"/>
        <v>31.441332551999668</v>
      </c>
      <c r="I83" s="228" t="str">
        <f t="shared" si="4"/>
        <v/>
      </c>
      <c r="J83" s="228" t="str">
        <f t="shared" si="5"/>
        <v/>
      </c>
    </row>
    <row r="84" spans="1:10">
      <c r="A84" s="227" t="s">
        <v>141</v>
      </c>
      <c r="B84" s="197" t="s">
        <v>237</v>
      </c>
      <c r="C84" s="198">
        <v>22.476239</v>
      </c>
      <c r="D84" s="198">
        <v>23.518501838700001</v>
      </c>
      <c r="E84" s="198">
        <v>22.476239</v>
      </c>
      <c r="F84" s="198">
        <v>28.556591200000469</v>
      </c>
      <c r="G84" s="198">
        <v>46.965055529077411</v>
      </c>
      <c r="H84" s="198">
        <f t="shared" si="3"/>
        <v>28.556591200000469</v>
      </c>
      <c r="I84" s="228" t="str">
        <f t="shared" si="4"/>
        <v/>
      </c>
      <c r="J84" s="228" t="str">
        <f t="shared" si="5"/>
        <v/>
      </c>
    </row>
    <row r="85" spans="1:10">
      <c r="A85" s="227" t="s">
        <v>141</v>
      </c>
      <c r="B85" s="197" t="s">
        <v>238</v>
      </c>
      <c r="C85" s="198">
        <v>27.498429999999999</v>
      </c>
      <c r="D85" s="198">
        <v>23.518501838700001</v>
      </c>
      <c r="E85" s="198">
        <v>23.518501838700001</v>
      </c>
      <c r="F85" s="198">
        <v>21.152104345999373</v>
      </c>
      <c r="G85" s="198">
        <v>46.965055529077411</v>
      </c>
      <c r="H85" s="198">
        <f t="shared" si="3"/>
        <v>21.152104345999373</v>
      </c>
      <c r="I85" s="228" t="str">
        <f t="shared" si="4"/>
        <v/>
      </c>
      <c r="J85" s="228" t="str">
        <f t="shared" si="5"/>
        <v/>
      </c>
    </row>
    <row r="86" spans="1:10">
      <c r="A86" s="227" t="s">
        <v>141</v>
      </c>
      <c r="B86" s="197" t="s">
        <v>239</v>
      </c>
      <c r="C86" s="198">
        <v>23.708155000000001</v>
      </c>
      <c r="D86" s="198">
        <v>23.518501838700001</v>
      </c>
      <c r="E86" s="198">
        <v>23.518501838700001</v>
      </c>
      <c r="F86" s="198">
        <v>13.914616522000234</v>
      </c>
      <c r="G86" s="198">
        <v>46.965055529077411</v>
      </c>
      <c r="H86" s="198">
        <f t="shared" si="3"/>
        <v>13.914616522000234</v>
      </c>
      <c r="I86" s="228" t="str">
        <f t="shared" si="4"/>
        <v/>
      </c>
      <c r="J86" s="228" t="str">
        <f t="shared" si="5"/>
        <v/>
      </c>
    </row>
    <row r="87" spans="1:10">
      <c r="A87" s="227" t="s">
        <v>141</v>
      </c>
      <c r="B87" s="197" t="s">
        <v>240</v>
      </c>
      <c r="C87" s="198">
        <v>25.827387000000002</v>
      </c>
      <c r="D87" s="198">
        <v>23.518501838700001</v>
      </c>
      <c r="E87" s="198">
        <v>23.518501838700001</v>
      </c>
      <c r="F87" s="198">
        <v>16.208384197999635</v>
      </c>
      <c r="G87" s="198">
        <v>46.965055529077411</v>
      </c>
      <c r="H87" s="198">
        <f t="shared" si="3"/>
        <v>16.208384197999635</v>
      </c>
      <c r="I87" s="228" t="str">
        <f t="shared" si="4"/>
        <v/>
      </c>
      <c r="J87" s="228" t="str">
        <f t="shared" si="5"/>
        <v/>
      </c>
    </row>
    <row r="88" spans="1:10">
      <c r="A88" s="227" t="s">
        <v>141</v>
      </c>
      <c r="B88" s="197" t="s">
        <v>241</v>
      </c>
      <c r="C88" s="198">
        <v>99.163525000000007</v>
      </c>
      <c r="D88" s="198">
        <v>23.518501838700001</v>
      </c>
      <c r="E88" s="198">
        <v>23.518501838700001</v>
      </c>
      <c r="F88" s="198">
        <v>15.650725930000466</v>
      </c>
      <c r="G88" s="198">
        <v>46.965055529077411</v>
      </c>
      <c r="H88" s="198">
        <f t="shared" si="3"/>
        <v>15.650725930000466</v>
      </c>
      <c r="I88" s="228" t="str">
        <f t="shared" si="4"/>
        <v/>
      </c>
      <c r="J88" s="228" t="str">
        <f t="shared" si="5"/>
        <v/>
      </c>
    </row>
    <row r="89" spans="1:10">
      <c r="A89" s="227" t="s">
        <v>141</v>
      </c>
      <c r="B89" s="197" t="s">
        <v>242</v>
      </c>
      <c r="C89" s="198">
        <v>-55.063718000000001</v>
      </c>
      <c r="D89" s="198">
        <v>23.518501838700001</v>
      </c>
      <c r="E89" s="198">
        <v>-55.063718000000001</v>
      </c>
      <c r="F89" s="198">
        <v>11.03848122400008</v>
      </c>
      <c r="G89" s="198">
        <v>46.965055529077411</v>
      </c>
      <c r="H89" s="198">
        <f t="shared" si="3"/>
        <v>11.03848122400008</v>
      </c>
      <c r="I89" s="228" t="str">
        <f t="shared" si="4"/>
        <v/>
      </c>
      <c r="J89" s="228" t="str">
        <f t="shared" si="5"/>
        <v/>
      </c>
    </row>
    <row r="90" spans="1:10">
      <c r="A90" s="227" t="s">
        <v>141</v>
      </c>
      <c r="B90" s="197" t="s">
        <v>243</v>
      </c>
      <c r="C90" s="198">
        <v>21.333465</v>
      </c>
      <c r="D90" s="198">
        <v>23.518501838700001</v>
      </c>
      <c r="E90" s="198">
        <v>21.333465</v>
      </c>
      <c r="F90" s="198">
        <v>13.911933183999464</v>
      </c>
      <c r="G90" s="198">
        <v>46.965055529077411</v>
      </c>
      <c r="H90" s="198">
        <f t="shared" si="3"/>
        <v>13.911933183999464</v>
      </c>
      <c r="I90" s="228" t="str">
        <f t="shared" si="4"/>
        <v/>
      </c>
      <c r="J90" s="228" t="str">
        <f t="shared" si="5"/>
        <v/>
      </c>
    </row>
    <row r="91" spans="1:10">
      <c r="A91" s="227" t="s">
        <v>141</v>
      </c>
      <c r="B91" s="197" t="s">
        <v>244</v>
      </c>
      <c r="C91" s="198">
        <v>-392.14301</v>
      </c>
      <c r="D91" s="198">
        <v>23.518501838700001</v>
      </c>
      <c r="E91" s="198">
        <v>-392.14301</v>
      </c>
      <c r="F91" s="198">
        <v>7.4580657020006473</v>
      </c>
      <c r="G91" s="198">
        <v>46.965055529077411</v>
      </c>
      <c r="H91" s="198">
        <f t="shared" si="3"/>
        <v>7.4580657020006473</v>
      </c>
      <c r="I91" s="228" t="str">
        <f t="shared" si="4"/>
        <v/>
      </c>
      <c r="J91" s="228" t="str">
        <f t="shared" si="5"/>
        <v/>
      </c>
    </row>
    <row r="92" spans="1:10">
      <c r="A92" s="227" t="s">
        <v>141</v>
      </c>
      <c r="B92" s="197" t="s">
        <v>245</v>
      </c>
      <c r="C92" s="198">
        <v>436.28166900000002</v>
      </c>
      <c r="D92" s="198">
        <v>23.518501838700001</v>
      </c>
      <c r="E92" s="198">
        <v>23.518501838700001</v>
      </c>
      <c r="F92" s="198">
        <v>31.727150849999934</v>
      </c>
      <c r="G92" s="198">
        <v>46.965055529077411</v>
      </c>
      <c r="H92" s="198">
        <f t="shared" si="3"/>
        <v>31.727150849999934</v>
      </c>
      <c r="I92" s="228" t="str">
        <f t="shared" si="4"/>
        <v/>
      </c>
      <c r="J92" s="228" t="str">
        <f t="shared" si="5"/>
        <v/>
      </c>
    </row>
    <row r="93" spans="1:10">
      <c r="A93" s="227" t="s">
        <v>141</v>
      </c>
      <c r="B93" s="197" t="s">
        <v>246</v>
      </c>
      <c r="C93" s="198">
        <v>21.485786999999998</v>
      </c>
      <c r="D93" s="198">
        <v>23.518501838700001</v>
      </c>
      <c r="E93" s="198">
        <v>21.485786999999998</v>
      </c>
      <c r="F93" s="198">
        <v>9.2012166319993884</v>
      </c>
      <c r="G93" s="198">
        <v>46.965055529077411</v>
      </c>
      <c r="H93" s="198">
        <f t="shared" si="3"/>
        <v>9.2012166319993884</v>
      </c>
      <c r="I93" s="228" t="str">
        <f t="shared" si="4"/>
        <v/>
      </c>
      <c r="J93" s="228" t="str">
        <f t="shared" si="5"/>
        <v/>
      </c>
    </row>
    <row r="94" spans="1:10">
      <c r="A94" s="227" t="s">
        <v>141</v>
      </c>
      <c r="B94" s="197" t="s">
        <v>247</v>
      </c>
      <c r="C94" s="198">
        <v>24.486253999999999</v>
      </c>
      <c r="D94" s="198">
        <v>23.518501838700001</v>
      </c>
      <c r="E94" s="198">
        <v>23.518501838700001</v>
      </c>
      <c r="F94" s="198">
        <v>8.7855625760004763</v>
      </c>
      <c r="G94" s="198">
        <v>46.965055529077411</v>
      </c>
      <c r="H94" s="198">
        <f t="shared" si="3"/>
        <v>8.7855625760004763</v>
      </c>
      <c r="I94" s="228" t="str">
        <f t="shared" si="4"/>
        <v/>
      </c>
      <c r="J94" s="228" t="str">
        <f t="shared" si="5"/>
        <v/>
      </c>
    </row>
    <row r="95" spans="1:10">
      <c r="A95" s="227" t="s">
        <v>142</v>
      </c>
      <c r="B95" s="197" t="s">
        <v>248</v>
      </c>
      <c r="C95" s="198">
        <v>25.894552000000001</v>
      </c>
      <c r="D95" s="198">
        <v>77.2379818</v>
      </c>
      <c r="E95" s="198">
        <v>25.894552000000001</v>
      </c>
      <c r="F95" s="198">
        <v>8.2103473059999565</v>
      </c>
      <c r="G95" s="198">
        <v>89.734800765303333</v>
      </c>
      <c r="H95" s="198">
        <f t="shared" si="3"/>
        <v>8.2103473059999565</v>
      </c>
      <c r="I95" s="228">
        <f t="shared" si="4"/>
        <v>600</v>
      </c>
      <c r="J95" s="228" t="str">
        <f t="shared" si="5"/>
        <v/>
      </c>
    </row>
    <row r="96" spans="1:10">
      <c r="A96" s="227" t="s">
        <v>142</v>
      </c>
      <c r="B96" s="197" t="s">
        <v>249</v>
      </c>
      <c r="C96" s="198">
        <v>27.594429000000002</v>
      </c>
      <c r="D96" s="198">
        <v>77.2379818</v>
      </c>
      <c r="E96" s="198">
        <v>27.594429000000002</v>
      </c>
      <c r="F96" s="198">
        <v>9.3651794860003115</v>
      </c>
      <c r="G96" s="198">
        <v>89.734800765303333</v>
      </c>
      <c r="H96" s="198">
        <f t="shared" si="3"/>
        <v>9.3651794860003115</v>
      </c>
      <c r="I96" s="228" t="str">
        <f t="shared" si="4"/>
        <v/>
      </c>
      <c r="J96" s="228" t="str">
        <f t="shared" si="5"/>
        <v/>
      </c>
    </row>
    <row r="97" spans="1:11">
      <c r="A97" s="227" t="s">
        <v>142</v>
      </c>
      <c r="B97" s="197" t="s">
        <v>250</v>
      </c>
      <c r="C97" s="198">
        <v>30.959394</v>
      </c>
      <c r="D97" s="198">
        <v>77.2379818</v>
      </c>
      <c r="E97" s="198">
        <v>30.959394</v>
      </c>
      <c r="F97" s="198">
        <v>14.113379666000116</v>
      </c>
      <c r="G97" s="198">
        <v>89.734800765303333</v>
      </c>
      <c r="H97" s="198">
        <f t="shared" si="3"/>
        <v>14.113379666000116</v>
      </c>
      <c r="I97" s="228" t="str">
        <f t="shared" si="4"/>
        <v/>
      </c>
      <c r="J97" s="228" t="str">
        <f t="shared" si="5"/>
        <v/>
      </c>
    </row>
    <row r="98" spans="1:11">
      <c r="A98" s="227" t="s">
        <v>142</v>
      </c>
      <c r="B98" s="197" t="s">
        <v>251</v>
      </c>
      <c r="C98" s="198">
        <v>17.013733999999999</v>
      </c>
      <c r="D98" s="198">
        <v>77.2379818</v>
      </c>
      <c r="E98" s="198">
        <v>17.013733999999999</v>
      </c>
      <c r="F98" s="198">
        <v>9.9491037799998292</v>
      </c>
      <c r="G98" s="198">
        <v>89.734800765303333</v>
      </c>
      <c r="H98" s="198">
        <f t="shared" si="3"/>
        <v>9.9491037799998292</v>
      </c>
      <c r="I98" s="228" t="str">
        <f t="shared" si="4"/>
        <v/>
      </c>
      <c r="J98" s="228" t="str">
        <f t="shared" si="5"/>
        <v/>
      </c>
    </row>
    <row r="99" spans="1:11">
      <c r="A99" s="227" t="s">
        <v>142</v>
      </c>
      <c r="B99" s="197" t="s">
        <v>252</v>
      </c>
      <c r="C99" s="198">
        <v>20.287447</v>
      </c>
      <c r="D99" s="198">
        <v>77.2379818</v>
      </c>
      <c r="E99" s="198">
        <v>20.287447</v>
      </c>
      <c r="F99" s="198">
        <v>28.843987403999993</v>
      </c>
      <c r="G99" s="198">
        <v>89.734800765303333</v>
      </c>
      <c r="H99" s="198">
        <f t="shared" si="3"/>
        <v>28.843987403999993</v>
      </c>
      <c r="I99" s="228" t="str">
        <f t="shared" si="4"/>
        <v/>
      </c>
      <c r="J99" s="228" t="str">
        <f t="shared" si="5"/>
        <v/>
      </c>
    </row>
    <row r="100" spans="1:11">
      <c r="A100" s="227" t="s">
        <v>142</v>
      </c>
      <c r="B100" s="197" t="s">
        <v>253</v>
      </c>
      <c r="C100" s="198">
        <v>28.131744999999999</v>
      </c>
      <c r="D100" s="198">
        <v>77.2379818</v>
      </c>
      <c r="E100" s="198">
        <v>28.131744999999999</v>
      </c>
      <c r="F100" s="198">
        <v>25.576473809999584</v>
      </c>
      <c r="G100" s="198">
        <v>89.734800765303333</v>
      </c>
      <c r="H100" s="198">
        <f t="shared" si="3"/>
        <v>25.576473809999584</v>
      </c>
      <c r="I100" s="228" t="str">
        <f t="shared" si="4"/>
        <v/>
      </c>
      <c r="J100" s="228" t="str">
        <f t="shared" si="5"/>
        <v/>
      </c>
    </row>
    <row r="101" spans="1:11">
      <c r="A101" s="227" t="s">
        <v>142</v>
      </c>
      <c r="B101" s="197" t="s">
        <v>254</v>
      </c>
      <c r="C101" s="198">
        <v>28.181186</v>
      </c>
      <c r="D101" s="198">
        <v>77.2379818</v>
      </c>
      <c r="E101" s="198">
        <v>28.181186</v>
      </c>
      <c r="F101" s="198">
        <v>15.436841493999896</v>
      </c>
      <c r="G101" s="198">
        <v>89.734800765303333</v>
      </c>
      <c r="H101" s="198">
        <f t="shared" si="3"/>
        <v>15.436841493999896</v>
      </c>
      <c r="I101" s="228" t="str">
        <f t="shared" si="4"/>
        <v/>
      </c>
      <c r="J101" s="228" t="str">
        <f t="shared" si="5"/>
        <v/>
      </c>
    </row>
    <row r="102" spans="1:11">
      <c r="A102" s="227" t="s">
        <v>142</v>
      </c>
      <c r="B102" s="197" t="s">
        <v>255</v>
      </c>
      <c r="C102" s="198">
        <v>31.255285000000001</v>
      </c>
      <c r="D102" s="198">
        <v>77.2379818</v>
      </c>
      <c r="E102" s="198">
        <v>31.255285000000001</v>
      </c>
      <c r="F102" s="198">
        <v>2.1950885600001566</v>
      </c>
      <c r="G102" s="198">
        <v>89.734800765303333</v>
      </c>
      <c r="H102" s="198">
        <f t="shared" si="3"/>
        <v>2.1950885600001566</v>
      </c>
      <c r="I102" s="228" t="str">
        <f t="shared" si="4"/>
        <v/>
      </c>
      <c r="J102" s="228" t="str">
        <f t="shared" si="5"/>
        <v/>
      </c>
    </row>
    <row r="103" spans="1:11">
      <c r="A103" s="227" t="s">
        <v>142</v>
      </c>
      <c r="B103" s="197" t="s">
        <v>256</v>
      </c>
      <c r="C103" s="198">
        <v>31.743655</v>
      </c>
      <c r="D103" s="198">
        <v>77.2379818</v>
      </c>
      <c r="E103" s="198">
        <v>31.743655</v>
      </c>
      <c r="F103" s="198">
        <v>10.758405394000391</v>
      </c>
      <c r="G103" s="198">
        <v>89.734800765303333</v>
      </c>
      <c r="H103" s="198">
        <f t="shared" si="3"/>
        <v>10.758405394000391</v>
      </c>
      <c r="I103" s="228" t="str">
        <f t="shared" si="4"/>
        <v/>
      </c>
      <c r="J103" s="228" t="str">
        <f t="shared" si="5"/>
        <v/>
      </c>
    </row>
    <row r="104" spans="1:11">
      <c r="A104" s="227" t="s">
        <v>142</v>
      </c>
      <c r="B104" s="197" t="s">
        <v>257</v>
      </c>
      <c r="C104" s="198">
        <v>23.378070000000001</v>
      </c>
      <c r="D104" s="198">
        <v>77.2379818</v>
      </c>
      <c r="E104" s="198">
        <v>23.378070000000001</v>
      </c>
      <c r="F104" s="198">
        <v>27.18471618199926</v>
      </c>
      <c r="G104" s="198">
        <v>89.734800765303333</v>
      </c>
      <c r="H104" s="198">
        <f t="shared" si="3"/>
        <v>27.18471618199926</v>
      </c>
      <c r="I104" s="228" t="str">
        <f t="shared" si="4"/>
        <v/>
      </c>
      <c r="J104" s="228" t="str">
        <f t="shared" si="5"/>
        <v/>
      </c>
    </row>
    <row r="105" spans="1:11">
      <c r="A105" s="227" t="s">
        <v>142</v>
      </c>
      <c r="B105" s="197" t="s">
        <v>258</v>
      </c>
      <c r="C105" s="198">
        <v>24.453742999999999</v>
      </c>
      <c r="D105" s="198">
        <v>77.2379818</v>
      </c>
      <c r="E105" s="198">
        <v>24.453742999999999</v>
      </c>
      <c r="F105" s="198">
        <v>21.372766288000523</v>
      </c>
      <c r="G105" s="198">
        <v>89.734800765303333</v>
      </c>
      <c r="H105" s="198">
        <f t="shared" si="3"/>
        <v>21.372766288000523</v>
      </c>
      <c r="I105" s="228" t="str">
        <f t="shared" si="4"/>
        <v/>
      </c>
      <c r="J105" s="228" t="str">
        <f t="shared" si="5"/>
        <v/>
      </c>
    </row>
    <row r="106" spans="1:11">
      <c r="A106" s="227" t="s">
        <v>142</v>
      </c>
      <c r="B106" s="197" t="s">
        <v>259</v>
      </c>
      <c r="C106" s="198">
        <v>31.560797000000001</v>
      </c>
      <c r="D106" s="198">
        <v>77.2379818</v>
      </c>
      <c r="E106" s="198">
        <v>31.560797000000001</v>
      </c>
      <c r="F106" s="198">
        <v>33.457879177999544</v>
      </c>
      <c r="G106" s="198">
        <v>89.734800765303333</v>
      </c>
      <c r="H106" s="198">
        <f t="shared" si="3"/>
        <v>33.457879177999544</v>
      </c>
      <c r="I106" s="228" t="str">
        <f t="shared" si="4"/>
        <v/>
      </c>
      <c r="J106" s="228" t="str">
        <f t="shared" si="5"/>
        <v/>
      </c>
    </row>
    <row r="107" spans="1:11">
      <c r="A107" s="227" t="s">
        <v>142</v>
      </c>
      <c r="B107" s="197" t="s">
        <v>260</v>
      </c>
      <c r="C107" s="198">
        <v>26.268447999999999</v>
      </c>
      <c r="D107" s="198">
        <v>77.2379818</v>
      </c>
      <c r="E107" s="198">
        <v>26.268447999999999</v>
      </c>
      <c r="F107" s="198">
        <v>32.093920494000201</v>
      </c>
      <c r="G107" s="198">
        <v>89.734800765303333</v>
      </c>
      <c r="H107" s="198">
        <f t="shared" si="3"/>
        <v>32.093920494000201</v>
      </c>
      <c r="I107" s="228" t="str">
        <f t="shared" si="4"/>
        <v/>
      </c>
      <c r="J107" s="228" t="str">
        <f t="shared" si="5"/>
        <v/>
      </c>
    </row>
    <row r="108" spans="1:11">
      <c r="A108" s="227" t="s">
        <v>142</v>
      </c>
      <c r="B108" s="197" t="s">
        <v>261</v>
      </c>
      <c r="C108" s="198">
        <v>24.86758</v>
      </c>
      <c r="D108" s="198">
        <v>77.2379818</v>
      </c>
      <c r="E108" s="198">
        <v>24.86758</v>
      </c>
      <c r="F108" s="198">
        <v>18.139776781999796</v>
      </c>
      <c r="G108" s="198">
        <v>89.734800765303333</v>
      </c>
      <c r="H108" s="198">
        <f t="shared" si="3"/>
        <v>18.139776781999796</v>
      </c>
      <c r="I108" s="228" t="str">
        <f t="shared" si="4"/>
        <v/>
      </c>
      <c r="J108" s="228" t="str">
        <f t="shared" si="5"/>
        <v/>
      </c>
    </row>
    <row r="109" spans="1:11">
      <c r="A109" s="227" t="s">
        <v>142</v>
      </c>
      <c r="B109" s="197" t="s">
        <v>262</v>
      </c>
      <c r="C109" s="198">
        <v>38.958146999999997</v>
      </c>
      <c r="D109" s="198">
        <v>77.2379818</v>
      </c>
      <c r="E109" s="198">
        <v>38.958146999999997</v>
      </c>
      <c r="F109" s="198">
        <v>7.7859623420007376</v>
      </c>
      <c r="G109" s="198">
        <v>89.734800765303333</v>
      </c>
      <c r="H109" s="198">
        <f t="shared" si="3"/>
        <v>7.7859623420007376</v>
      </c>
      <c r="I109" s="228" t="str">
        <f t="shared" si="4"/>
        <v/>
      </c>
      <c r="J109" s="228" t="str">
        <f t="shared" si="5"/>
        <v>N</v>
      </c>
      <c r="K109" s="229">
        <f>IF(DAY(B109)=15,G109,"")</f>
        <v>89.734800765303333</v>
      </c>
    </row>
    <row r="110" spans="1:11">
      <c r="A110" s="227" t="s">
        <v>142</v>
      </c>
      <c r="B110" s="197" t="s">
        <v>263</v>
      </c>
      <c r="C110" s="198">
        <v>37.271239999999999</v>
      </c>
      <c r="D110" s="198">
        <v>77.2379818</v>
      </c>
      <c r="E110" s="198">
        <v>37.271239999999999</v>
      </c>
      <c r="F110" s="198">
        <v>14.535573775999961</v>
      </c>
      <c r="G110" s="198">
        <v>89.734800765303333</v>
      </c>
      <c r="H110" s="198">
        <f t="shared" si="3"/>
        <v>14.535573775999961</v>
      </c>
      <c r="I110" s="228" t="str">
        <f t="shared" si="4"/>
        <v/>
      </c>
      <c r="J110" s="228" t="str">
        <f t="shared" si="5"/>
        <v/>
      </c>
    </row>
    <row r="111" spans="1:11">
      <c r="A111" s="227" t="s">
        <v>142</v>
      </c>
      <c r="B111" s="197" t="s">
        <v>264</v>
      </c>
      <c r="C111" s="198">
        <v>30.655460999999999</v>
      </c>
      <c r="D111" s="198">
        <v>77.2379818</v>
      </c>
      <c r="E111" s="198">
        <v>30.655460999999999</v>
      </c>
      <c r="F111" s="198">
        <v>12.580275401999382</v>
      </c>
      <c r="G111" s="198">
        <v>89.734800765303333</v>
      </c>
      <c r="H111" s="198">
        <f t="shared" si="3"/>
        <v>12.580275401999382</v>
      </c>
      <c r="I111" s="228" t="str">
        <f t="shared" si="4"/>
        <v/>
      </c>
      <c r="J111" s="228" t="str">
        <f t="shared" si="5"/>
        <v/>
      </c>
    </row>
    <row r="112" spans="1:11">
      <c r="A112" s="227" t="s">
        <v>142</v>
      </c>
      <c r="B112" s="197" t="s">
        <v>265</v>
      </c>
      <c r="C112" s="198">
        <v>29.608066999999998</v>
      </c>
      <c r="D112" s="198">
        <v>77.2379818</v>
      </c>
      <c r="E112" s="198">
        <v>29.608066999999998</v>
      </c>
      <c r="F112" s="198">
        <v>33.068154081999971</v>
      </c>
      <c r="G112" s="198">
        <v>89.734800765303333</v>
      </c>
      <c r="H112" s="198">
        <f t="shared" si="3"/>
        <v>33.068154081999971</v>
      </c>
      <c r="I112" s="228" t="str">
        <f t="shared" si="4"/>
        <v/>
      </c>
      <c r="J112" s="228" t="str">
        <f t="shared" si="5"/>
        <v/>
      </c>
    </row>
    <row r="113" spans="1:10">
      <c r="A113" s="227" t="s">
        <v>142</v>
      </c>
      <c r="B113" s="197" t="s">
        <v>266</v>
      </c>
      <c r="C113" s="198">
        <v>29.318442999999998</v>
      </c>
      <c r="D113" s="198">
        <v>77.2379818</v>
      </c>
      <c r="E113" s="198">
        <v>29.318442999999998</v>
      </c>
      <c r="F113" s="198">
        <v>22.931885048000126</v>
      </c>
      <c r="G113" s="198">
        <v>89.734800765303333</v>
      </c>
      <c r="H113" s="198">
        <f t="shared" si="3"/>
        <v>22.931885048000126</v>
      </c>
      <c r="I113" s="228" t="str">
        <f t="shared" si="4"/>
        <v/>
      </c>
      <c r="J113" s="228" t="str">
        <f t="shared" si="5"/>
        <v/>
      </c>
    </row>
    <row r="114" spans="1:10">
      <c r="A114" s="227" t="s">
        <v>142</v>
      </c>
      <c r="B114" s="197" t="s">
        <v>267</v>
      </c>
      <c r="C114" s="198">
        <v>30.604430000000001</v>
      </c>
      <c r="D114" s="198">
        <v>77.2379818</v>
      </c>
      <c r="E114" s="198">
        <v>30.604430000000001</v>
      </c>
      <c r="F114" s="198">
        <v>15.904532910000347</v>
      </c>
      <c r="G114" s="198">
        <v>89.734800765303333</v>
      </c>
      <c r="H114" s="198">
        <f t="shared" si="3"/>
        <v>15.904532910000347</v>
      </c>
      <c r="I114" s="228" t="str">
        <f t="shared" si="4"/>
        <v/>
      </c>
      <c r="J114" s="228" t="str">
        <f t="shared" si="5"/>
        <v/>
      </c>
    </row>
    <row r="115" spans="1:10">
      <c r="A115" s="227" t="s">
        <v>142</v>
      </c>
      <c r="B115" s="197" t="s">
        <v>268</v>
      </c>
      <c r="C115" s="198">
        <v>23.531193999999999</v>
      </c>
      <c r="D115" s="198">
        <v>77.2379818</v>
      </c>
      <c r="E115" s="198">
        <v>23.531193999999999</v>
      </c>
      <c r="F115" s="198">
        <v>13.025878311999739</v>
      </c>
      <c r="G115" s="198">
        <v>89.734800765303333</v>
      </c>
      <c r="H115" s="198">
        <f t="shared" si="3"/>
        <v>13.025878311999739</v>
      </c>
      <c r="I115" s="228" t="str">
        <f t="shared" si="4"/>
        <v/>
      </c>
      <c r="J115" s="228" t="str">
        <f t="shared" si="5"/>
        <v/>
      </c>
    </row>
    <row r="116" spans="1:10">
      <c r="A116" s="227" t="s">
        <v>142</v>
      </c>
      <c r="B116" s="197" t="s">
        <v>269</v>
      </c>
      <c r="C116" s="198">
        <v>28.566378</v>
      </c>
      <c r="D116" s="198">
        <v>77.2379818</v>
      </c>
      <c r="E116" s="198">
        <v>28.566378</v>
      </c>
      <c r="F116" s="198">
        <v>10.57376741600031</v>
      </c>
      <c r="G116" s="198">
        <v>89.734800765303333</v>
      </c>
      <c r="H116" s="198">
        <f t="shared" si="3"/>
        <v>10.57376741600031</v>
      </c>
      <c r="I116" s="228" t="str">
        <f t="shared" si="4"/>
        <v/>
      </c>
      <c r="J116" s="228" t="str">
        <f t="shared" si="5"/>
        <v/>
      </c>
    </row>
    <row r="117" spans="1:10">
      <c r="A117" s="227" t="s">
        <v>142</v>
      </c>
      <c r="B117" s="197" t="s">
        <v>270</v>
      </c>
      <c r="C117" s="198">
        <v>18.997267000000001</v>
      </c>
      <c r="D117" s="198">
        <v>77.2379818</v>
      </c>
      <c r="E117" s="198">
        <v>18.997267000000001</v>
      </c>
      <c r="F117" s="198">
        <v>17.985621332000253</v>
      </c>
      <c r="G117" s="198">
        <v>89.734800765303333</v>
      </c>
      <c r="H117" s="198">
        <f t="shared" si="3"/>
        <v>17.985621332000253</v>
      </c>
      <c r="I117" s="228" t="str">
        <f t="shared" si="4"/>
        <v/>
      </c>
      <c r="J117" s="228" t="str">
        <f t="shared" si="5"/>
        <v/>
      </c>
    </row>
    <row r="118" spans="1:10">
      <c r="A118" s="227" t="s">
        <v>142</v>
      </c>
      <c r="B118" s="197" t="s">
        <v>271</v>
      </c>
      <c r="C118" s="198">
        <v>24.719704</v>
      </c>
      <c r="D118" s="198">
        <v>77.2379818</v>
      </c>
      <c r="E118" s="198">
        <v>24.719704</v>
      </c>
      <c r="F118" s="198">
        <v>17.956019549999681</v>
      </c>
      <c r="G118" s="198">
        <v>89.734800765303333</v>
      </c>
      <c r="H118" s="198">
        <f t="shared" si="3"/>
        <v>17.956019549999681</v>
      </c>
      <c r="I118" s="228" t="str">
        <f t="shared" si="4"/>
        <v/>
      </c>
      <c r="J118" s="228" t="str">
        <f t="shared" si="5"/>
        <v/>
      </c>
    </row>
    <row r="119" spans="1:10">
      <c r="A119" s="227" t="s">
        <v>142</v>
      </c>
      <c r="B119" s="197" t="s">
        <v>272</v>
      </c>
      <c r="C119" s="198">
        <v>1525.784952</v>
      </c>
      <c r="D119" s="198">
        <v>77.2379818</v>
      </c>
      <c r="E119" s="198">
        <v>77.2379818</v>
      </c>
      <c r="F119" s="198">
        <v>23.836756611999604</v>
      </c>
      <c r="G119" s="198">
        <v>89.734800765303333</v>
      </c>
      <c r="H119" s="198">
        <f t="shared" si="3"/>
        <v>23.836756611999604</v>
      </c>
      <c r="I119" s="228" t="str">
        <f t="shared" si="4"/>
        <v/>
      </c>
      <c r="J119" s="228" t="str">
        <f t="shared" si="5"/>
        <v/>
      </c>
    </row>
    <row r="120" spans="1:10">
      <c r="A120" s="227" t="s">
        <v>142</v>
      </c>
      <c r="B120" s="197" t="s">
        <v>273</v>
      </c>
      <c r="C120" s="198">
        <v>29.522704999999998</v>
      </c>
      <c r="D120" s="198">
        <v>77.2379818</v>
      </c>
      <c r="E120" s="198">
        <v>29.522704999999998</v>
      </c>
      <c r="F120" s="198">
        <v>26.105798189999813</v>
      </c>
      <c r="G120" s="198">
        <v>89.734800765303333</v>
      </c>
      <c r="H120" s="198">
        <f t="shared" si="3"/>
        <v>26.105798189999813</v>
      </c>
      <c r="I120" s="228" t="str">
        <f t="shared" si="4"/>
        <v/>
      </c>
      <c r="J120" s="228" t="str">
        <f t="shared" si="5"/>
        <v/>
      </c>
    </row>
    <row r="121" spans="1:10">
      <c r="A121" s="227" t="s">
        <v>142</v>
      </c>
      <c r="B121" s="197" t="s">
        <v>274</v>
      </c>
      <c r="C121" s="198">
        <v>25.950597999999999</v>
      </c>
      <c r="D121" s="198">
        <v>77.2379818</v>
      </c>
      <c r="E121" s="198">
        <v>25.950597999999999</v>
      </c>
      <c r="F121" s="198">
        <v>8.1135639680006904</v>
      </c>
      <c r="G121" s="198">
        <v>89.734800765303333</v>
      </c>
      <c r="H121" s="198">
        <f t="shared" si="3"/>
        <v>8.1135639680006904</v>
      </c>
      <c r="I121" s="228" t="str">
        <f t="shared" si="4"/>
        <v/>
      </c>
      <c r="J121" s="228" t="str">
        <f t="shared" si="5"/>
        <v/>
      </c>
    </row>
    <row r="122" spans="1:10">
      <c r="A122" s="227" t="s">
        <v>142</v>
      </c>
      <c r="B122" s="197" t="s">
        <v>275</v>
      </c>
      <c r="C122" s="198">
        <v>19.187673</v>
      </c>
      <c r="D122" s="198">
        <v>77.2379818</v>
      </c>
      <c r="E122" s="198">
        <v>19.187673</v>
      </c>
      <c r="F122" s="198">
        <v>3.4256280719995829</v>
      </c>
      <c r="G122" s="198">
        <v>89.734800765303333</v>
      </c>
      <c r="H122" s="198">
        <f t="shared" si="3"/>
        <v>3.4256280719995829</v>
      </c>
      <c r="I122" s="228" t="str">
        <f t="shared" si="4"/>
        <v/>
      </c>
      <c r="J122" s="228" t="str">
        <f t="shared" si="5"/>
        <v/>
      </c>
    </row>
    <row r="123" spans="1:10">
      <c r="A123" s="227" t="s">
        <v>142</v>
      </c>
      <c r="B123" s="197" t="s">
        <v>276</v>
      </c>
      <c r="C123" s="198">
        <v>27.518720999999999</v>
      </c>
      <c r="D123" s="198">
        <v>77.2379818</v>
      </c>
      <c r="E123" s="198">
        <v>27.518720999999999</v>
      </c>
      <c r="F123" s="198">
        <v>26.152670303999869</v>
      </c>
      <c r="G123" s="198">
        <v>89.734800765303333</v>
      </c>
      <c r="H123" s="198">
        <f t="shared" si="3"/>
        <v>26.152670303999869</v>
      </c>
      <c r="I123" s="228" t="str">
        <f t="shared" si="4"/>
        <v/>
      </c>
      <c r="J123" s="228" t="str">
        <f t="shared" si="5"/>
        <v/>
      </c>
    </row>
    <row r="124" spans="1:10">
      <c r="A124" s="227" t="s">
        <v>142</v>
      </c>
      <c r="B124" s="197" t="s">
        <v>277</v>
      </c>
      <c r="C124" s="198">
        <v>25.354409</v>
      </c>
      <c r="D124" s="198">
        <v>77.2379818</v>
      </c>
      <c r="E124" s="198">
        <v>25.354409</v>
      </c>
      <c r="F124" s="198">
        <v>17.432545392000581</v>
      </c>
      <c r="G124" s="198">
        <v>89.734800765303333</v>
      </c>
      <c r="H124" s="198">
        <f t="shared" si="3"/>
        <v>17.432545392000581</v>
      </c>
      <c r="I124" s="228" t="str">
        <f t="shared" si="4"/>
        <v/>
      </c>
      <c r="J124" s="228" t="str">
        <f t="shared" si="5"/>
        <v/>
      </c>
    </row>
    <row r="125" spans="1:10">
      <c r="A125" s="227" t="s">
        <v>143</v>
      </c>
      <c r="B125" s="197" t="s">
        <v>278</v>
      </c>
      <c r="C125" s="198">
        <v>-402.91028799999998</v>
      </c>
      <c r="D125" s="198">
        <v>57.719120516099998</v>
      </c>
      <c r="E125" s="198">
        <v>-402.91028799999998</v>
      </c>
      <c r="F125" s="198">
        <v>8.8544509540000451</v>
      </c>
      <c r="G125" s="198">
        <v>112.02604617689678</v>
      </c>
      <c r="H125" s="198">
        <f t="shared" si="3"/>
        <v>8.8544509540000451</v>
      </c>
      <c r="I125" s="228">
        <f t="shared" si="4"/>
        <v>600</v>
      </c>
      <c r="J125" s="228" t="str">
        <f t="shared" si="5"/>
        <v/>
      </c>
    </row>
    <row r="126" spans="1:10">
      <c r="A126" s="227" t="s">
        <v>143</v>
      </c>
      <c r="B126" s="197" t="s">
        <v>279</v>
      </c>
      <c r="C126" s="198">
        <v>441.16021599999999</v>
      </c>
      <c r="D126" s="198">
        <v>57.719120516099998</v>
      </c>
      <c r="E126" s="198">
        <v>57.719120516099998</v>
      </c>
      <c r="F126" s="198">
        <v>31.234745385999865</v>
      </c>
      <c r="G126" s="198">
        <v>112.02604617689678</v>
      </c>
      <c r="H126" s="198">
        <f t="shared" si="3"/>
        <v>31.234745385999865</v>
      </c>
      <c r="I126" s="228" t="str">
        <f t="shared" si="4"/>
        <v/>
      </c>
      <c r="J126" s="228" t="str">
        <f t="shared" si="5"/>
        <v/>
      </c>
    </row>
    <row r="127" spans="1:10">
      <c r="A127" s="227" t="s">
        <v>143</v>
      </c>
      <c r="B127" s="197" t="s">
        <v>280</v>
      </c>
      <c r="C127" s="198">
        <v>31.568707</v>
      </c>
      <c r="D127" s="198">
        <v>57.719120516099998</v>
      </c>
      <c r="E127" s="198">
        <v>31.568707</v>
      </c>
      <c r="F127" s="198">
        <v>27.489775494000138</v>
      </c>
      <c r="G127" s="198">
        <v>112.02604617689678</v>
      </c>
      <c r="H127" s="198">
        <f t="shared" si="3"/>
        <v>27.489775494000138</v>
      </c>
      <c r="I127" s="228" t="str">
        <f t="shared" si="4"/>
        <v/>
      </c>
      <c r="J127" s="228" t="str">
        <f t="shared" si="5"/>
        <v/>
      </c>
    </row>
    <row r="128" spans="1:10">
      <c r="A128" s="227" t="s">
        <v>143</v>
      </c>
      <c r="B128" s="197" t="s">
        <v>281</v>
      </c>
      <c r="C128" s="198">
        <v>30.974723999999998</v>
      </c>
      <c r="D128" s="198">
        <v>57.719120516099998</v>
      </c>
      <c r="E128" s="198">
        <v>30.974723999999998</v>
      </c>
      <c r="F128" s="198">
        <v>6.640168649999687</v>
      </c>
      <c r="G128" s="198">
        <v>112.02604617689678</v>
      </c>
      <c r="H128" s="198">
        <f t="shared" si="3"/>
        <v>6.640168649999687</v>
      </c>
      <c r="I128" s="228" t="str">
        <f t="shared" si="4"/>
        <v/>
      </c>
      <c r="J128" s="228" t="str">
        <f t="shared" si="5"/>
        <v/>
      </c>
    </row>
    <row r="129" spans="1:11">
      <c r="A129" s="227" t="s">
        <v>143</v>
      </c>
      <c r="B129" s="197" t="s">
        <v>282</v>
      </c>
      <c r="C129" s="198">
        <v>27.453113999999999</v>
      </c>
      <c r="D129" s="198">
        <v>57.719120516099998</v>
      </c>
      <c r="E129" s="198">
        <v>27.453113999999999</v>
      </c>
      <c r="F129" s="198">
        <v>14.456189891999545</v>
      </c>
      <c r="G129" s="198">
        <v>112.02604617689678</v>
      </c>
      <c r="H129" s="198">
        <f t="shared" si="3"/>
        <v>14.456189891999545</v>
      </c>
      <c r="I129" s="228" t="str">
        <f t="shared" si="4"/>
        <v/>
      </c>
      <c r="J129" s="228" t="str">
        <f t="shared" si="5"/>
        <v/>
      </c>
    </row>
    <row r="130" spans="1:11">
      <c r="A130" s="227" t="s">
        <v>143</v>
      </c>
      <c r="B130" s="197" t="s">
        <v>283</v>
      </c>
      <c r="C130" s="198">
        <v>20.011855000000001</v>
      </c>
      <c r="D130" s="198">
        <v>57.719120516099998</v>
      </c>
      <c r="E130" s="198">
        <v>20.011855000000001</v>
      </c>
      <c r="F130" s="198">
        <v>14.707701754000245</v>
      </c>
      <c r="G130" s="198">
        <v>112.02604617689678</v>
      </c>
      <c r="H130" s="198">
        <f t="shared" si="3"/>
        <v>14.707701754000245</v>
      </c>
      <c r="I130" s="228" t="str">
        <f t="shared" si="4"/>
        <v/>
      </c>
      <c r="J130" s="228" t="str">
        <f t="shared" si="5"/>
        <v/>
      </c>
    </row>
    <row r="131" spans="1:11">
      <c r="A131" s="227" t="s">
        <v>143</v>
      </c>
      <c r="B131" s="197" t="s">
        <v>284</v>
      </c>
      <c r="C131" s="198">
        <v>-396.52231999999998</v>
      </c>
      <c r="D131" s="198">
        <v>57.719120516099998</v>
      </c>
      <c r="E131" s="198">
        <v>-396.52231999999998</v>
      </c>
      <c r="F131" s="198">
        <v>28.234186062000102</v>
      </c>
      <c r="G131" s="198">
        <v>112.02604617689678</v>
      </c>
      <c r="H131" s="198">
        <f t="shared" si="3"/>
        <v>28.234186062000102</v>
      </c>
      <c r="I131" s="228" t="str">
        <f t="shared" si="4"/>
        <v/>
      </c>
      <c r="J131" s="228" t="str">
        <f t="shared" si="5"/>
        <v/>
      </c>
    </row>
    <row r="132" spans="1:11">
      <c r="A132" s="227" t="s">
        <v>143</v>
      </c>
      <c r="B132" s="197" t="s">
        <v>285</v>
      </c>
      <c r="C132" s="198">
        <v>32.341659</v>
      </c>
      <c r="D132" s="198">
        <v>57.719120516099998</v>
      </c>
      <c r="E132" s="198">
        <v>32.341659</v>
      </c>
      <c r="F132" s="198">
        <v>24.086839598000438</v>
      </c>
      <c r="G132" s="198">
        <v>112.02604617689678</v>
      </c>
      <c r="H132" s="198">
        <f t="shared" ref="H132:H195" si="6">IF(F132&lt;G132,F132,G132)</f>
        <v>24.086839598000438</v>
      </c>
      <c r="I132" s="228" t="str">
        <f t="shared" ref="I132:I195" si="7">IF(DAY(B132)=1,600,"")</f>
        <v/>
      </c>
      <c r="J132" s="228" t="str">
        <f t="shared" ref="J132:J195" si="8">IF(DAY(B132)=15,MID(A132,1,1),"")</f>
        <v/>
      </c>
    </row>
    <row r="133" spans="1:11">
      <c r="A133" s="227" t="s">
        <v>143</v>
      </c>
      <c r="B133" s="197" t="s">
        <v>286</v>
      </c>
      <c r="C133" s="198">
        <v>444.52607999999998</v>
      </c>
      <c r="D133" s="198">
        <v>57.719120516099998</v>
      </c>
      <c r="E133" s="198">
        <v>57.719120516099998</v>
      </c>
      <c r="F133" s="198">
        <v>37.908427159999526</v>
      </c>
      <c r="G133" s="198">
        <v>112.02604617689678</v>
      </c>
      <c r="H133" s="198">
        <f t="shared" si="6"/>
        <v>37.908427159999526</v>
      </c>
      <c r="I133" s="228" t="str">
        <f t="shared" si="7"/>
        <v/>
      </c>
      <c r="J133" s="228" t="str">
        <f t="shared" si="8"/>
        <v/>
      </c>
    </row>
    <row r="134" spans="1:11">
      <c r="A134" s="227" t="s">
        <v>143</v>
      </c>
      <c r="B134" s="197" t="s">
        <v>287</v>
      </c>
      <c r="C134" s="198">
        <v>85.209801999999996</v>
      </c>
      <c r="D134" s="198">
        <v>57.719120516099998</v>
      </c>
      <c r="E134" s="198">
        <v>57.719120516099998</v>
      </c>
      <c r="F134" s="198">
        <v>75.787528893999863</v>
      </c>
      <c r="G134" s="198">
        <v>112.02604617689678</v>
      </c>
      <c r="H134" s="198">
        <f t="shared" si="6"/>
        <v>75.787528893999863</v>
      </c>
      <c r="I134" s="228" t="str">
        <f t="shared" si="7"/>
        <v/>
      </c>
      <c r="J134" s="228" t="str">
        <f t="shared" si="8"/>
        <v/>
      </c>
    </row>
    <row r="135" spans="1:11">
      <c r="A135" s="227" t="s">
        <v>143</v>
      </c>
      <c r="B135" s="197" t="s">
        <v>288</v>
      </c>
      <c r="C135" s="198">
        <v>88.045434</v>
      </c>
      <c r="D135" s="198">
        <v>57.719120516099998</v>
      </c>
      <c r="E135" s="198">
        <v>57.719120516099998</v>
      </c>
      <c r="F135" s="198">
        <v>133.71425564600011</v>
      </c>
      <c r="G135" s="198">
        <v>112.02604617689678</v>
      </c>
      <c r="H135" s="198">
        <f t="shared" si="6"/>
        <v>112.02604617689678</v>
      </c>
      <c r="I135" s="228" t="str">
        <f t="shared" si="7"/>
        <v/>
      </c>
      <c r="J135" s="228" t="str">
        <f t="shared" si="8"/>
        <v/>
      </c>
    </row>
    <row r="136" spans="1:11">
      <c r="A136" s="227" t="s">
        <v>143</v>
      </c>
      <c r="B136" s="197" t="s">
        <v>289</v>
      </c>
      <c r="C136" s="198">
        <v>106.606819</v>
      </c>
      <c r="D136" s="198">
        <v>57.719120516099998</v>
      </c>
      <c r="E136" s="198">
        <v>57.719120516099998</v>
      </c>
      <c r="F136" s="198">
        <v>106.06486796800039</v>
      </c>
      <c r="G136" s="198">
        <v>112.02604617689678</v>
      </c>
      <c r="H136" s="198">
        <f t="shared" si="6"/>
        <v>106.06486796800039</v>
      </c>
      <c r="I136" s="228" t="str">
        <f t="shared" si="7"/>
        <v/>
      </c>
      <c r="J136" s="228" t="str">
        <f t="shared" si="8"/>
        <v/>
      </c>
    </row>
    <row r="137" spans="1:11">
      <c r="A137" s="227" t="s">
        <v>143</v>
      </c>
      <c r="B137" s="197" t="s">
        <v>290</v>
      </c>
      <c r="C137" s="198">
        <v>72.872757000000007</v>
      </c>
      <c r="D137" s="198">
        <v>57.719120516099998</v>
      </c>
      <c r="E137" s="198">
        <v>57.719120516099998</v>
      </c>
      <c r="F137" s="198">
        <v>61.569184114000187</v>
      </c>
      <c r="G137" s="198">
        <v>112.02604617689678</v>
      </c>
      <c r="H137" s="198">
        <f t="shared" si="6"/>
        <v>61.569184114000187</v>
      </c>
      <c r="I137" s="228" t="str">
        <f t="shared" si="7"/>
        <v/>
      </c>
      <c r="J137" s="228" t="str">
        <f t="shared" si="8"/>
        <v/>
      </c>
    </row>
    <row r="138" spans="1:11">
      <c r="A138" s="227" t="s">
        <v>143</v>
      </c>
      <c r="B138" s="197" t="s">
        <v>291</v>
      </c>
      <c r="C138" s="198">
        <v>86.448480000000004</v>
      </c>
      <c r="D138" s="198">
        <v>57.719120516099998</v>
      </c>
      <c r="E138" s="198">
        <v>57.719120516099998</v>
      </c>
      <c r="F138" s="198">
        <v>98.005116379999322</v>
      </c>
      <c r="G138" s="198">
        <v>112.02604617689678</v>
      </c>
      <c r="H138" s="198">
        <f t="shared" si="6"/>
        <v>98.005116379999322</v>
      </c>
      <c r="I138" s="228" t="str">
        <f t="shared" si="7"/>
        <v/>
      </c>
      <c r="J138" s="228" t="str">
        <f t="shared" si="8"/>
        <v/>
      </c>
    </row>
    <row r="139" spans="1:11">
      <c r="A139" s="227" t="s">
        <v>143</v>
      </c>
      <c r="B139" s="197" t="s">
        <v>292</v>
      </c>
      <c r="C139" s="198">
        <v>-338.89451600000001</v>
      </c>
      <c r="D139" s="198">
        <v>57.719120516099998</v>
      </c>
      <c r="E139" s="198">
        <v>-338.89451600000001</v>
      </c>
      <c r="F139" s="198">
        <v>101.76139547400032</v>
      </c>
      <c r="G139" s="198">
        <v>112.02604617689678</v>
      </c>
      <c r="H139" s="198">
        <f t="shared" si="6"/>
        <v>101.76139547400032</v>
      </c>
      <c r="I139" s="228" t="str">
        <f t="shared" si="7"/>
        <v/>
      </c>
      <c r="J139" s="228" t="str">
        <f t="shared" si="8"/>
        <v>D</v>
      </c>
      <c r="K139" s="229">
        <f>IF(DAY(B139)=15,G139,"")</f>
        <v>112.02604617689678</v>
      </c>
    </row>
    <row r="140" spans="1:11">
      <c r="A140" s="227" t="s">
        <v>143</v>
      </c>
      <c r="B140" s="197" t="s">
        <v>293</v>
      </c>
      <c r="C140" s="198">
        <v>484.70083799999998</v>
      </c>
      <c r="D140" s="198">
        <v>57.719120516099998</v>
      </c>
      <c r="E140" s="198">
        <v>57.719120516099998</v>
      </c>
      <c r="F140" s="198">
        <v>74.413492190000255</v>
      </c>
      <c r="G140" s="198">
        <v>112.02604617689678</v>
      </c>
      <c r="H140" s="198">
        <f t="shared" si="6"/>
        <v>74.413492190000255</v>
      </c>
      <c r="I140" s="228" t="str">
        <f t="shared" si="7"/>
        <v/>
      </c>
      <c r="J140" s="228" t="str">
        <f t="shared" si="8"/>
        <v/>
      </c>
    </row>
    <row r="141" spans="1:11">
      <c r="A141" s="227" t="s">
        <v>143</v>
      </c>
      <c r="B141" s="197" t="s">
        <v>294</v>
      </c>
      <c r="C141" s="198">
        <v>56.335878999999998</v>
      </c>
      <c r="D141" s="198">
        <v>57.719120516099998</v>
      </c>
      <c r="E141" s="198">
        <v>56.335878999999998</v>
      </c>
      <c r="F141" s="198">
        <v>49.984638545999779</v>
      </c>
      <c r="G141" s="198">
        <v>112.02604617689678</v>
      </c>
      <c r="H141" s="198">
        <f t="shared" si="6"/>
        <v>49.984638545999779</v>
      </c>
      <c r="I141" s="228" t="str">
        <f t="shared" si="7"/>
        <v/>
      </c>
      <c r="J141" s="228" t="str">
        <f t="shared" si="8"/>
        <v/>
      </c>
    </row>
    <row r="142" spans="1:11">
      <c r="A142" s="227" t="s">
        <v>143</v>
      </c>
      <c r="B142" s="197" t="s">
        <v>295</v>
      </c>
      <c r="C142" s="198">
        <v>67.753586999999996</v>
      </c>
      <c r="D142" s="198">
        <v>57.719120516099998</v>
      </c>
      <c r="E142" s="198">
        <v>57.719120516099998</v>
      </c>
      <c r="F142" s="198">
        <v>61.124411660000057</v>
      </c>
      <c r="G142" s="198">
        <v>112.02604617689678</v>
      </c>
      <c r="H142" s="198">
        <f t="shared" si="6"/>
        <v>61.124411660000057</v>
      </c>
      <c r="I142" s="228" t="str">
        <f t="shared" si="7"/>
        <v/>
      </c>
      <c r="J142" s="228" t="str">
        <f t="shared" si="8"/>
        <v/>
      </c>
    </row>
    <row r="143" spans="1:11">
      <c r="A143" s="227" t="s">
        <v>143</v>
      </c>
      <c r="B143" s="197" t="s">
        <v>296</v>
      </c>
      <c r="C143" s="198">
        <v>55.703749999999999</v>
      </c>
      <c r="D143" s="198">
        <v>57.719120516099998</v>
      </c>
      <c r="E143" s="198">
        <v>55.703749999999999</v>
      </c>
      <c r="F143" s="198">
        <v>55.687786108000267</v>
      </c>
      <c r="G143" s="198">
        <v>112.02604617689678</v>
      </c>
      <c r="H143" s="198">
        <f t="shared" si="6"/>
        <v>55.687786108000267</v>
      </c>
      <c r="I143" s="228" t="str">
        <f t="shared" si="7"/>
        <v/>
      </c>
      <c r="J143" s="228" t="str">
        <f t="shared" si="8"/>
        <v/>
      </c>
    </row>
    <row r="144" spans="1:11">
      <c r="A144" s="227" t="s">
        <v>143</v>
      </c>
      <c r="B144" s="197" t="s">
        <v>297</v>
      </c>
      <c r="C144" s="198">
        <v>65.777375000000006</v>
      </c>
      <c r="D144" s="198">
        <v>57.719120516099998</v>
      </c>
      <c r="E144" s="198">
        <v>57.719120516099998</v>
      </c>
      <c r="F144" s="198">
        <v>60.014038807999576</v>
      </c>
      <c r="G144" s="198">
        <v>112.02604617689678</v>
      </c>
      <c r="H144" s="198">
        <f t="shared" si="6"/>
        <v>60.014038807999576</v>
      </c>
      <c r="I144" s="228" t="str">
        <f t="shared" si="7"/>
        <v/>
      </c>
      <c r="J144" s="228" t="str">
        <f t="shared" si="8"/>
        <v/>
      </c>
    </row>
    <row r="145" spans="1:10">
      <c r="A145" s="227" t="s">
        <v>143</v>
      </c>
      <c r="B145" s="197" t="s">
        <v>298</v>
      </c>
      <c r="C145" s="198">
        <v>56.716188000000002</v>
      </c>
      <c r="D145" s="198">
        <v>57.719120516099998</v>
      </c>
      <c r="E145" s="198">
        <v>56.716188000000002</v>
      </c>
      <c r="F145" s="198">
        <v>43.888313440000069</v>
      </c>
      <c r="G145" s="198">
        <v>112.02604617689678</v>
      </c>
      <c r="H145" s="198">
        <f t="shared" si="6"/>
        <v>43.888313440000069</v>
      </c>
      <c r="I145" s="228" t="str">
        <f t="shared" si="7"/>
        <v/>
      </c>
      <c r="J145" s="228" t="str">
        <f t="shared" si="8"/>
        <v/>
      </c>
    </row>
    <row r="146" spans="1:10">
      <c r="A146" s="227" t="s">
        <v>143</v>
      </c>
      <c r="B146" s="197" t="s">
        <v>299</v>
      </c>
      <c r="C146" s="198">
        <v>-371.704386</v>
      </c>
      <c r="D146" s="198">
        <v>57.719120516099998</v>
      </c>
      <c r="E146" s="198">
        <v>-371.704386</v>
      </c>
      <c r="F146" s="198">
        <v>45.149051252000262</v>
      </c>
      <c r="G146" s="198">
        <v>112.02604617689678</v>
      </c>
      <c r="H146" s="198">
        <f t="shared" si="6"/>
        <v>45.149051252000262</v>
      </c>
      <c r="I146" s="228" t="str">
        <f t="shared" si="7"/>
        <v/>
      </c>
      <c r="J146" s="228" t="str">
        <f t="shared" si="8"/>
        <v/>
      </c>
    </row>
    <row r="147" spans="1:10">
      <c r="A147" s="227" t="s">
        <v>143</v>
      </c>
      <c r="B147" s="197" t="s">
        <v>300</v>
      </c>
      <c r="C147" s="198">
        <v>53.587212999999998</v>
      </c>
      <c r="D147" s="198">
        <v>57.719120516099998</v>
      </c>
      <c r="E147" s="198">
        <v>53.587212999999998</v>
      </c>
      <c r="F147" s="198">
        <v>116.80852258400007</v>
      </c>
      <c r="G147" s="198">
        <v>112.02604617689678</v>
      </c>
      <c r="H147" s="198">
        <f t="shared" si="6"/>
        <v>112.02604617689678</v>
      </c>
      <c r="I147" s="228" t="str">
        <f t="shared" si="7"/>
        <v/>
      </c>
      <c r="J147" s="228" t="str">
        <f t="shared" si="8"/>
        <v/>
      </c>
    </row>
    <row r="148" spans="1:10">
      <c r="A148" s="227" t="s">
        <v>143</v>
      </c>
      <c r="B148" s="197" t="s">
        <v>301</v>
      </c>
      <c r="C148" s="198">
        <v>474.18672199999997</v>
      </c>
      <c r="D148" s="198">
        <v>57.719120516099998</v>
      </c>
      <c r="E148" s="198">
        <v>57.719120516099998</v>
      </c>
      <c r="F148" s="198">
        <v>36.160617945999505</v>
      </c>
      <c r="G148" s="198">
        <v>112.02604617689678</v>
      </c>
      <c r="H148" s="198">
        <f t="shared" si="6"/>
        <v>36.160617945999505</v>
      </c>
      <c r="I148" s="228" t="str">
        <f t="shared" si="7"/>
        <v/>
      </c>
      <c r="J148" s="228" t="str">
        <f t="shared" si="8"/>
        <v/>
      </c>
    </row>
    <row r="149" spans="1:10">
      <c r="A149" s="227" t="s">
        <v>143</v>
      </c>
      <c r="B149" s="197" t="s">
        <v>302</v>
      </c>
      <c r="C149" s="198">
        <v>46.084096000000002</v>
      </c>
      <c r="D149" s="198">
        <v>57.719120516099998</v>
      </c>
      <c r="E149" s="198">
        <v>46.084096000000002</v>
      </c>
      <c r="F149" s="198">
        <v>36.19546463200053</v>
      </c>
      <c r="G149" s="198">
        <v>112.02604617689678</v>
      </c>
      <c r="H149" s="198">
        <f t="shared" si="6"/>
        <v>36.19546463200053</v>
      </c>
      <c r="I149" s="228" t="str">
        <f t="shared" si="7"/>
        <v/>
      </c>
      <c r="J149" s="228" t="str">
        <f t="shared" si="8"/>
        <v/>
      </c>
    </row>
    <row r="150" spans="1:10">
      <c r="A150" s="227" t="s">
        <v>143</v>
      </c>
      <c r="B150" s="197" t="s">
        <v>303</v>
      </c>
      <c r="C150" s="198">
        <v>57.432892000000002</v>
      </c>
      <c r="D150" s="198">
        <v>57.719120516099998</v>
      </c>
      <c r="E150" s="198">
        <v>57.432892000000002</v>
      </c>
      <c r="F150" s="198">
        <v>60.816156899999754</v>
      </c>
      <c r="G150" s="198">
        <v>112.02604617689678</v>
      </c>
      <c r="H150" s="198">
        <f t="shared" si="6"/>
        <v>60.816156899999754</v>
      </c>
      <c r="I150" s="228" t="str">
        <f t="shared" si="7"/>
        <v/>
      </c>
      <c r="J150" s="228" t="str">
        <f t="shared" si="8"/>
        <v/>
      </c>
    </row>
    <row r="151" spans="1:10">
      <c r="A151" s="227" t="s">
        <v>143</v>
      </c>
      <c r="B151" s="197" t="s">
        <v>304</v>
      </c>
      <c r="C151" s="198">
        <v>68.911057</v>
      </c>
      <c r="D151" s="198">
        <v>57.719120516099998</v>
      </c>
      <c r="E151" s="198">
        <v>57.719120516099998</v>
      </c>
      <c r="F151" s="198">
        <v>66.296639185999865</v>
      </c>
      <c r="G151" s="198">
        <v>112.02604617689678</v>
      </c>
      <c r="H151" s="198">
        <f t="shared" si="6"/>
        <v>66.296639185999865</v>
      </c>
      <c r="I151" s="228" t="str">
        <f t="shared" si="7"/>
        <v/>
      </c>
      <c r="J151" s="228" t="str">
        <f t="shared" si="8"/>
        <v/>
      </c>
    </row>
    <row r="152" spans="1:10">
      <c r="A152" s="227" t="s">
        <v>143</v>
      </c>
      <c r="B152" s="197" t="s">
        <v>305</v>
      </c>
      <c r="C152" s="198">
        <v>80.116834999999995</v>
      </c>
      <c r="D152" s="198">
        <v>57.719120516099998</v>
      </c>
      <c r="E152" s="198">
        <v>57.719120516099998</v>
      </c>
      <c r="F152" s="198">
        <v>41.25654523999993</v>
      </c>
      <c r="G152" s="198">
        <v>112.02604617689678</v>
      </c>
      <c r="H152" s="198">
        <f t="shared" si="6"/>
        <v>41.25654523999993</v>
      </c>
      <c r="I152" s="228" t="str">
        <f t="shared" si="7"/>
        <v/>
      </c>
      <c r="J152" s="228" t="str">
        <f t="shared" si="8"/>
        <v/>
      </c>
    </row>
    <row r="153" spans="1:10">
      <c r="A153" s="227" t="s">
        <v>143</v>
      </c>
      <c r="B153" s="197" t="s">
        <v>306</v>
      </c>
      <c r="C153" s="198">
        <v>-334.48433999999997</v>
      </c>
      <c r="D153" s="198">
        <v>57.719120516099998</v>
      </c>
      <c r="E153" s="198">
        <v>-334.48433999999997</v>
      </c>
      <c r="F153" s="198">
        <v>45.083249121999515</v>
      </c>
      <c r="G153" s="198">
        <v>112.02604617689678</v>
      </c>
      <c r="H153" s="198">
        <f t="shared" si="6"/>
        <v>45.083249121999515</v>
      </c>
      <c r="I153" s="228" t="str">
        <f t="shared" si="7"/>
        <v/>
      </c>
      <c r="J153" s="228" t="str">
        <f t="shared" si="8"/>
        <v/>
      </c>
    </row>
    <row r="154" spans="1:10">
      <c r="A154" s="227" t="s">
        <v>143</v>
      </c>
      <c r="B154" s="197" t="s">
        <v>307</v>
      </c>
      <c r="C154" s="198">
        <v>91.722108000000006</v>
      </c>
      <c r="D154" s="198">
        <v>57.719120516099998</v>
      </c>
      <c r="E154" s="198">
        <v>57.719120516099998</v>
      </c>
      <c r="F154" s="198">
        <v>89.630860876000924</v>
      </c>
      <c r="G154" s="198">
        <v>112.02604617689678</v>
      </c>
      <c r="H154" s="198">
        <f t="shared" si="6"/>
        <v>89.630860876000924</v>
      </c>
      <c r="I154" s="228" t="str">
        <f t="shared" si="7"/>
        <v/>
      </c>
      <c r="J154" s="228" t="str">
        <f t="shared" si="8"/>
        <v/>
      </c>
    </row>
    <row r="155" spans="1:10">
      <c r="A155" s="227" t="s">
        <v>143</v>
      </c>
      <c r="B155" s="197" t="s">
        <v>308</v>
      </c>
      <c r="C155" s="198">
        <v>507.56039900000002</v>
      </c>
      <c r="D155" s="198">
        <v>57.719120516099998</v>
      </c>
      <c r="E155" s="198">
        <v>57.719120516099998</v>
      </c>
      <c r="F155" s="198">
        <v>80.858669753999109</v>
      </c>
      <c r="G155" s="198">
        <v>112.02604617689678</v>
      </c>
      <c r="H155" s="198">
        <f t="shared" si="6"/>
        <v>80.858669753999109</v>
      </c>
      <c r="I155" s="228" t="str">
        <f t="shared" si="7"/>
        <v/>
      </c>
      <c r="J155" s="228" t="str">
        <f t="shared" si="8"/>
        <v/>
      </c>
    </row>
    <row r="156" spans="1:10">
      <c r="A156" s="227" t="s">
        <v>144</v>
      </c>
      <c r="B156" s="197" t="s">
        <v>309</v>
      </c>
      <c r="C156" s="198">
        <v>80.551569000000001</v>
      </c>
      <c r="D156" s="198">
        <v>83.330256451599993</v>
      </c>
      <c r="E156" s="198">
        <v>80.551569000000001</v>
      </c>
      <c r="F156" s="198">
        <v>107.01719805200038</v>
      </c>
      <c r="G156" s="198">
        <v>124.98280708097418</v>
      </c>
      <c r="H156" s="198">
        <f t="shared" si="6"/>
        <v>107.01719805200038</v>
      </c>
      <c r="I156" s="228">
        <f t="shared" si="7"/>
        <v>600</v>
      </c>
      <c r="J156" s="228" t="str">
        <f t="shared" si="8"/>
        <v/>
      </c>
    </row>
    <row r="157" spans="1:10">
      <c r="A157" s="227" t="s">
        <v>144</v>
      </c>
      <c r="B157" s="197" t="s">
        <v>310</v>
      </c>
      <c r="C157" s="198">
        <v>98.476793999999998</v>
      </c>
      <c r="D157" s="198">
        <v>83.330256451599993</v>
      </c>
      <c r="E157" s="198">
        <v>83.330256451599993</v>
      </c>
      <c r="F157" s="198">
        <v>106.73138875999985</v>
      </c>
      <c r="G157" s="198">
        <v>124.98280708097418</v>
      </c>
      <c r="H157" s="198">
        <f t="shared" si="6"/>
        <v>106.73138875999985</v>
      </c>
      <c r="I157" s="228" t="str">
        <f t="shared" si="7"/>
        <v/>
      </c>
      <c r="J157" s="228" t="str">
        <f t="shared" si="8"/>
        <v/>
      </c>
    </row>
    <row r="158" spans="1:10">
      <c r="A158" s="227" t="s">
        <v>144</v>
      </c>
      <c r="B158" s="197" t="s">
        <v>311</v>
      </c>
      <c r="C158" s="198">
        <v>95.381017999999997</v>
      </c>
      <c r="D158" s="198">
        <v>83.330256451599993</v>
      </c>
      <c r="E158" s="198">
        <v>83.330256451599993</v>
      </c>
      <c r="F158" s="198">
        <v>124.19056760000058</v>
      </c>
      <c r="G158" s="198">
        <v>124.98280708097418</v>
      </c>
      <c r="H158" s="198">
        <f t="shared" si="6"/>
        <v>124.19056760000058</v>
      </c>
      <c r="I158" s="228" t="str">
        <f t="shared" si="7"/>
        <v/>
      </c>
      <c r="J158" s="228" t="str">
        <f t="shared" si="8"/>
        <v/>
      </c>
    </row>
    <row r="159" spans="1:10">
      <c r="A159" s="227" t="s">
        <v>144</v>
      </c>
      <c r="B159" s="197" t="s">
        <v>312</v>
      </c>
      <c r="C159" s="198">
        <v>141.76957400000001</v>
      </c>
      <c r="D159" s="198">
        <v>83.330256451599993</v>
      </c>
      <c r="E159" s="198">
        <v>83.330256451599993</v>
      </c>
      <c r="F159" s="198">
        <v>119.25147284599919</v>
      </c>
      <c r="G159" s="198">
        <v>124.98280708097418</v>
      </c>
      <c r="H159" s="198">
        <f t="shared" si="6"/>
        <v>119.25147284599919</v>
      </c>
      <c r="I159" s="228" t="str">
        <f t="shared" si="7"/>
        <v/>
      </c>
      <c r="J159" s="228" t="str">
        <f t="shared" si="8"/>
        <v/>
      </c>
    </row>
    <row r="160" spans="1:10">
      <c r="A160" s="227" t="s">
        <v>144</v>
      </c>
      <c r="B160" s="197" t="s">
        <v>313</v>
      </c>
      <c r="C160" s="198">
        <v>-303.359422</v>
      </c>
      <c r="D160" s="198">
        <v>83.330256451599993</v>
      </c>
      <c r="E160" s="198">
        <v>-303.359422</v>
      </c>
      <c r="F160" s="198">
        <v>120.05119129400025</v>
      </c>
      <c r="G160" s="198">
        <v>124.98280708097418</v>
      </c>
      <c r="H160" s="198">
        <f t="shared" si="6"/>
        <v>120.05119129400025</v>
      </c>
      <c r="I160" s="228" t="str">
        <f t="shared" si="7"/>
        <v/>
      </c>
      <c r="J160" s="228" t="str">
        <f t="shared" si="8"/>
        <v/>
      </c>
    </row>
    <row r="161" spans="1:11">
      <c r="A161" s="227" t="s">
        <v>144</v>
      </c>
      <c r="B161" s="197" t="s">
        <v>314</v>
      </c>
      <c r="C161" s="198">
        <v>520.22073499999999</v>
      </c>
      <c r="D161" s="198">
        <v>83.330256451599993</v>
      </c>
      <c r="E161" s="198">
        <v>83.330256451599993</v>
      </c>
      <c r="F161" s="198">
        <v>105.57671850599999</v>
      </c>
      <c r="G161" s="198">
        <v>124.98280708097418</v>
      </c>
      <c r="H161" s="198">
        <f t="shared" si="6"/>
        <v>105.57671850599999</v>
      </c>
      <c r="I161" s="228" t="str">
        <f t="shared" si="7"/>
        <v/>
      </c>
      <c r="J161" s="228" t="str">
        <f t="shared" si="8"/>
        <v/>
      </c>
    </row>
    <row r="162" spans="1:11">
      <c r="A162" s="227" t="s">
        <v>144</v>
      </c>
      <c r="B162" s="197" t="s">
        <v>315</v>
      </c>
      <c r="C162" s="198">
        <v>93.459511000000006</v>
      </c>
      <c r="D162" s="198">
        <v>83.330256451599993</v>
      </c>
      <c r="E162" s="198">
        <v>83.330256451599993</v>
      </c>
      <c r="F162" s="198">
        <v>98.755893232000162</v>
      </c>
      <c r="G162" s="198">
        <v>124.98280708097418</v>
      </c>
      <c r="H162" s="198">
        <f t="shared" si="6"/>
        <v>98.755893232000162</v>
      </c>
      <c r="I162" s="228" t="str">
        <f t="shared" si="7"/>
        <v/>
      </c>
      <c r="J162" s="228" t="str">
        <f t="shared" si="8"/>
        <v/>
      </c>
    </row>
    <row r="163" spans="1:11">
      <c r="A163" s="227" t="s">
        <v>144</v>
      </c>
      <c r="B163" s="197" t="s">
        <v>316</v>
      </c>
      <c r="C163" s="198">
        <v>104.497455</v>
      </c>
      <c r="D163" s="198">
        <v>83.330256451599993</v>
      </c>
      <c r="E163" s="198">
        <v>83.330256451599993</v>
      </c>
      <c r="F163" s="198">
        <v>99.806716161999802</v>
      </c>
      <c r="G163" s="198">
        <v>124.98280708097418</v>
      </c>
      <c r="H163" s="198">
        <f t="shared" si="6"/>
        <v>99.806716161999802</v>
      </c>
      <c r="I163" s="228" t="str">
        <f t="shared" si="7"/>
        <v/>
      </c>
      <c r="J163" s="228" t="str">
        <f t="shared" si="8"/>
        <v/>
      </c>
    </row>
    <row r="164" spans="1:11">
      <c r="A164" s="227" t="s">
        <v>144</v>
      </c>
      <c r="B164" s="197" t="s">
        <v>317</v>
      </c>
      <c r="C164" s="198">
        <v>84.549648000000005</v>
      </c>
      <c r="D164" s="198">
        <v>83.330256451599993</v>
      </c>
      <c r="E164" s="198">
        <v>83.330256451599993</v>
      </c>
      <c r="F164" s="198">
        <v>89.057788776000649</v>
      </c>
      <c r="G164" s="198">
        <v>124.98280708097418</v>
      </c>
      <c r="H164" s="198">
        <f t="shared" si="6"/>
        <v>89.057788776000649</v>
      </c>
      <c r="I164" s="228" t="str">
        <f t="shared" si="7"/>
        <v/>
      </c>
      <c r="J164" s="228" t="str">
        <f t="shared" si="8"/>
        <v/>
      </c>
    </row>
    <row r="165" spans="1:11">
      <c r="A165" s="227" t="s">
        <v>144</v>
      </c>
      <c r="B165" s="197" t="s">
        <v>318</v>
      </c>
      <c r="C165" s="198">
        <v>82.498295999999996</v>
      </c>
      <c r="D165" s="198">
        <v>83.330256451599993</v>
      </c>
      <c r="E165" s="198">
        <v>82.498295999999996</v>
      </c>
      <c r="F165" s="198">
        <v>97.746319657999436</v>
      </c>
      <c r="G165" s="198">
        <v>124.98280708097418</v>
      </c>
      <c r="H165" s="198">
        <f t="shared" si="6"/>
        <v>97.746319657999436</v>
      </c>
      <c r="I165" s="228" t="str">
        <f t="shared" si="7"/>
        <v/>
      </c>
      <c r="J165" s="228" t="str">
        <f t="shared" si="8"/>
        <v/>
      </c>
    </row>
    <row r="166" spans="1:11">
      <c r="A166" s="227" t="s">
        <v>144</v>
      </c>
      <c r="B166" s="197" t="s">
        <v>319</v>
      </c>
      <c r="C166" s="198">
        <v>83.478333000000006</v>
      </c>
      <c r="D166" s="198">
        <v>83.330256451599993</v>
      </c>
      <c r="E166" s="198">
        <v>83.330256451599993</v>
      </c>
      <c r="F166" s="198">
        <v>91.451193731999965</v>
      </c>
      <c r="G166" s="198">
        <v>124.98280708097418</v>
      </c>
      <c r="H166" s="198">
        <f t="shared" si="6"/>
        <v>91.451193731999965</v>
      </c>
      <c r="I166" s="228" t="str">
        <f t="shared" si="7"/>
        <v/>
      </c>
      <c r="J166" s="228" t="str">
        <f t="shared" si="8"/>
        <v/>
      </c>
    </row>
    <row r="167" spans="1:11">
      <c r="A167" s="227" t="s">
        <v>144</v>
      </c>
      <c r="B167" s="197" t="s">
        <v>320</v>
      </c>
      <c r="C167" s="198">
        <v>-326.08741500000002</v>
      </c>
      <c r="D167" s="198">
        <v>83.330256451599993</v>
      </c>
      <c r="E167" s="198">
        <v>-326.08741500000002</v>
      </c>
      <c r="F167" s="198">
        <v>99.354976072000142</v>
      </c>
      <c r="G167" s="198">
        <v>124.98280708097418</v>
      </c>
      <c r="H167" s="198">
        <f t="shared" si="6"/>
        <v>99.354976072000142</v>
      </c>
      <c r="I167" s="228" t="str">
        <f t="shared" si="7"/>
        <v/>
      </c>
      <c r="J167" s="228" t="str">
        <f t="shared" si="8"/>
        <v/>
      </c>
    </row>
    <row r="168" spans="1:11">
      <c r="A168" s="227" t="s">
        <v>144</v>
      </c>
      <c r="B168" s="197" t="s">
        <v>321</v>
      </c>
      <c r="C168" s="198">
        <v>492.837513</v>
      </c>
      <c r="D168" s="198">
        <v>83.330256451599993</v>
      </c>
      <c r="E168" s="198">
        <v>83.330256451599993</v>
      </c>
      <c r="F168" s="198">
        <v>81.710791740000388</v>
      </c>
      <c r="G168" s="198">
        <v>124.98280708097418</v>
      </c>
      <c r="H168" s="198">
        <f t="shared" si="6"/>
        <v>81.710791740000388</v>
      </c>
      <c r="I168" s="228" t="str">
        <f t="shared" si="7"/>
        <v/>
      </c>
      <c r="J168" s="228" t="str">
        <f t="shared" si="8"/>
        <v/>
      </c>
    </row>
    <row r="169" spans="1:11">
      <c r="A169" s="227" t="s">
        <v>144</v>
      </c>
      <c r="B169" s="197" t="s">
        <v>322</v>
      </c>
      <c r="C169" s="198">
        <v>75.921851000000004</v>
      </c>
      <c r="D169" s="198">
        <v>83.330256451599993</v>
      </c>
      <c r="E169" s="198">
        <v>75.921851000000004</v>
      </c>
      <c r="F169" s="198">
        <v>77.973660599999278</v>
      </c>
      <c r="G169" s="198">
        <v>124.98280708097418</v>
      </c>
      <c r="H169" s="198">
        <f t="shared" si="6"/>
        <v>77.973660599999278</v>
      </c>
      <c r="I169" s="228" t="str">
        <f t="shared" si="7"/>
        <v/>
      </c>
      <c r="J169" s="228" t="str">
        <f t="shared" si="8"/>
        <v/>
      </c>
    </row>
    <row r="170" spans="1:11">
      <c r="A170" s="227" t="s">
        <v>144</v>
      </c>
      <c r="B170" s="197" t="s">
        <v>323</v>
      </c>
      <c r="C170" s="198">
        <v>86.718941999999998</v>
      </c>
      <c r="D170" s="198">
        <v>83.330256451599993</v>
      </c>
      <c r="E170" s="198">
        <v>83.330256451599993</v>
      </c>
      <c r="F170" s="198">
        <v>81.400291526000757</v>
      </c>
      <c r="G170" s="198">
        <v>124.98280708097418</v>
      </c>
      <c r="H170" s="198">
        <f t="shared" si="6"/>
        <v>81.400291526000757</v>
      </c>
      <c r="I170" s="228" t="str">
        <f t="shared" si="7"/>
        <v/>
      </c>
      <c r="J170" s="228" t="str">
        <f t="shared" si="8"/>
        <v>E</v>
      </c>
      <c r="K170" s="229">
        <f>IF(DAY(B170)=15,G170,"")</f>
        <v>124.98280708097418</v>
      </c>
    </row>
    <row r="171" spans="1:11">
      <c r="A171" s="227" t="s">
        <v>144</v>
      </c>
      <c r="B171" s="197" t="s">
        <v>324</v>
      </c>
      <c r="C171" s="198">
        <v>83.349536000000001</v>
      </c>
      <c r="D171" s="198">
        <v>83.330256451599993</v>
      </c>
      <c r="E171" s="198">
        <v>83.330256451599993</v>
      </c>
      <c r="F171" s="198">
        <v>81.138783311999532</v>
      </c>
      <c r="G171" s="198">
        <v>124.98280708097418</v>
      </c>
      <c r="H171" s="198">
        <f t="shared" si="6"/>
        <v>81.138783311999532</v>
      </c>
      <c r="I171" s="228" t="str">
        <f t="shared" si="7"/>
        <v/>
      </c>
      <c r="J171" s="228" t="str">
        <f t="shared" si="8"/>
        <v/>
      </c>
    </row>
    <row r="172" spans="1:11">
      <c r="A172" s="227" t="s">
        <v>144</v>
      </c>
      <c r="B172" s="197" t="s">
        <v>325</v>
      </c>
      <c r="C172" s="198">
        <v>86.822385999999995</v>
      </c>
      <c r="D172" s="198">
        <v>83.330256451599993</v>
      </c>
      <c r="E172" s="198">
        <v>83.330256451599993</v>
      </c>
      <c r="F172" s="198">
        <v>93.616283954000266</v>
      </c>
      <c r="G172" s="198">
        <v>124.98280708097418</v>
      </c>
      <c r="H172" s="198">
        <f t="shared" si="6"/>
        <v>93.616283954000266</v>
      </c>
      <c r="I172" s="228" t="str">
        <f t="shared" si="7"/>
        <v/>
      </c>
      <c r="J172" s="228" t="str">
        <f t="shared" si="8"/>
        <v/>
      </c>
    </row>
    <row r="173" spans="1:11">
      <c r="A173" s="227" t="s">
        <v>144</v>
      </c>
      <c r="B173" s="197" t="s">
        <v>326</v>
      </c>
      <c r="C173" s="198">
        <v>88.651251000000002</v>
      </c>
      <c r="D173" s="198">
        <v>83.330256451599993</v>
      </c>
      <c r="E173" s="198">
        <v>83.330256451599993</v>
      </c>
      <c r="F173" s="198">
        <v>74.600712667999915</v>
      </c>
      <c r="G173" s="198">
        <v>124.98280708097418</v>
      </c>
      <c r="H173" s="198">
        <f t="shared" si="6"/>
        <v>74.600712667999915</v>
      </c>
      <c r="I173" s="228" t="str">
        <f t="shared" si="7"/>
        <v/>
      </c>
      <c r="J173" s="228" t="str">
        <f t="shared" si="8"/>
        <v/>
      </c>
    </row>
    <row r="174" spans="1:11">
      <c r="A174" s="227" t="s">
        <v>144</v>
      </c>
      <c r="B174" s="197" t="s">
        <v>327</v>
      </c>
      <c r="C174" s="198">
        <v>-354.80334099999999</v>
      </c>
      <c r="D174" s="198">
        <v>83.330256451599993</v>
      </c>
      <c r="E174" s="198">
        <v>-354.80334099999999</v>
      </c>
      <c r="F174" s="198">
        <v>60.50250124600025</v>
      </c>
      <c r="G174" s="198">
        <v>124.98280708097418</v>
      </c>
      <c r="H174" s="198">
        <f t="shared" si="6"/>
        <v>60.50250124600025</v>
      </c>
      <c r="I174" s="228" t="str">
        <f t="shared" si="7"/>
        <v/>
      </c>
      <c r="J174" s="228" t="str">
        <f t="shared" si="8"/>
        <v/>
      </c>
    </row>
    <row r="175" spans="1:11">
      <c r="A175" s="227" t="s">
        <v>144</v>
      </c>
      <c r="B175" s="197" t="s">
        <v>328</v>
      </c>
      <c r="C175" s="198">
        <v>488.35727700000001</v>
      </c>
      <c r="D175" s="198">
        <v>83.330256451599993</v>
      </c>
      <c r="E175" s="198">
        <v>83.330256451599993</v>
      </c>
      <c r="F175" s="198">
        <v>56.853155999999871</v>
      </c>
      <c r="G175" s="198">
        <v>124.98280708097418</v>
      </c>
      <c r="H175" s="198">
        <f t="shared" si="6"/>
        <v>56.853155999999871</v>
      </c>
      <c r="I175" s="228" t="str">
        <f t="shared" si="7"/>
        <v/>
      </c>
      <c r="J175" s="228" t="str">
        <f t="shared" si="8"/>
        <v/>
      </c>
    </row>
    <row r="176" spans="1:11">
      <c r="A176" s="227" t="s">
        <v>144</v>
      </c>
      <c r="B176" s="197" t="s">
        <v>329</v>
      </c>
      <c r="C176" s="198">
        <v>81.406131999999999</v>
      </c>
      <c r="D176" s="198">
        <v>83.330256451599993</v>
      </c>
      <c r="E176" s="198">
        <v>81.406131999999999</v>
      </c>
      <c r="F176" s="198">
        <v>86.302323279999484</v>
      </c>
      <c r="G176" s="198">
        <v>124.98280708097418</v>
      </c>
      <c r="H176" s="198">
        <f t="shared" si="6"/>
        <v>86.302323279999484</v>
      </c>
      <c r="I176" s="228" t="str">
        <f t="shared" si="7"/>
        <v/>
      </c>
      <c r="J176" s="228" t="str">
        <f t="shared" si="8"/>
        <v/>
      </c>
    </row>
    <row r="177" spans="1:10">
      <c r="A177" s="227" t="s">
        <v>144</v>
      </c>
      <c r="B177" s="197" t="s">
        <v>330</v>
      </c>
      <c r="C177" s="198">
        <v>73.672856999999993</v>
      </c>
      <c r="D177" s="198">
        <v>83.330256451599993</v>
      </c>
      <c r="E177" s="198">
        <v>73.672856999999993</v>
      </c>
      <c r="F177" s="198">
        <v>93.464488322000363</v>
      </c>
      <c r="G177" s="198">
        <v>124.98280708097418</v>
      </c>
      <c r="H177" s="198">
        <f t="shared" si="6"/>
        <v>93.464488322000363</v>
      </c>
      <c r="I177" s="228" t="str">
        <f t="shared" si="7"/>
        <v/>
      </c>
      <c r="J177" s="228" t="str">
        <f t="shared" si="8"/>
        <v/>
      </c>
    </row>
    <row r="178" spans="1:10">
      <c r="A178" s="227" t="s">
        <v>144</v>
      </c>
      <c r="B178" s="197" t="s">
        <v>331</v>
      </c>
      <c r="C178" s="198">
        <v>72.636982000000003</v>
      </c>
      <c r="D178" s="198">
        <v>83.330256451599993</v>
      </c>
      <c r="E178" s="198">
        <v>72.636982000000003</v>
      </c>
      <c r="F178" s="198">
        <v>71.189762038000012</v>
      </c>
      <c r="G178" s="198">
        <v>124.98280708097418</v>
      </c>
      <c r="H178" s="198">
        <f t="shared" si="6"/>
        <v>71.189762038000012</v>
      </c>
      <c r="I178" s="228" t="str">
        <f t="shared" si="7"/>
        <v/>
      </c>
      <c r="J178" s="228" t="str">
        <f t="shared" si="8"/>
        <v/>
      </c>
    </row>
    <row r="179" spans="1:10">
      <c r="A179" s="227" t="s">
        <v>144</v>
      </c>
      <c r="B179" s="197" t="s">
        <v>332</v>
      </c>
      <c r="C179" s="198">
        <v>70.393180999999998</v>
      </c>
      <c r="D179" s="198">
        <v>83.330256451599993</v>
      </c>
      <c r="E179" s="198">
        <v>70.393180999999998</v>
      </c>
      <c r="F179" s="198">
        <v>75.819592997999592</v>
      </c>
      <c r="G179" s="198">
        <v>124.98280708097418</v>
      </c>
      <c r="H179" s="198">
        <f t="shared" si="6"/>
        <v>75.819592997999592</v>
      </c>
      <c r="I179" s="228" t="str">
        <f t="shared" si="7"/>
        <v/>
      </c>
      <c r="J179" s="228" t="str">
        <f t="shared" si="8"/>
        <v/>
      </c>
    </row>
    <row r="180" spans="1:10">
      <c r="A180" s="227" t="s">
        <v>144</v>
      </c>
      <c r="B180" s="197" t="s">
        <v>333</v>
      </c>
      <c r="C180" s="198">
        <v>64.793548999999999</v>
      </c>
      <c r="D180" s="198">
        <v>83.330256451599993</v>
      </c>
      <c r="E180" s="198">
        <v>64.793548999999999</v>
      </c>
      <c r="F180" s="198">
        <v>73.803920154000323</v>
      </c>
      <c r="G180" s="198">
        <v>124.98280708097418</v>
      </c>
      <c r="H180" s="198">
        <f t="shared" si="6"/>
        <v>73.803920154000323</v>
      </c>
      <c r="I180" s="228" t="str">
        <f t="shared" si="7"/>
        <v/>
      </c>
      <c r="J180" s="228" t="str">
        <f t="shared" si="8"/>
        <v/>
      </c>
    </row>
    <row r="181" spans="1:10">
      <c r="A181" s="227" t="s">
        <v>144</v>
      </c>
      <c r="B181" s="197" t="s">
        <v>334</v>
      </c>
      <c r="C181" s="198">
        <v>-345.31882400000001</v>
      </c>
      <c r="D181" s="198">
        <v>83.330256451599993</v>
      </c>
      <c r="E181" s="198">
        <v>-345.31882400000001</v>
      </c>
      <c r="F181" s="198">
        <v>88.085838406000491</v>
      </c>
      <c r="G181" s="198">
        <v>124.98280708097418</v>
      </c>
      <c r="H181" s="198">
        <f t="shared" si="6"/>
        <v>88.085838406000491</v>
      </c>
      <c r="I181" s="228" t="str">
        <f t="shared" si="7"/>
        <v/>
      </c>
      <c r="J181" s="228" t="str">
        <f t="shared" si="8"/>
        <v/>
      </c>
    </row>
    <row r="182" spans="1:10">
      <c r="A182" s="227" t="s">
        <v>144</v>
      </c>
      <c r="B182" s="197" t="s">
        <v>335</v>
      </c>
      <c r="C182" s="198">
        <v>491.90676100000002</v>
      </c>
      <c r="D182" s="198">
        <v>83.330256451599993</v>
      </c>
      <c r="E182" s="198">
        <v>83.330256451599993</v>
      </c>
      <c r="F182" s="198">
        <v>76.303520011999368</v>
      </c>
      <c r="G182" s="198">
        <v>124.98280708097418</v>
      </c>
      <c r="H182" s="198">
        <f t="shared" si="6"/>
        <v>76.303520011999368</v>
      </c>
      <c r="I182" s="228" t="str">
        <f t="shared" si="7"/>
        <v/>
      </c>
      <c r="J182" s="228" t="str">
        <f t="shared" si="8"/>
        <v/>
      </c>
    </row>
    <row r="183" spans="1:10">
      <c r="A183" s="227" t="s">
        <v>144</v>
      </c>
      <c r="B183" s="197" t="s">
        <v>336</v>
      </c>
      <c r="C183" s="198">
        <v>70.368842999999998</v>
      </c>
      <c r="D183" s="198">
        <v>83.330256451599993</v>
      </c>
      <c r="E183" s="198">
        <v>70.368842999999998</v>
      </c>
      <c r="F183" s="198">
        <v>74.452592027999998</v>
      </c>
      <c r="G183" s="198">
        <v>124.98280708097418</v>
      </c>
      <c r="H183" s="198">
        <f t="shared" si="6"/>
        <v>74.452592027999998</v>
      </c>
      <c r="I183" s="228" t="str">
        <f t="shared" si="7"/>
        <v/>
      </c>
      <c r="J183" s="228" t="str">
        <f t="shared" si="8"/>
        <v/>
      </c>
    </row>
    <row r="184" spans="1:10">
      <c r="A184" s="227" t="s">
        <v>144</v>
      </c>
      <c r="B184" s="197" t="s">
        <v>337</v>
      </c>
      <c r="C184" s="198">
        <v>68.744490999999996</v>
      </c>
      <c r="D184" s="198">
        <v>83.330256451599993</v>
      </c>
      <c r="E184" s="198">
        <v>68.744490999999996</v>
      </c>
      <c r="F184" s="198">
        <v>75.976408010000327</v>
      </c>
      <c r="G184" s="198">
        <v>124.98280708097418</v>
      </c>
      <c r="H184" s="198">
        <f t="shared" si="6"/>
        <v>75.976408010000327</v>
      </c>
      <c r="I184" s="228" t="str">
        <f t="shared" si="7"/>
        <v/>
      </c>
      <c r="J184" s="228" t="str">
        <f t="shared" si="8"/>
        <v/>
      </c>
    </row>
    <row r="185" spans="1:10">
      <c r="A185" s="227" t="s">
        <v>144</v>
      </c>
      <c r="B185" s="197" t="s">
        <v>338</v>
      </c>
      <c r="C185" s="198">
        <v>63.559975999999999</v>
      </c>
      <c r="D185" s="198">
        <v>83.330256451599993</v>
      </c>
      <c r="E185" s="198">
        <v>63.559975999999999</v>
      </c>
      <c r="F185" s="198">
        <v>62.36761392399977</v>
      </c>
      <c r="G185" s="198">
        <v>124.98280708097418</v>
      </c>
      <c r="H185" s="198">
        <f t="shared" si="6"/>
        <v>62.36761392399977</v>
      </c>
      <c r="I185" s="228" t="str">
        <f t="shared" si="7"/>
        <v/>
      </c>
      <c r="J185" s="228" t="str">
        <f t="shared" si="8"/>
        <v/>
      </c>
    </row>
    <row r="186" spans="1:10">
      <c r="A186" s="227" t="s">
        <v>144</v>
      </c>
      <c r="B186" s="197" t="s">
        <v>339</v>
      </c>
      <c r="C186" s="198">
        <v>67.782490999999993</v>
      </c>
      <c r="D186" s="198">
        <v>83.330256451599993</v>
      </c>
      <c r="E186" s="198">
        <v>67.782490999999993</v>
      </c>
      <c r="F186" s="198">
        <v>65.397373878000082</v>
      </c>
      <c r="G186" s="198">
        <v>124.98280708097418</v>
      </c>
      <c r="H186" s="198">
        <f t="shared" si="6"/>
        <v>65.397373878000082</v>
      </c>
      <c r="I186" s="228" t="str">
        <f t="shared" si="7"/>
        <v/>
      </c>
      <c r="J186" s="228" t="str">
        <f t="shared" si="8"/>
        <v/>
      </c>
    </row>
    <row r="187" spans="1:10">
      <c r="A187" s="227" t="s">
        <v>96</v>
      </c>
      <c r="B187" s="197" t="s">
        <v>340</v>
      </c>
      <c r="C187" s="198">
        <v>74.534948</v>
      </c>
      <c r="D187" s="198">
        <v>94.928023071400006</v>
      </c>
      <c r="E187" s="198">
        <v>74.534948</v>
      </c>
      <c r="F187" s="198">
        <v>61.320107000000412</v>
      </c>
      <c r="G187" s="198">
        <v>122.23474632144273</v>
      </c>
      <c r="H187" s="198">
        <f t="shared" si="6"/>
        <v>61.320107000000412</v>
      </c>
      <c r="I187" s="228">
        <f t="shared" si="7"/>
        <v>600</v>
      </c>
      <c r="J187" s="228" t="str">
        <f t="shared" si="8"/>
        <v/>
      </c>
    </row>
    <row r="188" spans="1:10">
      <c r="A188" s="227" t="s">
        <v>96</v>
      </c>
      <c r="B188" s="197" t="s">
        <v>341</v>
      </c>
      <c r="C188" s="198">
        <v>-352.67725200000001</v>
      </c>
      <c r="D188" s="198">
        <v>94.928023071400006</v>
      </c>
      <c r="E188" s="198">
        <v>-352.67725200000001</v>
      </c>
      <c r="F188" s="198">
        <v>70.408047835999724</v>
      </c>
      <c r="G188" s="198">
        <v>122.23474632144273</v>
      </c>
      <c r="H188" s="198">
        <f t="shared" si="6"/>
        <v>70.408047835999724</v>
      </c>
      <c r="I188" s="228" t="str">
        <f t="shared" si="7"/>
        <v/>
      </c>
      <c r="J188" s="228" t="str">
        <f t="shared" si="8"/>
        <v/>
      </c>
    </row>
    <row r="189" spans="1:10">
      <c r="A189" s="227" t="s">
        <v>96</v>
      </c>
      <c r="B189" s="197" t="s">
        <v>342</v>
      </c>
      <c r="C189" s="198">
        <v>479.79205300000001</v>
      </c>
      <c r="D189" s="198">
        <v>94.928023071400006</v>
      </c>
      <c r="E189" s="198">
        <v>94.928023071400006</v>
      </c>
      <c r="F189" s="198">
        <v>60.044947275999668</v>
      </c>
      <c r="G189" s="198">
        <v>122.23474632144273</v>
      </c>
      <c r="H189" s="198">
        <f t="shared" si="6"/>
        <v>60.044947275999668</v>
      </c>
      <c r="I189" s="228" t="str">
        <f t="shared" si="7"/>
        <v/>
      </c>
      <c r="J189" s="228" t="str">
        <f t="shared" si="8"/>
        <v/>
      </c>
    </row>
    <row r="190" spans="1:10">
      <c r="A190" s="227" t="s">
        <v>96</v>
      </c>
      <c r="B190" s="197" t="s">
        <v>343</v>
      </c>
      <c r="C190" s="198">
        <v>78.854569999999995</v>
      </c>
      <c r="D190" s="198">
        <v>94.928023071400006</v>
      </c>
      <c r="E190" s="198">
        <v>78.854569999999995</v>
      </c>
      <c r="F190" s="198">
        <v>82.093600379999714</v>
      </c>
      <c r="G190" s="198">
        <v>122.23474632144273</v>
      </c>
      <c r="H190" s="198">
        <f t="shared" si="6"/>
        <v>82.093600379999714</v>
      </c>
      <c r="I190" s="228" t="str">
        <f t="shared" si="7"/>
        <v/>
      </c>
      <c r="J190" s="228" t="str">
        <f t="shared" si="8"/>
        <v/>
      </c>
    </row>
    <row r="191" spans="1:10">
      <c r="A191" s="227" t="s">
        <v>96</v>
      </c>
      <c r="B191" s="197" t="s">
        <v>344</v>
      </c>
      <c r="C191" s="198">
        <v>76.319726000000003</v>
      </c>
      <c r="D191" s="198">
        <v>94.928023071400006</v>
      </c>
      <c r="E191" s="198">
        <v>76.319726000000003</v>
      </c>
      <c r="F191" s="198">
        <v>79.307979846000663</v>
      </c>
      <c r="G191" s="198">
        <v>122.23474632144273</v>
      </c>
      <c r="H191" s="198">
        <f t="shared" si="6"/>
        <v>79.307979846000663</v>
      </c>
      <c r="I191" s="228" t="str">
        <f t="shared" si="7"/>
        <v/>
      </c>
      <c r="J191" s="228" t="str">
        <f t="shared" si="8"/>
        <v/>
      </c>
    </row>
    <row r="192" spans="1:10">
      <c r="A192" s="227" t="s">
        <v>96</v>
      </c>
      <c r="B192" s="197" t="s">
        <v>345</v>
      </c>
      <c r="C192" s="198">
        <v>63.823903000000001</v>
      </c>
      <c r="D192" s="198">
        <v>94.928023071400006</v>
      </c>
      <c r="E192" s="198">
        <v>63.823903000000001</v>
      </c>
      <c r="F192" s="198">
        <v>78.384310319999443</v>
      </c>
      <c r="G192" s="198">
        <v>122.23474632144273</v>
      </c>
      <c r="H192" s="198">
        <f t="shared" si="6"/>
        <v>78.384310319999443</v>
      </c>
      <c r="I192" s="228" t="str">
        <f t="shared" si="7"/>
        <v/>
      </c>
      <c r="J192" s="228" t="str">
        <f t="shared" si="8"/>
        <v/>
      </c>
    </row>
    <row r="193" spans="1:11">
      <c r="A193" s="227" t="s">
        <v>96</v>
      </c>
      <c r="B193" s="197" t="s">
        <v>346</v>
      </c>
      <c r="C193" s="198">
        <v>78.307693</v>
      </c>
      <c r="D193" s="198">
        <v>94.928023071400006</v>
      </c>
      <c r="E193" s="198">
        <v>78.307693</v>
      </c>
      <c r="F193" s="198">
        <v>63.714278916000666</v>
      </c>
      <c r="G193" s="198">
        <v>122.23474632144273</v>
      </c>
      <c r="H193" s="198">
        <f t="shared" si="6"/>
        <v>63.714278916000666</v>
      </c>
      <c r="I193" s="228" t="str">
        <f t="shared" si="7"/>
        <v/>
      </c>
      <c r="J193" s="228" t="str">
        <f t="shared" si="8"/>
        <v/>
      </c>
    </row>
    <row r="194" spans="1:11">
      <c r="A194" s="227" t="s">
        <v>96</v>
      </c>
      <c r="B194" s="197" t="s">
        <v>347</v>
      </c>
      <c r="C194" s="198">
        <v>-17.919635</v>
      </c>
      <c r="D194" s="198">
        <v>94.928023071400006</v>
      </c>
      <c r="E194" s="198">
        <v>-17.919635</v>
      </c>
      <c r="F194" s="198">
        <v>63.773546533999586</v>
      </c>
      <c r="G194" s="198">
        <v>122.23474632144273</v>
      </c>
      <c r="H194" s="198">
        <f t="shared" si="6"/>
        <v>63.773546533999586</v>
      </c>
      <c r="I194" s="228" t="str">
        <f t="shared" si="7"/>
        <v/>
      </c>
      <c r="J194" s="228" t="str">
        <f t="shared" si="8"/>
        <v/>
      </c>
    </row>
    <row r="195" spans="1:11">
      <c r="A195" s="227" t="s">
        <v>96</v>
      </c>
      <c r="B195" s="197" t="s">
        <v>348</v>
      </c>
      <c r="C195" s="198">
        <v>-228.501328</v>
      </c>
      <c r="D195" s="198">
        <v>94.928023071400006</v>
      </c>
      <c r="E195" s="198">
        <v>-228.501328</v>
      </c>
      <c r="F195" s="198">
        <v>69.168721578000103</v>
      </c>
      <c r="G195" s="198">
        <v>122.23474632144273</v>
      </c>
      <c r="H195" s="198">
        <f t="shared" si="6"/>
        <v>69.168721578000103</v>
      </c>
      <c r="I195" s="228" t="str">
        <f t="shared" si="7"/>
        <v/>
      </c>
      <c r="J195" s="228" t="str">
        <f t="shared" si="8"/>
        <v/>
      </c>
    </row>
    <row r="196" spans="1:11">
      <c r="A196" s="227" t="s">
        <v>96</v>
      </c>
      <c r="B196" s="197" t="s">
        <v>349</v>
      </c>
      <c r="C196" s="198">
        <v>486.308671</v>
      </c>
      <c r="D196" s="198">
        <v>94.928023071400006</v>
      </c>
      <c r="E196" s="198">
        <v>94.928023071400006</v>
      </c>
      <c r="F196" s="198">
        <v>68.617211094000126</v>
      </c>
      <c r="G196" s="198">
        <v>122.23474632144273</v>
      </c>
      <c r="H196" s="198">
        <f t="shared" ref="H196:H259" si="9">IF(F196&lt;G196,F196,G196)</f>
        <v>68.617211094000126</v>
      </c>
      <c r="I196" s="228" t="str">
        <f t="shared" ref="I196:I259" si="10">IF(DAY(B196)=1,600,"")</f>
        <v/>
      </c>
      <c r="J196" s="228" t="str">
        <f t="shared" ref="J196:J259" si="11">IF(DAY(B196)=15,MID(A196,1,1),"")</f>
        <v/>
      </c>
    </row>
    <row r="197" spans="1:11">
      <c r="A197" s="227" t="s">
        <v>96</v>
      </c>
      <c r="B197" s="197" t="s">
        <v>350</v>
      </c>
      <c r="C197" s="198">
        <v>86.980097000000001</v>
      </c>
      <c r="D197" s="198">
        <v>94.928023071400006</v>
      </c>
      <c r="E197" s="198">
        <v>86.980097000000001</v>
      </c>
      <c r="F197" s="198">
        <v>96.284544532000254</v>
      </c>
      <c r="G197" s="198">
        <v>122.23474632144273</v>
      </c>
      <c r="H197" s="198">
        <f t="shared" si="9"/>
        <v>96.284544532000254</v>
      </c>
      <c r="I197" s="228" t="str">
        <f t="shared" si="10"/>
        <v/>
      </c>
      <c r="J197" s="228" t="str">
        <f t="shared" si="11"/>
        <v/>
      </c>
    </row>
    <row r="198" spans="1:11">
      <c r="A198" s="227" t="s">
        <v>96</v>
      </c>
      <c r="B198" s="197" t="s">
        <v>351</v>
      </c>
      <c r="C198" s="198">
        <v>90.961118999999997</v>
      </c>
      <c r="D198" s="198">
        <v>94.928023071400006</v>
      </c>
      <c r="E198" s="198">
        <v>90.961118999999997</v>
      </c>
      <c r="F198" s="198">
        <v>69.455795871999698</v>
      </c>
      <c r="G198" s="198">
        <v>122.23474632144273</v>
      </c>
      <c r="H198" s="198">
        <f t="shared" si="9"/>
        <v>69.455795871999698</v>
      </c>
      <c r="I198" s="228" t="str">
        <f t="shared" si="10"/>
        <v/>
      </c>
      <c r="J198" s="228" t="str">
        <f t="shared" si="11"/>
        <v/>
      </c>
    </row>
    <row r="199" spans="1:11">
      <c r="A199" s="227" t="s">
        <v>96</v>
      </c>
      <c r="B199" s="197" t="s">
        <v>352</v>
      </c>
      <c r="C199" s="198">
        <v>97.086329000000006</v>
      </c>
      <c r="D199" s="198">
        <v>94.928023071400006</v>
      </c>
      <c r="E199" s="198">
        <v>94.928023071400006</v>
      </c>
      <c r="F199" s="198">
        <v>93.814750927999995</v>
      </c>
      <c r="G199" s="198">
        <v>122.23474632144273</v>
      </c>
      <c r="H199" s="198">
        <f t="shared" si="9"/>
        <v>93.814750927999995</v>
      </c>
      <c r="I199" s="228" t="str">
        <f t="shared" si="10"/>
        <v/>
      </c>
      <c r="J199" s="228" t="str">
        <f t="shared" si="11"/>
        <v/>
      </c>
    </row>
    <row r="200" spans="1:11">
      <c r="A200" s="227" t="s">
        <v>96</v>
      </c>
      <c r="B200" s="197" t="s">
        <v>155</v>
      </c>
      <c r="C200" s="198">
        <v>116.31358899999999</v>
      </c>
      <c r="D200" s="198">
        <v>94.928023071400006</v>
      </c>
      <c r="E200" s="198">
        <v>94.928023071400006</v>
      </c>
      <c r="F200" s="198">
        <v>113.11947389800008</v>
      </c>
      <c r="G200" s="198">
        <v>122.23474632144273</v>
      </c>
      <c r="H200" s="198">
        <f t="shared" si="9"/>
        <v>113.11947389800008</v>
      </c>
      <c r="I200" s="228" t="str">
        <f t="shared" si="10"/>
        <v/>
      </c>
      <c r="J200" s="228" t="str">
        <f t="shared" si="11"/>
        <v/>
      </c>
    </row>
    <row r="201" spans="1:11">
      <c r="A201" s="227" t="s">
        <v>96</v>
      </c>
      <c r="B201" s="197" t="s">
        <v>353</v>
      </c>
      <c r="C201" s="198">
        <v>125.421982</v>
      </c>
      <c r="D201" s="198">
        <v>94.928023071400006</v>
      </c>
      <c r="E201" s="198">
        <v>94.928023071400006</v>
      </c>
      <c r="F201" s="198">
        <v>132.86094856600002</v>
      </c>
      <c r="G201" s="198">
        <v>122.23474632144273</v>
      </c>
      <c r="H201" s="198">
        <f t="shared" si="9"/>
        <v>122.23474632144273</v>
      </c>
      <c r="I201" s="228" t="str">
        <f t="shared" si="10"/>
        <v/>
      </c>
      <c r="J201" s="228" t="str">
        <f t="shared" si="11"/>
        <v>F</v>
      </c>
      <c r="K201" s="229">
        <f>IF(DAY(B201)=15,G201,"")</f>
        <v>122.23474632144273</v>
      </c>
    </row>
    <row r="202" spans="1:11">
      <c r="A202" s="227" t="s">
        <v>96</v>
      </c>
      <c r="B202" s="197" t="s">
        <v>354</v>
      </c>
      <c r="C202" s="198">
        <v>-288.27411599999999</v>
      </c>
      <c r="D202" s="198">
        <v>94.928023071400006</v>
      </c>
      <c r="E202" s="198">
        <v>-288.27411599999999</v>
      </c>
      <c r="F202" s="198">
        <v>127.98583556600002</v>
      </c>
      <c r="G202" s="198">
        <v>122.23474632144273</v>
      </c>
      <c r="H202" s="198">
        <f t="shared" si="9"/>
        <v>122.23474632144273</v>
      </c>
      <c r="I202" s="228" t="str">
        <f t="shared" si="10"/>
        <v/>
      </c>
      <c r="J202" s="228" t="str">
        <f t="shared" si="11"/>
        <v/>
      </c>
    </row>
    <row r="203" spans="1:11">
      <c r="A203" s="227" t="s">
        <v>96</v>
      </c>
      <c r="B203" s="197" t="s">
        <v>355</v>
      </c>
      <c r="C203" s="198">
        <v>549.64842899999996</v>
      </c>
      <c r="D203" s="198">
        <v>94.928023071400006</v>
      </c>
      <c r="E203" s="198">
        <v>94.928023071400006</v>
      </c>
      <c r="F203" s="198">
        <v>137.88671529399974</v>
      </c>
      <c r="G203" s="198">
        <v>122.23474632144273</v>
      </c>
      <c r="H203" s="198">
        <f t="shared" si="9"/>
        <v>122.23474632144273</v>
      </c>
      <c r="I203" s="228" t="str">
        <f t="shared" si="10"/>
        <v/>
      </c>
      <c r="J203" s="228" t="str">
        <f t="shared" si="11"/>
        <v/>
      </c>
    </row>
    <row r="204" spans="1:11">
      <c r="A204" s="227" t="s">
        <v>96</v>
      </c>
      <c r="B204" s="197" t="s">
        <v>356</v>
      </c>
      <c r="C204" s="198">
        <v>123.882386</v>
      </c>
      <c r="D204" s="198">
        <v>94.928023071400006</v>
      </c>
      <c r="E204" s="198">
        <v>94.928023071400006</v>
      </c>
      <c r="F204" s="198">
        <v>132.59916086599983</v>
      </c>
      <c r="G204" s="198">
        <v>122.23474632144273</v>
      </c>
      <c r="H204" s="198">
        <f t="shared" si="9"/>
        <v>122.23474632144273</v>
      </c>
      <c r="I204" s="228" t="str">
        <f t="shared" si="10"/>
        <v/>
      </c>
      <c r="J204" s="228" t="str">
        <f t="shared" si="11"/>
        <v/>
      </c>
    </row>
    <row r="205" spans="1:11">
      <c r="A205" s="227" t="s">
        <v>96</v>
      </c>
      <c r="B205" s="197" t="s">
        <v>357</v>
      </c>
      <c r="C205" s="198">
        <v>127.550117</v>
      </c>
      <c r="D205" s="198">
        <v>94.928023071400006</v>
      </c>
      <c r="E205" s="198">
        <v>94.928023071400006</v>
      </c>
      <c r="F205" s="198">
        <v>134.07246881600045</v>
      </c>
      <c r="G205" s="198">
        <v>122.23474632144273</v>
      </c>
      <c r="H205" s="198">
        <f t="shared" si="9"/>
        <v>122.23474632144273</v>
      </c>
      <c r="I205" s="228" t="str">
        <f t="shared" si="10"/>
        <v/>
      </c>
      <c r="J205" s="228" t="str">
        <f t="shared" si="11"/>
        <v/>
      </c>
    </row>
    <row r="206" spans="1:11">
      <c r="A206" s="227" t="s">
        <v>96</v>
      </c>
      <c r="B206" s="197" t="s">
        <v>358</v>
      </c>
      <c r="C206" s="198">
        <v>117.654078</v>
      </c>
      <c r="D206" s="198">
        <v>94.928023071400006</v>
      </c>
      <c r="E206" s="198">
        <v>94.928023071400006</v>
      </c>
      <c r="F206" s="198">
        <v>133.95991540599948</v>
      </c>
      <c r="G206" s="198">
        <v>122.23474632144273</v>
      </c>
      <c r="H206" s="198">
        <f t="shared" si="9"/>
        <v>122.23474632144273</v>
      </c>
      <c r="I206" s="228" t="str">
        <f t="shared" si="10"/>
        <v/>
      </c>
      <c r="J206" s="228" t="str">
        <f t="shared" si="11"/>
        <v/>
      </c>
    </row>
    <row r="207" spans="1:11">
      <c r="A207" s="227" t="s">
        <v>96</v>
      </c>
      <c r="B207" s="197" t="s">
        <v>123</v>
      </c>
      <c r="C207" s="198">
        <v>108.751069</v>
      </c>
      <c r="D207" s="198">
        <v>94.928023071400006</v>
      </c>
      <c r="E207" s="198">
        <v>94.928023071400006</v>
      </c>
      <c r="F207" s="198">
        <v>117.93145274400037</v>
      </c>
      <c r="G207" s="198">
        <v>122.23474632144273</v>
      </c>
      <c r="H207" s="198">
        <f t="shared" si="9"/>
        <v>117.93145274400037</v>
      </c>
      <c r="I207" s="228" t="str">
        <f t="shared" si="10"/>
        <v/>
      </c>
      <c r="J207" s="228" t="str">
        <f t="shared" si="11"/>
        <v/>
      </c>
    </row>
    <row r="208" spans="1:11">
      <c r="A208" s="227" t="s">
        <v>96</v>
      </c>
      <c r="B208" s="197" t="s">
        <v>359</v>
      </c>
      <c r="C208" s="198">
        <v>105.995334</v>
      </c>
      <c r="D208" s="198">
        <v>94.928023071400006</v>
      </c>
      <c r="E208" s="198">
        <v>94.928023071400006</v>
      </c>
      <c r="F208" s="198">
        <v>100.07782309400037</v>
      </c>
      <c r="G208" s="198">
        <v>122.23474632144273</v>
      </c>
      <c r="H208" s="198">
        <f t="shared" si="9"/>
        <v>100.07782309400037</v>
      </c>
      <c r="I208" s="228" t="str">
        <f t="shared" si="10"/>
        <v/>
      </c>
      <c r="J208" s="228" t="str">
        <f t="shared" si="11"/>
        <v/>
      </c>
    </row>
    <row r="209" spans="1:10">
      <c r="A209" s="227" t="s">
        <v>96</v>
      </c>
      <c r="B209" s="197" t="s">
        <v>364</v>
      </c>
      <c r="C209" s="198">
        <v>-321.82509800000003</v>
      </c>
      <c r="D209" s="198">
        <v>94.928023071400006</v>
      </c>
      <c r="E209" s="198">
        <v>-321.82509800000003</v>
      </c>
      <c r="F209" s="198">
        <v>63.076357363999243</v>
      </c>
      <c r="G209" s="198">
        <v>122.23474632144273</v>
      </c>
      <c r="H209" s="198">
        <f t="shared" si="9"/>
        <v>63.076357363999243</v>
      </c>
      <c r="I209" s="228" t="str">
        <f t="shared" si="10"/>
        <v/>
      </c>
      <c r="J209" s="228" t="str">
        <f t="shared" si="11"/>
        <v/>
      </c>
    </row>
    <row r="210" spans="1:10">
      <c r="A210" s="227" t="s">
        <v>96</v>
      </c>
      <c r="B210" s="197" t="s">
        <v>365</v>
      </c>
      <c r="C210" s="198">
        <v>505.060723</v>
      </c>
      <c r="D210" s="198">
        <v>94.928023071400006</v>
      </c>
      <c r="E210" s="198">
        <v>94.928023071400006</v>
      </c>
      <c r="F210" s="198">
        <v>95.794510968000537</v>
      </c>
      <c r="G210" s="198">
        <v>122.23474632144273</v>
      </c>
      <c r="H210" s="198">
        <f t="shared" si="9"/>
        <v>95.794510968000537</v>
      </c>
      <c r="I210" s="228" t="str">
        <f t="shared" si="10"/>
        <v/>
      </c>
      <c r="J210" s="228" t="str">
        <f t="shared" si="11"/>
        <v/>
      </c>
    </row>
    <row r="211" spans="1:10">
      <c r="A211" s="227" t="s">
        <v>96</v>
      </c>
      <c r="B211" s="197" t="s">
        <v>366</v>
      </c>
      <c r="C211" s="198">
        <v>78.823020999999997</v>
      </c>
      <c r="D211" s="198">
        <v>94.928023071400006</v>
      </c>
      <c r="E211" s="198">
        <v>78.823020999999997</v>
      </c>
      <c r="F211" s="198">
        <v>87.302452556000148</v>
      </c>
      <c r="G211" s="198">
        <v>122.23474632144273</v>
      </c>
      <c r="H211" s="198">
        <f t="shared" si="9"/>
        <v>87.302452556000148</v>
      </c>
      <c r="I211" s="228" t="str">
        <f t="shared" si="10"/>
        <v/>
      </c>
      <c r="J211" s="228" t="str">
        <f t="shared" si="11"/>
        <v/>
      </c>
    </row>
    <row r="212" spans="1:10">
      <c r="A212" s="227" t="s">
        <v>96</v>
      </c>
      <c r="B212" s="197" t="s">
        <v>367</v>
      </c>
      <c r="C212" s="198">
        <v>103.263805</v>
      </c>
      <c r="D212" s="198">
        <v>94.928023071400006</v>
      </c>
      <c r="E212" s="198">
        <v>94.928023071400006</v>
      </c>
      <c r="F212" s="198">
        <v>94.367169517999599</v>
      </c>
      <c r="G212" s="198">
        <v>122.23474632144273</v>
      </c>
      <c r="H212" s="198">
        <f t="shared" si="9"/>
        <v>94.367169517999599</v>
      </c>
      <c r="I212" s="228" t="str">
        <f t="shared" si="10"/>
        <v/>
      </c>
      <c r="J212" s="228" t="str">
        <f t="shared" si="11"/>
        <v/>
      </c>
    </row>
    <row r="213" spans="1:10">
      <c r="A213" s="227" t="s">
        <v>96</v>
      </c>
      <c r="B213" s="197" t="s">
        <v>368</v>
      </c>
      <c r="C213" s="198">
        <v>88.584940000000003</v>
      </c>
      <c r="D213" s="198">
        <v>94.928023071400006</v>
      </c>
      <c r="E213" s="198">
        <v>88.584940000000003</v>
      </c>
      <c r="F213" s="198">
        <v>72.189071089999842</v>
      </c>
      <c r="G213" s="198">
        <v>122.23474632144273</v>
      </c>
      <c r="H213" s="198">
        <f t="shared" si="9"/>
        <v>72.189071089999842</v>
      </c>
      <c r="I213" s="228" t="str">
        <f t="shared" si="10"/>
        <v/>
      </c>
      <c r="J213" s="228" t="str">
        <f t="shared" si="11"/>
        <v/>
      </c>
    </row>
    <row r="214" spans="1:10">
      <c r="A214" s="227" t="s">
        <v>96</v>
      </c>
      <c r="B214" s="197" t="s">
        <v>120</v>
      </c>
      <c r="C214" s="198">
        <v>103.263493</v>
      </c>
      <c r="D214" s="198">
        <v>94.928023071400006</v>
      </c>
      <c r="E214" s="198">
        <v>94.928023071400006</v>
      </c>
      <c r="F214" s="198">
        <v>105.34451449199975</v>
      </c>
      <c r="G214" s="198">
        <v>122.23474632144273</v>
      </c>
      <c r="H214" s="198">
        <f t="shared" si="9"/>
        <v>105.34451449199975</v>
      </c>
      <c r="I214" s="228" t="str">
        <f t="shared" si="10"/>
        <v/>
      </c>
      <c r="J214" s="228" t="str">
        <f t="shared" si="11"/>
        <v/>
      </c>
    </row>
    <row r="215" spans="1:10">
      <c r="A215" s="227" t="s">
        <v>369</v>
      </c>
      <c r="B215" s="197" t="s">
        <v>370</v>
      </c>
      <c r="C215" s="198">
        <v>160.10392300000001</v>
      </c>
      <c r="D215" s="198">
        <v>232.7661897742</v>
      </c>
      <c r="E215" s="198">
        <v>160.10392300000001</v>
      </c>
      <c r="F215" s="198">
        <v>177.84236484800084</v>
      </c>
      <c r="G215" s="198">
        <v>123.04544911502903</v>
      </c>
      <c r="H215" s="198">
        <f t="shared" si="9"/>
        <v>123.04544911502903</v>
      </c>
      <c r="I215" s="228">
        <f t="shared" si="10"/>
        <v>600</v>
      </c>
      <c r="J215" s="228" t="str">
        <f t="shared" si="11"/>
        <v/>
      </c>
    </row>
    <row r="216" spans="1:10">
      <c r="A216" s="227" t="s">
        <v>369</v>
      </c>
      <c r="B216" s="197" t="s">
        <v>371</v>
      </c>
      <c r="C216" s="198">
        <v>-231.53426899999999</v>
      </c>
      <c r="D216" s="198">
        <v>232.7661897742</v>
      </c>
      <c r="E216" s="198">
        <v>-231.53426899999999</v>
      </c>
      <c r="F216" s="198">
        <v>201.21331654199966</v>
      </c>
      <c r="G216" s="198">
        <v>123.04544911502903</v>
      </c>
      <c r="H216" s="198">
        <f t="shared" si="9"/>
        <v>123.04544911502903</v>
      </c>
      <c r="I216" s="228" t="str">
        <f t="shared" si="10"/>
        <v/>
      </c>
      <c r="J216" s="228" t="str">
        <f t="shared" si="11"/>
        <v/>
      </c>
    </row>
    <row r="217" spans="1:10">
      <c r="A217" s="227" t="s">
        <v>369</v>
      </c>
      <c r="B217" s="197" t="s">
        <v>372</v>
      </c>
      <c r="C217" s="198">
        <v>624.51169700000003</v>
      </c>
      <c r="D217" s="198">
        <v>232.7661897742</v>
      </c>
      <c r="E217" s="198">
        <v>232.7661897742</v>
      </c>
      <c r="F217" s="198">
        <v>231.2695520580003</v>
      </c>
      <c r="G217" s="198">
        <v>123.04544911502903</v>
      </c>
      <c r="H217" s="198">
        <f t="shared" si="9"/>
        <v>123.04544911502903</v>
      </c>
      <c r="I217" s="228" t="str">
        <f t="shared" si="10"/>
        <v/>
      </c>
      <c r="J217" s="228" t="str">
        <f t="shared" si="11"/>
        <v/>
      </c>
    </row>
    <row r="218" spans="1:10">
      <c r="A218" s="227" t="s">
        <v>369</v>
      </c>
      <c r="B218" s="197" t="s">
        <v>373</v>
      </c>
      <c r="C218" s="198">
        <v>226.25052500000001</v>
      </c>
      <c r="D218" s="198">
        <v>232.7661897742</v>
      </c>
      <c r="E218" s="198">
        <v>226.25052500000001</v>
      </c>
      <c r="F218" s="198">
        <v>266.24853154999954</v>
      </c>
      <c r="G218" s="198">
        <v>123.04544911502903</v>
      </c>
      <c r="H218" s="198">
        <f t="shared" si="9"/>
        <v>123.04544911502903</v>
      </c>
      <c r="I218" s="228" t="str">
        <f t="shared" si="10"/>
        <v/>
      </c>
      <c r="J218" s="228" t="str">
        <f t="shared" si="11"/>
        <v/>
      </c>
    </row>
    <row r="219" spans="1:10">
      <c r="A219" s="227" t="s">
        <v>369</v>
      </c>
      <c r="B219" s="197" t="s">
        <v>374</v>
      </c>
      <c r="C219" s="198">
        <v>274.50658800000002</v>
      </c>
      <c r="D219" s="198">
        <v>232.7661897742</v>
      </c>
      <c r="E219" s="198">
        <v>232.7661897742</v>
      </c>
      <c r="F219" s="198">
        <v>280.92749480800012</v>
      </c>
      <c r="G219" s="198">
        <v>123.04544911502903</v>
      </c>
      <c r="H219" s="198">
        <f t="shared" si="9"/>
        <v>123.04544911502903</v>
      </c>
      <c r="I219" s="228" t="str">
        <f t="shared" si="10"/>
        <v/>
      </c>
      <c r="J219" s="228" t="str">
        <f t="shared" si="11"/>
        <v/>
      </c>
    </row>
    <row r="220" spans="1:10">
      <c r="A220" s="227" t="s">
        <v>369</v>
      </c>
      <c r="B220" s="197" t="s">
        <v>375</v>
      </c>
      <c r="C220" s="198">
        <v>204.24436800000001</v>
      </c>
      <c r="D220" s="198">
        <v>232.7661897742</v>
      </c>
      <c r="E220" s="198">
        <v>204.24436800000001</v>
      </c>
      <c r="F220" s="198">
        <v>238.41332341399979</v>
      </c>
      <c r="G220" s="198">
        <v>123.04544911502903</v>
      </c>
      <c r="H220" s="198">
        <f t="shared" si="9"/>
        <v>123.04544911502903</v>
      </c>
      <c r="I220" s="228" t="str">
        <f t="shared" si="10"/>
        <v/>
      </c>
      <c r="J220" s="228" t="str">
        <f t="shared" si="11"/>
        <v/>
      </c>
    </row>
    <row r="221" spans="1:10">
      <c r="A221" s="227" t="s">
        <v>369</v>
      </c>
      <c r="B221" s="197" t="s">
        <v>376</v>
      </c>
      <c r="C221" s="198">
        <v>198.206751</v>
      </c>
      <c r="D221" s="198">
        <v>232.7661897742</v>
      </c>
      <c r="E221" s="198">
        <v>198.206751</v>
      </c>
      <c r="F221" s="198">
        <v>215.94878561599978</v>
      </c>
      <c r="G221" s="198">
        <v>123.04544911502903</v>
      </c>
      <c r="H221" s="198">
        <f t="shared" si="9"/>
        <v>123.04544911502903</v>
      </c>
      <c r="I221" s="228" t="str">
        <f t="shared" si="10"/>
        <v/>
      </c>
      <c r="J221" s="228" t="str">
        <f t="shared" si="11"/>
        <v/>
      </c>
    </row>
    <row r="222" spans="1:10">
      <c r="A222" s="227" t="s">
        <v>369</v>
      </c>
      <c r="B222" s="197" t="s">
        <v>377</v>
      </c>
      <c r="C222" s="198">
        <v>179.721699</v>
      </c>
      <c r="D222" s="198">
        <v>232.7661897742</v>
      </c>
      <c r="E222" s="198">
        <v>179.721699</v>
      </c>
      <c r="F222" s="198">
        <v>181.87081796600015</v>
      </c>
      <c r="G222" s="198">
        <v>123.04544911502903</v>
      </c>
      <c r="H222" s="198">
        <f t="shared" si="9"/>
        <v>123.04544911502903</v>
      </c>
      <c r="I222" s="228" t="str">
        <f t="shared" si="10"/>
        <v/>
      </c>
      <c r="J222" s="228" t="str">
        <f t="shared" si="11"/>
        <v/>
      </c>
    </row>
    <row r="223" spans="1:10">
      <c r="A223" s="227" t="s">
        <v>369</v>
      </c>
      <c r="B223" s="197" t="s">
        <v>378</v>
      </c>
      <c r="C223" s="198">
        <v>-191.708281</v>
      </c>
      <c r="D223" s="198">
        <v>232.7661897742</v>
      </c>
      <c r="E223" s="198">
        <v>-191.708281</v>
      </c>
      <c r="F223" s="198">
        <v>259.52632841599979</v>
      </c>
      <c r="G223" s="198">
        <v>123.04544911502903</v>
      </c>
      <c r="H223" s="198">
        <f t="shared" si="9"/>
        <v>123.04544911502903</v>
      </c>
      <c r="I223" s="228" t="str">
        <f t="shared" si="10"/>
        <v/>
      </c>
      <c r="J223" s="228" t="str">
        <f t="shared" si="11"/>
        <v/>
      </c>
    </row>
    <row r="224" spans="1:10">
      <c r="A224" s="227" t="s">
        <v>369</v>
      </c>
      <c r="B224" s="197" t="s">
        <v>379</v>
      </c>
      <c r="C224" s="198">
        <v>877.70542999999998</v>
      </c>
      <c r="D224" s="198">
        <v>232.7661897742</v>
      </c>
      <c r="E224" s="198">
        <v>232.7661897742</v>
      </c>
      <c r="F224" s="198">
        <v>508.30870281800009</v>
      </c>
      <c r="G224" s="198">
        <v>123.04544911502903</v>
      </c>
      <c r="H224" s="198">
        <f t="shared" si="9"/>
        <v>123.04544911502903</v>
      </c>
      <c r="I224" s="228" t="str">
        <f t="shared" si="10"/>
        <v/>
      </c>
      <c r="J224" s="228" t="str">
        <f t="shared" si="11"/>
        <v/>
      </c>
    </row>
    <row r="225" spans="1:11">
      <c r="A225" s="227" t="s">
        <v>369</v>
      </c>
      <c r="B225" s="197" t="s">
        <v>380</v>
      </c>
      <c r="C225" s="198">
        <v>387.47417899999999</v>
      </c>
      <c r="D225" s="198">
        <v>232.7661897742</v>
      </c>
      <c r="E225" s="198">
        <v>232.7661897742</v>
      </c>
      <c r="F225" s="198">
        <v>449.3443916520007</v>
      </c>
      <c r="G225" s="198">
        <v>123.04544911502903</v>
      </c>
      <c r="H225" s="198">
        <f t="shared" si="9"/>
        <v>123.04544911502903</v>
      </c>
      <c r="I225" s="228" t="str">
        <f t="shared" si="10"/>
        <v/>
      </c>
      <c r="J225" s="228" t="str">
        <f t="shared" si="11"/>
        <v/>
      </c>
    </row>
    <row r="226" spans="1:11">
      <c r="A226" s="227" t="s">
        <v>369</v>
      </c>
      <c r="B226" s="197" t="s">
        <v>381</v>
      </c>
      <c r="C226" s="198">
        <v>356.83934099999999</v>
      </c>
      <c r="D226" s="198">
        <v>232.7661897742</v>
      </c>
      <c r="E226" s="198">
        <v>232.7661897742</v>
      </c>
      <c r="F226" s="198">
        <v>403.96196181799945</v>
      </c>
      <c r="G226" s="198">
        <v>123.04544911502903</v>
      </c>
      <c r="H226" s="198">
        <f t="shared" si="9"/>
        <v>123.04544911502903</v>
      </c>
      <c r="I226" s="228" t="str">
        <f t="shared" si="10"/>
        <v/>
      </c>
      <c r="J226" s="228" t="str">
        <f t="shared" si="11"/>
        <v/>
      </c>
    </row>
    <row r="227" spans="1:11">
      <c r="A227" s="227" t="s">
        <v>369</v>
      </c>
      <c r="B227" s="197" t="s">
        <v>382</v>
      </c>
      <c r="C227" s="198">
        <v>274.492075</v>
      </c>
      <c r="D227" s="198">
        <v>232.7661897742</v>
      </c>
      <c r="E227" s="198">
        <v>232.7661897742</v>
      </c>
      <c r="F227" s="198">
        <v>296.94879119600023</v>
      </c>
      <c r="G227" s="198">
        <v>123.04544911502903</v>
      </c>
      <c r="H227" s="198">
        <f t="shared" si="9"/>
        <v>123.04544911502903</v>
      </c>
      <c r="I227" s="228" t="str">
        <f t="shared" si="10"/>
        <v/>
      </c>
      <c r="J227" s="228" t="str">
        <f t="shared" si="11"/>
        <v/>
      </c>
    </row>
    <row r="228" spans="1:11">
      <c r="A228" s="227" t="s">
        <v>369</v>
      </c>
      <c r="B228" s="197" t="s">
        <v>383</v>
      </c>
      <c r="C228" s="198">
        <v>373.47206999999997</v>
      </c>
      <c r="D228" s="198">
        <v>232.7661897742</v>
      </c>
      <c r="E228" s="198">
        <v>232.7661897742</v>
      </c>
      <c r="F228" s="198">
        <v>477.20425982599983</v>
      </c>
      <c r="G228" s="198">
        <v>123.04544911502903</v>
      </c>
      <c r="H228" s="198">
        <f t="shared" si="9"/>
        <v>123.04544911502903</v>
      </c>
      <c r="I228" s="228" t="str">
        <f t="shared" si="10"/>
        <v/>
      </c>
      <c r="J228" s="228" t="str">
        <f t="shared" si="11"/>
        <v/>
      </c>
    </row>
    <row r="229" spans="1:11">
      <c r="A229" s="227" t="s">
        <v>369</v>
      </c>
      <c r="B229" s="197" t="s">
        <v>384</v>
      </c>
      <c r="C229" s="198">
        <v>428.60881699999999</v>
      </c>
      <c r="D229" s="198">
        <v>232.7661897742</v>
      </c>
      <c r="E229" s="198">
        <v>232.7661897742</v>
      </c>
      <c r="F229" s="198">
        <v>391.25128665199975</v>
      </c>
      <c r="G229" s="198">
        <v>123.04544911502903</v>
      </c>
      <c r="H229" s="198">
        <f t="shared" si="9"/>
        <v>123.04544911502903</v>
      </c>
      <c r="I229" s="228" t="str">
        <f t="shared" si="10"/>
        <v/>
      </c>
      <c r="J229" s="228" t="str">
        <f t="shared" si="11"/>
        <v>M</v>
      </c>
      <c r="K229" s="229">
        <f>IF(DAY(B229)=15,G229,"")</f>
        <v>123.04544911502903</v>
      </c>
    </row>
    <row r="230" spans="1:11">
      <c r="A230" s="227" t="s">
        <v>369</v>
      </c>
      <c r="B230" s="197" t="s">
        <v>385</v>
      </c>
      <c r="C230" s="198">
        <v>-131.688536</v>
      </c>
      <c r="D230" s="198">
        <v>232.7661897742</v>
      </c>
      <c r="E230" s="198">
        <v>-131.688536</v>
      </c>
      <c r="F230" s="198">
        <v>371.4945364660008</v>
      </c>
      <c r="G230" s="198">
        <v>123.04544911502903</v>
      </c>
      <c r="H230" s="198">
        <f t="shared" si="9"/>
        <v>123.04544911502903</v>
      </c>
      <c r="I230" s="228" t="str">
        <f t="shared" si="10"/>
        <v/>
      </c>
      <c r="J230" s="228" t="str">
        <f t="shared" si="11"/>
        <v/>
      </c>
    </row>
    <row r="231" spans="1:11">
      <c r="A231" s="227" t="s">
        <v>369</v>
      </c>
      <c r="B231" s="197" t="s">
        <v>386</v>
      </c>
      <c r="C231" s="198">
        <v>806.93567299999995</v>
      </c>
      <c r="D231" s="198">
        <v>232.7661897742</v>
      </c>
      <c r="E231" s="198">
        <v>232.7661897742</v>
      </c>
      <c r="F231" s="198">
        <v>365.9887692500003</v>
      </c>
      <c r="G231" s="198">
        <v>123.04544911502903</v>
      </c>
      <c r="H231" s="198">
        <f t="shared" si="9"/>
        <v>123.04544911502903</v>
      </c>
      <c r="I231" s="228" t="str">
        <f t="shared" si="10"/>
        <v/>
      </c>
      <c r="J231" s="228" t="str">
        <f t="shared" si="11"/>
        <v/>
      </c>
    </row>
    <row r="232" spans="1:11">
      <c r="A232" s="227" t="s">
        <v>369</v>
      </c>
      <c r="B232" s="197" t="s">
        <v>387</v>
      </c>
      <c r="C232" s="198">
        <v>282.80313899999999</v>
      </c>
      <c r="D232" s="198">
        <v>232.7661897742</v>
      </c>
      <c r="E232" s="198">
        <v>232.7661897742</v>
      </c>
      <c r="F232" s="198">
        <v>320.52866902999887</v>
      </c>
      <c r="G232" s="198">
        <v>123.04544911502903</v>
      </c>
      <c r="H232" s="198">
        <f t="shared" si="9"/>
        <v>123.04544911502903</v>
      </c>
      <c r="I232" s="228" t="str">
        <f t="shared" si="10"/>
        <v/>
      </c>
      <c r="J232" s="228" t="str">
        <f t="shared" si="11"/>
        <v/>
      </c>
    </row>
    <row r="233" spans="1:11">
      <c r="A233" s="227" t="s">
        <v>369</v>
      </c>
      <c r="B233" s="197" t="s">
        <v>388</v>
      </c>
      <c r="C233" s="198">
        <v>263.61319200000003</v>
      </c>
      <c r="D233" s="198">
        <v>232.7661897742</v>
      </c>
      <c r="E233" s="198">
        <v>232.7661897742</v>
      </c>
      <c r="F233" s="198">
        <v>319.05099580199982</v>
      </c>
      <c r="G233" s="198">
        <v>123.04544911502903</v>
      </c>
      <c r="H233" s="198">
        <f t="shared" si="9"/>
        <v>123.04544911502903</v>
      </c>
      <c r="I233" s="228" t="str">
        <f t="shared" si="10"/>
        <v/>
      </c>
      <c r="J233" s="228" t="str">
        <f t="shared" si="11"/>
        <v/>
      </c>
    </row>
    <row r="234" spans="1:11">
      <c r="A234" s="227" t="s">
        <v>369</v>
      </c>
      <c r="B234" s="197" t="s">
        <v>389</v>
      </c>
      <c r="C234" s="198">
        <v>239.94413499999999</v>
      </c>
      <c r="D234" s="198">
        <v>232.7661897742</v>
      </c>
      <c r="E234" s="198">
        <v>232.7661897742</v>
      </c>
      <c r="F234" s="198">
        <v>243.51388871799972</v>
      </c>
      <c r="G234" s="198">
        <v>123.04544911502903</v>
      </c>
      <c r="H234" s="198">
        <f t="shared" si="9"/>
        <v>123.04544911502903</v>
      </c>
      <c r="I234" s="228" t="str">
        <f t="shared" si="10"/>
        <v/>
      </c>
      <c r="J234" s="228" t="str">
        <f t="shared" si="11"/>
        <v/>
      </c>
    </row>
    <row r="235" spans="1:11">
      <c r="A235" s="227" t="s">
        <v>369</v>
      </c>
      <c r="B235" s="197" t="s">
        <v>390</v>
      </c>
      <c r="C235" s="198">
        <v>210.11752000000001</v>
      </c>
      <c r="D235" s="198">
        <v>232.7661897742</v>
      </c>
      <c r="E235" s="198">
        <v>210.11752000000001</v>
      </c>
      <c r="F235" s="198">
        <v>212.09023434800108</v>
      </c>
      <c r="G235" s="198">
        <v>123.04544911502903</v>
      </c>
      <c r="H235" s="198">
        <f t="shared" si="9"/>
        <v>123.04544911502903</v>
      </c>
      <c r="I235" s="228" t="str">
        <f t="shared" si="10"/>
        <v/>
      </c>
      <c r="J235" s="228" t="str">
        <f t="shared" si="11"/>
        <v/>
      </c>
    </row>
    <row r="236" spans="1:11">
      <c r="A236" s="227" t="s">
        <v>369</v>
      </c>
      <c r="B236" s="197" t="s">
        <v>391</v>
      </c>
      <c r="C236" s="198">
        <v>212.168497</v>
      </c>
      <c r="D236" s="198">
        <v>232.7661897742</v>
      </c>
      <c r="E236" s="198">
        <v>212.168497</v>
      </c>
      <c r="F236" s="198">
        <v>258.98466436999956</v>
      </c>
      <c r="G236" s="198">
        <v>123.04544911502903</v>
      </c>
      <c r="H236" s="198">
        <f t="shared" si="9"/>
        <v>123.04544911502903</v>
      </c>
      <c r="I236" s="228" t="str">
        <f t="shared" si="10"/>
        <v/>
      </c>
      <c r="J236" s="228" t="str">
        <f t="shared" si="11"/>
        <v/>
      </c>
    </row>
    <row r="237" spans="1:11">
      <c r="A237" s="227" t="s">
        <v>369</v>
      </c>
      <c r="B237" s="197" t="s">
        <v>392</v>
      </c>
      <c r="C237" s="198">
        <v>-300.87519500000002</v>
      </c>
      <c r="D237" s="198">
        <v>232.7661897742</v>
      </c>
      <c r="E237" s="198">
        <v>-300.87519500000002</v>
      </c>
      <c r="F237" s="198">
        <v>223.58447867200002</v>
      </c>
      <c r="G237" s="198">
        <v>123.04544911502903</v>
      </c>
      <c r="H237" s="198">
        <f t="shared" si="9"/>
        <v>123.04544911502903</v>
      </c>
      <c r="I237" s="228" t="str">
        <f t="shared" si="10"/>
        <v/>
      </c>
      <c r="J237" s="228" t="str">
        <f t="shared" si="11"/>
        <v/>
      </c>
    </row>
    <row r="238" spans="1:11">
      <c r="A238" s="227" t="s">
        <v>369</v>
      </c>
      <c r="B238" s="197" t="s">
        <v>393</v>
      </c>
      <c r="C238" s="198">
        <v>706.69806600000004</v>
      </c>
      <c r="D238" s="198">
        <v>232.7661897742</v>
      </c>
      <c r="E238" s="198">
        <v>232.7661897742</v>
      </c>
      <c r="F238" s="198">
        <v>227.46795467600012</v>
      </c>
      <c r="G238" s="198">
        <v>123.04544911502903</v>
      </c>
      <c r="H238" s="198">
        <f t="shared" si="9"/>
        <v>123.04544911502903</v>
      </c>
      <c r="I238" s="228" t="str">
        <f t="shared" si="10"/>
        <v/>
      </c>
      <c r="J238" s="228" t="str">
        <f t="shared" si="11"/>
        <v/>
      </c>
    </row>
    <row r="239" spans="1:11">
      <c r="A239" s="227" t="s">
        <v>369</v>
      </c>
      <c r="B239" s="197" t="s">
        <v>394</v>
      </c>
      <c r="C239" s="198">
        <v>185.57643300000001</v>
      </c>
      <c r="D239" s="198">
        <v>232.7661897742</v>
      </c>
      <c r="E239" s="198">
        <v>185.57643300000001</v>
      </c>
      <c r="F239" s="198">
        <v>197.46003954999972</v>
      </c>
      <c r="G239" s="198">
        <v>123.04544911502903</v>
      </c>
      <c r="H239" s="198">
        <f t="shared" si="9"/>
        <v>123.04544911502903</v>
      </c>
      <c r="I239" s="228" t="str">
        <f t="shared" si="10"/>
        <v/>
      </c>
      <c r="J239" s="228" t="str">
        <f t="shared" si="11"/>
        <v/>
      </c>
    </row>
    <row r="240" spans="1:11">
      <c r="A240" s="227" t="s">
        <v>369</v>
      </c>
      <c r="B240" s="197" t="s">
        <v>395</v>
      </c>
      <c r="C240" s="198">
        <v>184.40169900000001</v>
      </c>
      <c r="D240" s="198">
        <v>232.7661897742</v>
      </c>
      <c r="E240" s="198">
        <v>184.40169900000001</v>
      </c>
      <c r="F240" s="198">
        <v>175.2711053020009</v>
      </c>
      <c r="G240" s="198">
        <v>123.04544911502903</v>
      </c>
      <c r="H240" s="198">
        <f t="shared" si="9"/>
        <v>123.04544911502903</v>
      </c>
      <c r="I240" s="228" t="str">
        <f t="shared" si="10"/>
        <v/>
      </c>
      <c r="J240" s="228" t="str">
        <f t="shared" si="11"/>
        <v/>
      </c>
    </row>
    <row r="241" spans="1:10">
      <c r="A241" s="227" t="s">
        <v>369</v>
      </c>
      <c r="B241" s="197" t="s">
        <v>396</v>
      </c>
      <c r="C241" s="198">
        <v>198.37762000000001</v>
      </c>
      <c r="D241" s="198">
        <v>232.7661897742</v>
      </c>
      <c r="E241" s="198">
        <v>198.37762000000001</v>
      </c>
      <c r="F241" s="198">
        <v>197.21633737199971</v>
      </c>
      <c r="G241" s="198">
        <v>123.04544911502903</v>
      </c>
      <c r="H241" s="198">
        <f t="shared" si="9"/>
        <v>123.04544911502903</v>
      </c>
      <c r="I241" s="228" t="str">
        <f t="shared" si="10"/>
        <v/>
      </c>
      <c r="J241" s="228" t="str">
        <f t="shared" si="11"/>
        <v/>
      </c>
    </row>
    <row r="242" spans="1:10">
      <c r="A242" s="227" t="s">
        <v>369</v>
      </c>
      <c r="B242" s="197" t="s">
        <v>397</v>
      </c>
      <c r="C242" s="198">
        <v>-327.38016699999997</v>
      </c>
      <c r="D242" s="198">
        <v>232.7661897742</v>
      </c>
      <c r="E242" s="198">
        <v>-327.38016699999997</v>
      </c>
      <c r="F242" s="198">
        <v>183.23074393400037</v>
      </c>
      <c r="G242" s="198">
        <v>123.04544911502903</v>
      </c>
      <c r="H242" s="198">
        <f t="shared" si="9"/>
        <v>123.04544911502903</v>
      </c>
      <c r="I242" s="228" t="str">
        <f t="shared" si="10"/>
        <v/>
      </c>
      <c r="J242" s="228" t="str">
        <f t="shared" si="11"/>
        <v/>
      </c>
    </row>
    <row r="243" spans="1:10">
      <c r="A243" s="227" t="s">
        <v>369</v>
      </c>
      <c r="B243" s="197" t="s">
        <v>398</v>
      </c>
      <c r="C243" s="198">
        <v>192.88943900000001</v>
      </c>
      <c r="D243" s="198">
        <v>232.7661897742</v>
      </c>
      <c r="E243" s="198">
        <v>192.88943900000001</v>
      </c>
      <c r="F243" s="198">
        <v>190.70274734999958</v>
      </c>
      <c r="G243" s="198">
        <v>123.04544911502903</v>
      </c>
      <c r="H243" s="198">
        <f t="shared" si="9"/>
        <v>123.04544911502903</v>
      </c>
      <c r="I243" s="228" t="str">
        <f t="shared" si="10"/>
        <v/>
      </c>
      <c r="J243" s="228" t="str">
        <f t="shared" si="11"/>
        <v/>
      </c>
    </row>
    <row r="244" spans="1:10">
      <c r="A244" s="227" t="s">
        <v>369</v>
      </c>
      <c r="B244" s="197" t="s">
        <v>399</v>
      </c>
      <c r="C244" s="198">
        <v>178.626126</v>
      </c>
      <c r="D244" s="198">
        <v>232.7661897742</v>
      </c>
      <c r="E244" s="198">
        <v>178.626126</v>
      </c>
      <c r="F244" s="198">
        <v>202.95921934199893</v>
      </c>
      <c r="G244" s="198">
        <v>123.04544911502903</v>
      </c>
      <c r="H244" s="198">
        <f t="shared" si="9"/>
        <v>123.04544911502903</v>
      </c>
      <c r="I244" s="228" t="str">
        <f t="shared" si="10"/>
        <v/>
      </c>
      <c r="J244" s="228" t="str">
        <f t="shared" si="11"/>
        <v/>
      </c>
    </row>
    <row r="245" spans="1:10">
      <c r="A245" s="227" t="s">
        <v>369</v>
      </c>
      <c r="B245" s="197" t="s">
        <v>400</v>
      </c>
      <c r="C245" s="198">
        <v>170.64932899999999</v>
      </c>
      <c r="D245" s="198">
        <v>232.7661897742</v>
      </c>
      <c r="E245" s="198">
        <v>170.64932899999999</v>
      </c>
      <c r="F245" s="198">
        <v>207.65022919400008</v>
      </c>
      <c r="G245" s="198">
        <v>123.04544911502903</v>
      </c>
      <c r="H245" s="198">
        <f t="shared" si="9"/>
        <v>123.04544911502903</v>
      </c>
      <c r="I245" s="228" t="str">
        <f t="shared" si="10"/>
        <v/>
      </c>
      <c r="J245" s="228" t="str">
        <f t="shared" si="11"/>
        <v/>
      </c>
    </row>
    <row r="246" spans="1:10">
      <c r="A246" s="227" t="s">
        <v>360</v>
      </c>
      <c r="B246" s="197" t="s">
        <v>401</v>
      </c>
      <c r="C246" s="198">
        <v>728.29077700000005</v>
      </c>
      <c r="D246" s="198">
        <v>234.85619103330001</v>
      </c>
      <c r="E246" s="198">
        <v>234.85619103330001</v>
      </c>
      <c r="F246" s="198">
        <v>180.1779771360001</v>
      </c>
      <c r="G246" s="198">
        <v>124.98173132994</v>
      </c>
      <c r="H246" s="198">
        <f t="shared" si="9"/>
        <v>124.98173132994</v>
      </c>
      <c r="I246" s="228">
        <f t="shared" si="10"/>
        <v>600</v>
      </c>
      <c r="J246" s="228" t="str">
        <f t="shared" si="11"/>
        <v/>
      </c>
    </row>
    <row r="247" spans="1:10">
      <c r="A247" s="227" t="s">
        <v>360</v>
      </c>
      <c r="B247" s="197" t="s">
        <v>402</v>
      </c>
      <c r="C247" s="198">
        <v>163.61258799999999</v>
      </c>
      <c r="D247" s="198">
        <v>234.85619103330001</v>
      </c>
      <c r="E247" s="198">
        <v>163.61258799999999</v>
      </c>
      <c r="F247" s="198">
        <v>206.09566746400034</v>
      </c>
      <c r="G247" s="198">
        <v>124.98173132994</v>
      </c>
      <c r="H247" s="198">
        <f t="shared" si="9"/>
        <v>124.98173132994</v>
      </c>
      <c r="I247" s="228" t="str">
        <f t="shared" si="10"/>
        <v/>
      </c>
      <c r="J247" s="228" t="str">
        <f t="shared" si="11"/>
        <v/>
      </c>
    </row>
    <row r="248" spans="1:10">
      <c r="A248" s="227" t="s">
        <v>360</v>
      </c>
      <c r="B248" s="197" t="s">
        <v>403</v>
      </c>
      <c r="C248" s="198">
        <v>242.01977500000001</v>
      </c>
      <c r="D248" s="198">
        <v>234.85619103330001</v>
      </c>
      <c r="E248" s="198">
        <v>234.85619103330001</v>
      </c>
      <c r="F248" s="198">
        <v>216.60406777199995</v>
      </c>
      <c r="G248" s="198">
        <v>124.98173132994</v>
      </c>
      <c r="H248" s="198">
        <f t="shared" si="9"/>
        <v>124.98173132994</v>
      </c>
      <c r="I248" s="228" t="str">
        <f t="shared" si="10"/>
        <v/>
      </c>
      <c r="J248" s="228" t="str">
        <f t="shared" si="11"/>
        <v/>
      </c>
    </row>
    <row r="249" spans="1:10">
      <c r="A249" s="227" t="s">
        <v>360</v>
      </c>
      <c r="B249" s="197" t="s">
        <v>361</v>
      </c>
      <c r="C249" s="198">
        <v>235.30654000000001</v>
      </c>
      <c r="D249" s="198">
        <v>234.85619103330001</v>
      </c>
      <c r="E249" s="198">
        <v>234.85619103330001</v>
      </c>
      <c r="F249" s="198">
        <v>250.18848915600012</v>
      </c>
      <c r="G249" s="198">
        <v>124.98173132994</v>
      </c>
      <c r="H249" s="198">
        <f t="shared" si="9"/>
        <v>124.98173132994</v>
      </c>
      <c r="I249" s="228" t="str">
        <f t="shared" si="10"/>
        <v/>
      </c>
      <c r="J249" s="228" t="str">
        <f t="shared" si="11"/>
        <v/>
      </c>
    </row>
    <row r="250" spans="1:10">
      <c r="A250" s="227" t="s">
        <v>360</v>
      </c>
      <c r="B250" s="197" t="s">
        <v>404</v>
      </c>
      <c r="C250" s="198">
        <v>212.507633</v>
      </c>
      <c r="D250" s="198">
        <v>234.85619103330001</v>
      </c>
      <c r="E250" s="198">
        <v>212.507633</v>
      </c>
      <c r="F250" s="198">
        <v>195.87765150199959</v>
      </c>
      <c r="G250" s="198">
        <v>124.98173132994</v>
      </c>
      <c r="H250" s="198">
        <f t="shared" si="9"/>
        <v>124.98173132994</v>
      </c>
      <c r="I250" s="228" t="str">
        <f t="shared" si="10"/>
        <v/>
      </c>
      <c r="J250" s="228" t="str">
        <f t="shared" si="11"/>
        <v/>
      </c>
    </row>
    <row r="251" spans="1:10">
      <c r="A251" s="227" t="s">
        <v>360</v>
      </c>
      <c r="B251" s="197" t="s">
        <v>405</v>
      </c>
      <c r="C251" s="198">
        <v>-323.43020000000001</v>
      </c>
      <c r="D251" s="198">
        <v>234.85619103330001</v>
      </c>
      <c r="E251" s="198">
        <v>-323.43020000000001</v>
      </c>
      <c r="F251" s="198">
        <v>212.39436045800008</v>
      </c>
      <c r="G251" s="198">
        <v>124.98173132994</v>
      </c>
      <c r="H251" s="198">
        <f t="shared" si="9"/>
        <v>124.98173132994</v>
      </c>
      <c r="I251" s="228" t="str">
        <f t="shared" si="10"/>
        <v/>
      </c>
      <c r="J251" s="228" t="str">
        <f t="shared" si="11"/>
        <v/>
      </c>
    </row>
    <row r="252" spans="1:10">
      <c r="A252" s="227" t="s">
        <v>360</v>
      </c>
      <c r="B252" s="197" t="s">
        <v>406</v>
      </c>
      <c r="C252" s="198">
        <v>755.54870500000004</v>
      </c>
      <c r="D252" s="198">
        <v>234.85619103330001</v>
      </c>
      <c r="E252" s="198">
        <v>234.85619103330001</v>
      </c>
      <c r="F252" s="198">
        <v>220.86361666800002</v>
      </c>
      <c r="G252" s="198">
        <v>124.98173132994</v>
      </c>
      <c r="H252" s="198">
        <f t="shared" si="9"/>
        <v>124.98173132994</v>
      </c>
      <c r="I252" s="228" t="str">
        <f t="shared" si="10"/>
        <v/>
      </c>
      <c r="J252" s="228" t="str">
        <f t="shared" si="11"/>
        <v/>
      </c>
    </row>
    <row r="253" spans="1:10">
      <c r="A253" s="227" t="s">
        <v>360</v>
      </c>
      <c r="B253" s="197" t="s">
        <v>407</v>
      </c>
      <c r="C253" s="198">
        <v>207.97771</v>
      </c>
      <c r="D253" s="198">
        <v>234.85619103330001</v>
      </c>
      <c r="E253" s="198">
        <v>207.97771</v>
      </c>
      <c r="F253" s="198">
        <v>216.13327302600061</v>
      </c>
      <c r="G253" s="198">
        <v>124.98173132994</v>
      </c>
      <c r="H253" s="198">
        <f t="shared" si="9"/>
        <v>124.98173132994</v>
      </c>
      <c r="I253" s="228" t="str">
        <f t="shared" si="10"/>
        <v/>
      </c>
      <c r="J253" s="228" t="str">
        <f t="shared" si="11"/>
        <v/>
      </c>
    </row>
    <row r="254" spans="1:10">
      <c r="A254" s="227" t="s">
        <v>360</v>
      </c>
      <c r="B254" s="197" t="s">
        <v>408</v>
      </c>
      <c r="C254" s="198">
        <v>111.422527</v>
      </c>
      <c r="D254" s="198">
        <v>234.85619103330001</v>
      </c>
      <c r="E254" s="198">
        <v>111.422527</v>
      </c>
      <c r="F254" s="198">
        <v>334.93295785799927</v>
      </c>
      <c r="G254" s="198">
        <v>124.98173132994</v>
      </c>
      <c r="H254" s="198">
        <f t="shared" si="9"/>
        <v>124.98173132994</v>
      </c>
      <c r="I254" s="228" t="str">
        <f t="shared" si="10"/>
        <v/>
      </c>
      <c r="J254" s="228" t="str">
        <f t="shared" si="11"/>
        <v/>
      </c>
    </row>
    <row r="255" spans="1:10">
      <c r="A255" s="227" t="s">
        <v>360</v>
      </c>
      <c r="B255" s="197" t="s">
        <v>409</v>
      </c>
      <c r="C255" s="198">
        <v>344.12303200000002</v>
      </c>
      <c r="D255" s="198">
        <v>234.85619103330001</v>
      </c>
      <c r="E255" s="198">
        <v>234.85619103330001</v>
      </c>
      <c r="F255" s="198">
        <v>294.37602051600055</v>
      </c>
      <c r="G255" s="198">
        <v>124.98173132994</v>
      </c>
      <c r="H255" s="198">
        <f t="shared" si="9"/>
        <v>124.98173132994</v>
      </c>
      <c r="I255" s="228" t="str">
        <f t="shared" si="10"/>
        <v/>
      </c>
      <c r="J255" s="228" t="str">
        <f t="shared" si="11"/>
        <v/>
      </c>
    </row>
    <row r="256" spans="1:10">
      <c r="A256" s="227" t="s">
        <v>360</v>
      </c>
      <c r="B256" s="197" t="s">
        <v>362</v>
      </c>
      <c r="C256" s="198">
        <v>259.93205899999998</v>
      </c>
      <c r="D256" s="198">
        <v>234.85619103330001</v>
      </c>
      <c r="E256" s="198">
        <v>234.85619103330001</v>
      </c>
      <c r="F256" s="198">
        <v>235.15734599800001</v>
      </c>
      <c r="G256" s="198">
        <v>124.98173132994</v>
      </c>
      <c r="H256" s="198">
        <f t="shared" si="9"/>
        <v>124.98173132994</v>
      </c>
      <c r="I256" s="228" t="str">
        <f t="shared" si="10"/>
        <v/>
      </c>
      <c r="J256" s="228" t="str">
        <f t="shared" si="11"/>
        <v/>
      </c>
    </row>
    <row r="257" spans="1:11">
      <c r="A257" s="227" t="s">
        <v>360</v>
      </c>
      <c r="B257" s="197" t="s">
        <v>410</v>
      </c>
      <c r="C257" s="198">
        <v>272.24945400000001</v>
      </c>
      <c r="D257" s="198">
        <v>234.85619103330001</v>
      </c>
      <c r="E257" s="198">
        <v>234.85619103330001</v>
      </c>
      <c r="F257" s="198">
        <v>308.46663389200057</v>
      </c>
      <c r="G257" s="198">
        <v>124.98173132994</v>
      </c>
      <c r="H257" s="198">
        <f t="shared" si="9"/>
        <v>124.98173132994</v>
      </c>
      <c r="I257" s="228" t="str">
        <f t="shared" si="10"/>
        <v/>
      </c>
      <c r="J257" s="228" t="str">
        <f t="shared" si="11"/>
        <v/>
      </c>
    </row>
    <row r="258" spans="1:11">
      <c r="A258" s="227" t="s">
        <v>360</v>
      </c>
      <c r="B258" s="197" t="s">
        <v>411</v>
      </c>
      <c r="C258" s="198">
        <v>-311.62883299999999</v>
      </c>
      <c r="D258" s="198">
        <v>234.85619103330001</v>
      </c>
      <c r="E258" s="198">
        <v>-311.62883299999999</v>
      </c>
      <c r="F258" s="198">
        <v>282.15263153599909</v>
      </c>
      <c r="G258" s="198">
        <v>124.98173132994</v>
      </c>
      <c r="H258" s="198">
        <f t="shared" si="9"/>
        <v>124.98173132994</v>
      </c>
      <c r="I258" s="228" t="str">
        <f t="shared" si="10"/>
        <v/>
      </c>
      <c r="J258" s="228" t="str">
        <f t="shared" si="11"/>
        <v/>
      </c>
    </row>
    <row r="259" spans="1:11">
      <c r="A259" s="227" t="s">
        <v>360</v>
      </c>
      <c r="B259" s="197" t="s">
        <v>412</v>
      </c>
      <c r="C259" s="198">
        <v>835.45660299999997</v>
      </c>
      <c r="D259" s="198">
        <v>234.85619103330001</v>
      </c>
      <c r="E259" s="198">
        <v>234.85619103330001</v>
      </c>
      <c r="F259" s="198">
        <v>249.16407000800029</v>
      </c>
      <c r="G259" s="198">
        <v>124.98173132994</v>
      </c>
      <c r="H259" s="198">
        <f t="shared" si="9"/>
        <v>124.98173132994</v>
      </c>
      <c r="I259" s="228" t="str">
        <f t="shared" si="10"/>
        <v/>
      </c>
      <c r="J259" s="228" t="str">
        <f t="shared" si="11"/>
        <v/>
      </c>
    </row>
    <row r="260" spans="1:11">
      <c r="A260" s="227" t="s">
        <v>360</v>
      </c>
      <c r="B260" s="197" t="s">
        <v>413</v>
      </c>
      <c r="C260" s="198">
        <v>238.484813</v>
      </c>
      <c r="D260" s="198">
        <v>234.85619103330001</v>
      </c>
      <c r="E260" s="198">
        <v>234.85619103330001</v>
      </c>
      <c r="F260" s="198">
        <v>240.53084356599945</v>
      </c>
      <c r="G260" s="198">
        <v>124.98173132994</v>
      </c>
      <c r="H260" s="198">
        <f t="shared" ref="H260:H323" si="12">IF(F260&lt;G260,F260,G260)</f>
        <v>124.98173132994</v>
      </c>
      <c r="I260" s="228" t="str">
        <f t="shared" ref="I260:I323" si="13">IF(DAY(B260)=1,600,"")</f>
        <v/>
      </c>
      <c r="J260" s="228" t="str">
        <f t="shared" ref="J260:J323" si="14">IF(DAY(B260)=15,MID(A260,1,1),"")</f>
        <v>A</v>
      </c>
      <c r="K260" s="229">
        <f>IF(DAY(B260)=15,G260,"")</f>
        <v>124.98173132994</v>
      </c>
    </row>
    <row r="261" spans="1:11">
      <c r="A261" s="227" t="s">
        <v>360</v>
      </c>
      <c r="B261" s="197" t="s">
        <v>414</v>
      </c>
      <c r="C261" s="198">
        <v>271.27118400000001</v>
      </c>
      <c r="D261" s="198">
        <v>234.85619103330001</v>
      </c>
      <c r="E261" s="198">
        <v>234.85619103330001</v>
      </c>
      <c r="F261" s="198">
        <v>294.79101259800137</v>
      </c>
      <c r="G261" s="198">
        <v>124.98173132994</v>
      </c>
      <c r="H261" s="198">
        <f t="shared" si="12"/>
        <v>124.98173132994</v>
      </c>
      <c r="I261" s="228" t="str">
        <f t="shared" si="13"/>
        <v/>
      </c>
      <c r="J261" s="228" t="str">
        <f t="shared" si="14"/>
        <v/>
      </c>
    </row>
    <row r="262" spans="1:11">
      <c r="A262" s="227" t="s">
        <v>360</v>
      </c>
      <c r="B262" s="197" t="s">
        <v>415</v>
      </c>
      <c r="C262" s="198">
        <v>218.819568</v>
      </c>
      <c r="D262" s="198">
        <v>234.85619103330001</v>
      </c>
      <c r="E262" s="198">
        <v>218.819568</v>
      </c>
      <c r="F262" s="198">
        <v>272.17601526600009</v>
      </c>
      <c r="G262" s="198">
        <v>124.98173132994</v>
      </c>
      <c r="H262" s="198">
        <f t="shared" si="12"/>
        <v>124.98173132994</v>
      </c>
      <c r="I262" s="228" t="str">
        <f t="shared" si="13"/>
        <v/>
      </c>
      <c r="J262" s="228" t="str">
        <f t="shared" si="14"/>
        <v/>
      </c>
    </row>
    <row r="263" spans="1:11">
      <c r="A263" s="227" t="s">
        <v>360</v>
      </c>
      <c r="B263" s="197" t="s">
        <v>416</v>
      </c>
      <c r="C263" s="198">
        <v>246.81781899999999</v>
      </c>
      <c r="D263" s="198">
        <v>234.85619103330001</v>
      </c>
      <c r="E263" s="198">
        <v>234.85619103330001</v>
      </c>
      <c r="F263" s="198">
        <v>249.62302130199927</v>
      </c>
      <c r="G263" s="198">
        <v>124.98173132994</v>
      </c>
      <c r="H263" s="198">
        <f t="shared" si="12"/>
        <v>124.98173132994</v>
      </c>
      <c r="I263" s="228" t="str">
        <f t="shared" si="13"/>
        <v/>
      </c>
      <c r="J263" s="228" t="str">
        <f t="shared" si="14"/>
        <v/>
      </c>
    </row>
    <row r="264" spans="1:11">
      <c r="A264" s="227" t="s">
        <v>360</v>
      </c>
      <c r="B264" s="197" t="s">
        <v>417</v>
      </c>
      <c r="C264" s="198">
        <v>218.36757499999999</v>
      </c>
      <c r="D264" s="198">
        <v>234.85619103330001</v>
      </c>
      <c r="E264" s="198">
        <v>218.36757499999999</v>
      </c>
      <c r="F264" s="198">
        <v>265.68243051200056</v>
      </c>
      <c r="G264" s="198">
        <v>124.98173132994</v>
      </c>
      <c r="H264" s="198">
        <f t="shared" si="12"/>
        <v>124.98173132994</v>
      </c>
      <c r="I264" s="228" t="str">
        <f t="shared" si="13"/>
        <v/>
      </c>
      <c r="J264" s="228" t="str">
        <f t="shared" si="14"/>
        <v/>
      </c>
    </row>
    <row r="265" spans="1:11">
      <c r="A265" s="227" t="s">
        <v>360</v>
      </c>
      <c r="B265" s="197" t="s">
        <v>418</v>
      </c>
      <c r="C265" s="198">
        <v>-393.11570999999998</v>
      </c>
      <c r="D265" s="198">
        <v>234.85619103330001</v>
      </c>
      <c r="E265" s="198">
        <v>-393.11570999999998</v>
      </c>
      <c r="F265" s="198">
        <v>247.99493344799862</v>
      </c>
      <c r="G265" s="198">
        <v>124.98173132994</v>
      </c>
      <c r="H265" s="198">
        <f t="shared" si="12"/>
        <v>124.98173132994</v>
      </c>
      <c r="I265" s="228" t="str">
        <f t="shared" si="13"/>
        <v/>
      </c>
      <c r="J265" s="228" t="str">
        <f t="shared" si="14"/>
        <v/>
      </c>
    </row>
    <row r="266" spans="1:11">
      <c r="A266" s="227" t="s">
        <v>360</v>
      </c>
      <c r="B266" s="197" t="s">
        <v>419</v>
      </c>
      <c r="C266" s="198">
        <v>820.79720799999996</v>
      </c>
      <c r="D266" s="198">
        <v>234.85619103330001</v>
      </c>
      <c r="E266" s="198">
        <v>234.85619103330001</v>
      </c>
      <c r="F266" s="198">
        <v>221.08185609600059</v>
      </c>
      <c r="G266" s="198">
        <v>124.98173132994</v>
      </c>
      <c r="H266" s="198">
        <f t="shared" si="12"/>
        <v>124.98173132994</v>
      </c>
      <c r="I266" s="228" t="str">
        <f t="shared" si="13"/>
        <v/>
      </c>
      <c r="J266" s="228" t="str">
        <f t="shared" si="14"/>
        <v/>
      </c>
    </row>
    <row r="267" spans="1:11">
      <c r="A267" s="227" t="s">
        <v>360</v>
      </c>
      <c r="B267" s="197" t="s">
        <v>420</v>
      </c>
      <c r="C267" s="198">
        <v>201.88064700000001</v>
      </c>
      <c r="D267" s="198">
        <v>234.85619103330001</v>
      </c>
      <c r="E267" s="198">
        <v>201.88064700000001</v>
      </c>
      <c r="F267" s="198">
        <v>211.49666788000064</v>
      </c>
      <c r="G267" s="198">
        <v>124.98173132994</v>
      </c>
      <c r="H267" s="198">
        <f t="shared" si="12"/>
        <v>124.98173132994</v>
      </c>
      <c r="I267" s="228" t="str">
        <f t="shared" si="13"/>
        <v/>
      </c>
      <c r="J267" s="228" t="str">
        <f t="shared" si="14"/>
        <v/>
      </c>
    </row>
    <row r="268" spans="1:11">
      <c r="A268" s="227" t="s">
        <v>360</v>
      </c>
      <c r="B268" s="197" t="s">
        <v>421</v>
      </c>
      <c r="C268" s="198">
        <v>196.948533</v>
      </c>
      <c r="D268" s="198">
        <v>234.85619103330001</v>
      </c>
      <c r="E268" s="198">
        <v>196.948533</v>
      </c>
      <c r="F268" s="198">
        <v>195.82711338799999</v>
      </c>
      <c r="G268" s="198">
        <v>124.98173132994</v>
      </c>
      <c r="H268" s="198">
        <f t="shared" si="12"/>
        <v>124.98173132994</v>
      </c>
      <c r="I268" s="228" t="str">
        <f t="shared" si="13"/>
        <v/>
      </c>
      <c r="J268" s="228" t="str">
        <f t="shared" si="14"/>
        <v/>
      </c>
    </row>
    <row r="269" spans="1:11">
      <c r="A269" s="227" t="s">
        <v>360</v>
      </c>
      <c r="B269" s="197" t="s">
        <v>422</v>
      </c>
      <c r="C269" s="198">
        <v>192.62170499999999</v>
      </c>
      <c r="D269" s="198">
        <v>234.85619103330001</v>
      </c>
      <c r="E269" s="198">
        <v>192.62170499999999</v>
      </c>
      <c r="F269" s="198">
        <v>189.65950698399868</v>
      </c>
      <c r="G269" s="198">
        <v>124.98173132994</v>
      </c>
      <c r="H269" s="198">
        <f t="shared" si="12"/>
        <v>124.98173132994</v>
      </c>
      <c r="I269" s="228" t="str">
        <f t="shared" si="13"/>
        <v/>
      </c>
      <c r="J269" s="228" t="str">
        <f t="shared" si="14"/>
        <v/>
      </c>
    </row>
    <row r="270" spans="1:11">
      <c r="A270" s="227" t="s">
        <v>360</v>
      </c>
      <c r="B270" s="197" t="s">
        <v>423</v>
      </c>
      <c r="C270" s="198">
        <v>188.99784600000001</v>
      </c>
      <c r="D270" s="198">
        <v>234.85619103330001</v>
      </c>
      <c r="E270" s="198">
        <v>188.99784600000001</v>
      </c>
      <c r="F270" s="198">
        <v>188.47121192400013</v>
      </c>
      <c r="G270" s="198">
        <v>124.98173132994</v>
      </c>
      <c r="H270" s="198">
        <f t="shared" si="12"/>
        <v>124.98173132994</v>
      </c>
      <c r="I270" s="228" t="str">
        <f t="shared" si="13"/>
        <v/>
      </c>
      <c r="J270" s="228" t="str">
        <f t="shared" si="14"/>
        <v/>
      </c>
    </row>
    <row r="271" spans="1:11">
      <c r="A271" s="227" t="s">
        <v>360</v>
      </c>
      <c r="B271" s="197" t="s">
        <v>424</v>
      </c>
      <c r="C271" s="198">
        <v>206.16651400000001</v>
      </c>
      <c r="D271" s="198">
        <v>234.85619103330001</v>
      </c>
      <c r="E271" s="198">
        <v>206.16651400000001</v>
      </c>
      <c r="F271" s="198">
        <v>206.04346000400139</v>
      </c>
      <c r="G271" s="198">
        <v>124.98173132994</v>
      </c>
      <c r="H271" s="198">
        <f t="shared" si="12"/>
        <v>124.98173132994</v>
      </c>
      <c r="I271" s="228" t="str">
        <f t="shared" si="13"/>
        <v/>
      </c>
      <c r="J271" s="228" t="str">
        <f t="shared" si="14"/>
        <v/>
      </c>
    </row>
    <row r="272" spans="1:11">
      <c r="A272" s="227" t="s">
        <v>360</v>
      </c>
      <c r="B272" s="197" t="s">
        <v>425</v>
      </c>
      <c r="C272" s="198">
        <v>-446.14120300000002</v>
      </c>
      <c r="D272" s="198">
        <v>234.85619103330001</v>
      </c>
      <c r="E272" s="198">
        <v>-446.14120300000002</v>
      </c>
      <c r="F272" s="198">
        <v>187.73323937799853</v>
      </c>
      <c r="G272" s="198">
        <v>124.98173132994</v>
      </c>
      <c r="H272" s="198">
        <f t="shared" si="12"/>
        <v>124.98173132994</v>
      </c>
      <c r="I272" s="228" t="str">
        <f t="shared" si="13"/>
        <v/>
      </c>
      <c r="J272" s="228" t="str">
        <f t="shared" si="14"/>
        <v/>
      </c>
    </row>
    <row r="273" spans="1:10">
      <c r="A273" s="227" t="s">
        <v>360</v>
      </c>
      <c r="B273" s="197" t="s">
        <v>426</v>
      </c>
      <c r="C273" s="198">
        <v>171.092635</v>
      </c>
      <c r="D273" s="198">
        <v>234.85619103330001</v>
      </c>
      <c r="E273" s="198">
        <v>171.092635</v>
      </c>
      <c r="F273" s="198">
        <v>172.92096333800154</v>
      </c>
      <c r="G273" s="198">
        <v>124.98173132994</v>
      </c>
      <c r="H273" s="198">
        <f t="shared" si="12"/>
        <v>124.98173132994</v>
      </c>
      <c r="I273" s="228" t="str">
        <f t="shared" si="13"/>
        <v/>
      </c>
      <c r="J273" s="228" t="str">
        <f t="shared" si="14"/>
        <v/>
      </c>
    </row>
    <row r="274" spans="1:10">
      <c r="A274" s="227" t="s">
        <v>360</v>
      </c>
      <c r="B274" s="197" t="s">
        <v>427</v>
      </c>
      <c r="C274" s="198">
        <v>800.42877799999997</v>
      </c>
      <c r="D274" s="198">
        <v>234.85619103330001</v>
      </c>
      <c r="E274" s="198">
        <v>234.85619103330001</v>
      </c>
      <c r="F274" s="198">
        <v>178.40271254399872</v>
      </c>
      <c r="G274" s="198">
        <v>124.98173132994</v>
      </c>
      <c r="H274" s="198">
        <f t="shared" si="12"/>
        <v>124.98173132994</v>
      </c>
      <c r="I274" s="228" t="str">
        <f t="shared" si="13"/>
        <v/>
      </c>
      <c r="J274" s="228" t="str">
        <f t="shared" si="14"/>
        <v/>
      </c>
    </row>
    <row r="275" spans="1:10">
      <c r="A275" s="227" t="s">
        <v>360</v>
      </c>
      <c r="B275" s="197" t="s">
        <v>363</v>
      </c>
      <c r="C275" s="198">
        <v>178.85944900000001</v>
      </c>
      <c r="D275" s="198">
        <v>234.85619103330001</v>
      </c>
      <c r="E275" s="198">
        <v>178.85944900000001</v>
      </c>
      <c r="F275" s="198">
        <v>184.24671902800131</v>
      </c>
      <c r="G275" s="198">
        <v>124.98173132994</v>
      </c>
      <c r="H275" s="198">
        <f t="shared" si="12"/>
        <v>124.98173132994</v>
      </c>
      <c r="I275" s="228" t="str">
        <f t="shared" si="13"/>
        <v/>
      </c>
      <c r="J275" s="228" t="str">
        <f t="shared" si="14"/>
        <v/>
      </c>
    </row>
    <row r="276" spans="1:10">
      <c r="A276" s="227" t="s">
        <v>431</v>
      </c>
      <c r="B276" s="197" t="s">
        <v>435</v>
      </c>
      <c r="C276" s="198">
        <v>157.56016399999999</v>
      </c>
      <c r="D276" s="198">
        <v>115.33375270969999</v>
      </c>
      <c r="E276" s="198">
        <v>115.33375270969999</v>
      </c>
      <c r="F276" s="198">
        <v>162.62139220799986</v>
      </c>
      <c r="G276" s="198">
        <v>106.79032108965163</v>
      </c>
      <c r="H276" s="198">
        <f t="shared" si="12"/>
        <v>106.79032108965163</v>
      </c>
      <c r="I276" s="228">
        <f t="shared" si="13"/>
        <v>600</v>
      </c>
      <c r="J276" s="228" t="str">
        <f t="shared" si="14"/>
        <v/>
      </c>
    </row>
    <row r="277" spans="1:10">
      <c r="A277" s="227" t="s">
        <v>431</v>
      </c>
      <c r="B277" s="197" t="s">
        <v>436</v>
      </c>
      <c r="C277" s="198">
        <v>115.086547</v>
      </c>
      <c r="D277" s="198">
        <v>115.33375270969999</v>
      </c>
      <c r="E277" s="198">
        <v>115.086547</v>
      </c>
      <c r="F277" s="198">
        <v>129.33470725199848</v>
      </c>
      <c r="G277" s="198">
        <v>106.79032108965163</v>
      </c>
      <c r="H277" s="198">
        <f t="shared" si="12"/>
        <v>106.79032108965163</v>
      </c>
      <c r="I277" s="228" t="str">
        <f t="shared" si="13"/>
        <v/>
      </c>
      <c r="J277" s="228" t="str">
        <f t="shared" si="14"/>
        <v/>
      </c>
    </row>
    <row r="278" spans="1:10">
      <c r="A278" s="227" t="s">
        <v>431</v>
      </c>
      <c r="B278" s="197" t="s">
        <v>437</v>
      </c>
      <c r="C278" s="198">
        <v>176.23696899999999</v>
      </c>
      <c r="D278" s="198">
        <v>115.33375270969999</v>
      </c>
      <c r="E278" s="198">
        <v>115.33375270969999</v>
      </c>
      <c r="F278" s="198">
        <v>130.67415226000128</v>
      </c>
      <c r="G278" s="198">
        <v>106.79032108965163</v>
      </c>
      <c r="H278" s="198">
        <f t="shared" si="12"/>
        <v>106.79032108965163</v>
      </c>
      <c r="I278" s="228" t="str">
        <f t="shared" si="13"/>
        <v/>
      </c>
      <c r="J278" s="228" t="str">
        <f t="shared" si="14"/>
        <v/>
      </c>
    </row>
    <row r="279" spans="1:10">
      <c r="A279" s="227" t="s">
        <v>431</v>
      </c>
      <c r="B279" s="197" t="s">
        <v>438</v>
      </c>
      <c r="C279" s="198">
        <v>-497.98981600000002</v>
      </c>
      <c r="D279" s="198">
        <v>115.33375270969999</v>
      </c>
      <c r="E279" s="198">
        <v>-497.98981600000002</v>
      </c>
      <c r="F279" s="198">
        <v>133.53077605199883</v>
      </c>
      <c r="G279" s="198">
        <v>106.79032108965163</v>
      </c>
      <c r="H279" s="198">
        <f t="shared" si="12"/>
        <v>106.79032108965163</v>
      </c>
      <c r="I279" s="228" t="str">
        <f t="shared" si="13"/>
        <v/>
      </c>
      <c r="J279" s="228" t="str">
        <f t="shared" si="14"/>
        <v/>
      </c>
    </row>
    <row r="280" spans="1:10">
      <c r="A280" s="227" t="s">
        <v>431</v>
      </c>
      <c r="B280" s="197" t="s">
        <v>439</v>
      </c>
      <c r="C280" s="198">
        <v>761.52450199999998</v>
      </c>
      <c r="D280" s="198">
        <v>115.33375270969999</v>
      </c>
      <c r="E280" s="198">
        <v>115.33375270969999</v>
      </c>
      <c r="F280" s="198">
        <v>122.01502003200133</v>
      </c>
      <c r="G280" s="198">
        <v>106.79032108965163</v>
      </c>
      <c r="H280" s="198">
        <f t="shared" si="12"/>
        <v>106.79032108965163</v>
      </c>
      <c r="I280" s="228" t="str">
        <f t="shared" si="13"/>
        <v/>
      </c>
      <c r="J280" s="228" t="str">
        <f t="shared" si="14"/>
        <v/>
      </c>
    </row>
    <row r="281" spans="1:10">
      <c r="A281" s="227" t="s">
        <v>431</v>
      </c>
      <c r="B281" s="197" t="s">
        <v>440</v>
      </c>
      <c r="C281" s="198">
        <v>130.59363099999999</v>
      </c>
      <c r="D281" s="198">
        <v>115.33375270969999</v>
      </c>
      <c r="E281" s="198">
        <v>115.33375270969999</v>
      </c>
      <c r="F281" s="198">
        <v>137.70207570200012</v>
      </c>
      <c r="G281" s="198">
        <v>106.79032108965163</v>
      </c>
      <c r="H281" s="198">
        <f t="shared" si="12"/>
        <v>106.79032108965163</v>
      </c>
      <c r="I281" s="228" t="str">
        <f t="shared" si="13"/>
        <v/>
      </c>
      <c r="J281" s="228" t="str">
        <f t="shared" si="14"/>
        <v/>
      </c>
    </row>
    <row r="282" spans="1:10">
      <c r="A282" s="227" t="s">
        <v>431</v>
      </c>
      <c r="B282" s="197" t="s">
        <v>441</v>
      </c>
      <c r="C282" s="198">
        <v>109.111537</v>
      </c>
      <c r="D282" s="198">
        <v>115.33375270969999</v>
      </c>
      <c r="E282" s="198">
        <v>109.111537</v>
      </c>
      <c r="F282" s="198">
        <v>104.67893061999892</v>
      </c>
      <c r="G282" s="198">
        <v>106.79032108965163</v>
      </c>
      <c r="H282" s="198">
        <f t="shared" si="12"/>
        <v>104.67893061999892</v>
      </c>
      <c r="I282" s="228" t="str">
        <f t="shared" si="13"/>
        <v/>
      </c>
      <c r="J282" s="228" t="str">
        <f t="shared" si="14"/>
        <v/>
      </c>
    </row>
    <row r="283" spans="1:10">
      <c r="A283" s="227" t="s">
        <v>431</v>
      </c>
      <c r="B283" s="197" t="s">
        <v>442</v>
      </c>
      <c r="C283" s="198">
        <v>163.731101</v>
      </c>
      <c r="D283" s="198">
        <v>115.33375270969999</v>
      </c>
      <c r="E283" s="198">
        <v>115.33375270969999</v>
      </c>
      <c r="F283" s="198">
        <v>144.64593666000002</v>
      </c>
      <c r="G283" s="198">
        <v>106.79032108965163</v>
      </c>
      <c r="H283" s="198">
        <f t="shared" si="12"/>
        <v>106.79032108965163</v>
      </c>
      <c r="I283" s="228" t="str">
        <f t="shared" si="13"/>
        <v/>
      </c>
      <c r="J283" s="228" t="str">
        <f t="shared" si="14"/>
        <v/>
      </c>
    </row>
    <row r="284" spans="1:10">
      <c r="A284" s="227" t="s">
        <v>431</v>
      </c>
      <c r="B284" s="197" t="s">
        <v>443</v>
      </c>
      <c r="C284" s="198">
        <v>116.95535</v>
      </c>
      <c r="D284" s="198">
        <v>115.33375270969999</v>
      </c>
      <c r="E284" s="198">
        <v>115.33375270969999</v>
      </c>
      <c r="F284" s="198">
        <v>131.46211709399992</v>
      </c>
      <c r="G284" s="198">
        <v>106.79032108965163</v>
      </c>
      <c r="H284" s="198">
        <f t="shared" si="12"/>
        <v>106.79032108965163</v>
      </c>
      <c r="I284" s="228" t="str">
        <f t="shared" si="13"/>
        <v/>
      </c>
      <c r="J284" s="228" t="str">
        <f t="shared" si="14"/>
        <v/>
      </c>
    </row>
    <row r="285" spans="1:10">
      <c r="A285" s="227" t="s">
        <v>431</v>
      </c>
      <c r="B285" s="197" t="s">
        <v>444</v>
      </c>
      <c r="C285" s="198">
        <v>118.987075</v>
      </c>
      <c r="D285" s="198">
        <v>115.33375270969999</v>
      </c>
      <c r="E285" s="198">
        <v>115.33375270969999</v>
      </c>
      <c r="F285" s="198">
        <v>120.06027501200124</v>
      </c>
      <c r="G285" s="198">
        <v>106.79032108965163</v>
      </c>
      <c r="H285" s="198">
        <f t="shared" si="12"/>
        <v>106.79032108965163</v>
      </c>
      <c r="I285" s="228" t="str">
        <f t="shared" si="13"/>
        <v/>
      </c>
      <c r="J285" s="228" t="str">
        <f t="shared" si="14"/>
        <v/>
      </c>
    </row>
    <row r="286" spans="1:10">
      <c r="A286" s="227" t="s">
        <v>431</v>
      </c>
      <c r="B286" s="197" t="s">
        <v>445</v>
      </c>
      <c r="C286" s="198">
        <v>-528.78125499999999</v>
      </c>
      <c r="D286" s="198">
        <v>115.33375270969999</v>
      </c>
      <c r="E286" s="198">
        <v>-528.78125499999999</v>
      </c>
      <c r="F286" s="198">
        <v>101.69412799999904</v>
      </c>
      <c r="G286" s="198">
        <v>106.79032108965163</v>
      </c>
      <c r="H286" s="198">
        <f t="shared" si="12"/>
        <v>101.69412799999904</v>
      </c>
      <c r="I286" s="228" t="str">
        <f t="shared" si="13"/>
        <v/>
      </c>
      <c r="J286" s="228" t="str">
        <f t="shared" si="14"/>
        <v/>
      </c>
    </row>
    <row r="287" spans="1:10">
      <c r="A287" s="227" t="s">
        <v>431</v>
      </c>
      <c r="B287" s="197" t="s">
        <v>446</v>
      </c>
      <c r="C287" s="198">
        <v>762.93432600000006</v>
      </c>
      <c r="D287" s="198">
        <v>115.33375270969999</v>
      </c>
      <c r="E287" s="198">
        <v>115.33375270969999</v>
      </c>
      <c r="F287" s="198">
        <v>136.71276595999944</v>
      </c>
      <c r="G287" s="198">
        <v>106.79032108965163</v>
      </c>
      <c r="H287" s="198">
        <f t="shared" si="12"/>
        <v>106.79032108965163</v>
      </c>
      <c r="I287" s="228" t="str">
        <f t="shared" si="13"/>
        <v/>
      </c>
      <c r="J287" s="228" t="str">
        <f t="shared" si="14"/>
        <v/>
      </c>
    </row>
    <row r="288" spans="1:10">
      <c r="A288" s="227" t="s">
        <v>431</v>
      </c>
      <c r="B288" s="197" t="s">
        <v>447</v>
      </c>
      <c r="C288" s="198">
        <v>113.41260800000001</v>
      </c>
      <c r="D288" s="198">
        <v>115.33375270969999</v>
      </c>
      <c r="E288" s="198">
        <v>113.41260800000001</v>
      </c>
      <c r="F288" s="198">
        <v>128.57641445799976</v>
      </c>
      <c r="G288" s="198">
        <v>106.79032108965163</v>
      </c>
      <c r="H288" s="198">
        <f t="shared" si="12"/>
        <v>106.79032108965163</v>
      </c>
      <c r="I288" s="228" t="str">
        <f t="shared" si="13"/>
        <v/>
      </c>
      <c r="J288" s="228" t="str">
        <f t="shared" si="14"/>
        <v/>
      </c>
    </row>
    <row r="289" spans="1:11">
      <c r="A289" s="227" t="s">
        <v>431</v>
      </c>
      <c r="B289" s="197" t="s">
        <v>448</v>
      </c>
      <c r="C289" s="198">
        <v>123.913279</v>
      </c>
      <c r="D289" s="198">
        <v>115.33375270969999</v>
      </c>
      <c r="E289" s="198">
        <v>115.33375270969999</v>
      </c>
      <c r="F289" s="198">
        <v>129.40926332800001</v>
      </c>
      <c r="G289" s="198">
        <v>106.79032108965163</v>
      </c>
      <c r="H289" s="198">
        <f t="shared" si="12"/>
        <v>106.79032108965163</v>
      </c>
      <c r="I289" s="228" t="str">
        <f t="shared" si="13"/>
        <v/>
      </c>
      <c r="J289" s="228" t="str">
        <f t="shared" si="14"/>
        <v/>
      </c>
    </row>
    <row r="290" spans="1:11">
      <c r="A290" s="227" t="s">
        <v>431</v>
      </c>
      <c r="B290" s="197" t="s">
        <v>449</v>
      </c>
      <c r="C290" s="198">
        <v>72.690957999999995</v>
      </c>
      <c r="D290" s="198">
        <v>115.33375270969999</v>
      </c>
      <c r="E290" s="198">
        <v>72.690957999999995</v>
      </c>
      <c r="F290" s="198">
        <v>99.633403692001764</v>
      </c>
      <c r="G290" s="198">
        <v>106.79032108965163</v>
      </c>
      <c r="H290" s="198">
        <f t="shared" si="12"/>
        <v>99.633403692001764</v>
      </c>
      <c r="I290" s="228" t="str">
        <f t="shared" si="13"/>
        <v/>
      </c>
      <c r="J290" s="228" t="str">
        <f t="shared" si="14"/>
        <v>M</v>
      </c>
      <c r="K290" s="229">
        <f>IF(DAY(B290)=15,G290,"")</f>
        <v>106.79032108965163</v>
      </c>
    </row>
    <row r="291" spans="1:11">
      <c r="A291" s="227" t="s">
        <v>431</v>
      </c>
      <c r="B291" s="197" t="s">
        <v>450</v>
      </c>
      <c r="C291" s="198">
        <v>125.71854999999999</v>
      </c>
      <c r="D291" s="198">
        <v>115.33375270969999</v>
      </c>
      <c r="E291" s="198">
        <v>115.33375270969999</v>
      </c>
      <c r="F291" s="198">
        <v>89.53252367199832</v>
      </c>
      <c r="G291" s="198">
        <v>106.79032108965163</v>
      </c>
      <c r="H291" s="198">
        <f t="shared" si="12"/>
        <v>89.53252367199832</v>
      </c>
      <c r="I291" s="228" t="str">
        <f t="shared" si="13"/>
        <v/>
      </c>
      <c r="J291" s="228" t="str">
        <f t="shared" si="14"/>
        <v/>
      </c>
    </row>
    <row r="292" spans="1:11">
      <c r="A292" s="227" t="s">
        <v>431</v>
      </c>
      <c r="B292" s="197" t="s">
        <v>451</v>
      </c>
      <c r="C292" s="198">
        <v>94.657551999999995</v>
      </c>
      <c r="D292" s="198">
        <v>115.33375270969999</v>
      </c>
      <c r="E292" s="198">
        <v>94.657551999999995</v>
      </c>
      <c r="F292" s="198">
        <v>87.690675502001014</v>
      </c>
      <c r="G292" s="198">
        <v>106.79032108965163</v>
      </c>
      <c r="H292" s="198">
        <f t="shared" si="12"/>
        <v>87.690675502001014</v>
      </c>
      <c r="I292" s="228" t="str">
        <f t="shared" si="13"/>
        <v/>
      </c>
      <c r="J292" s="228" t="str">
        <f t="shared" si="14"/>
        <v/>
      </c>
    </row>
    <row r="293" spans="1:11">
      <c r="A293" s="227" t="s">
        <v>431</v>
      </c>
      <c r="B293" s="197" t="s">
        <v>452</v>
      </c>
      <c r="C293" s="198">
        <v>-542.69988699999999</v>
      </c>
      <c r="D293" s="198">
        <v>115.33375270969999</v>
      </c>
      <c r="E293" s="198">
        <v>-542.69988699999999</v>
      </c>
      <c r="F293" s="198">
        <v>85.365028687999157</v>
      </c>
      <c r="G293" s="198">
        <v>106.79032108965163</v>
      </c>
      <c r="H293" s="198">
        <f t="shared" si="12"/>
        <v>85.365028687999157</v>
      </c>
      <c r="I293" s="228" t="str">
        <f t="shared" si="13"/>
        <v/>
      </c>
      <c r="J293" s="228" t="str">
        <f t="shared" si="14"/>
        <v/>
      </c>
    </row>
    <row r="294" spans="1:11">
      <c r="A294" s="227" t="s">
        <v>431</v>
      </c>
      <c r="B294" s="197" t="s">
        <v>453</v>
      </c>
      <c r="C294" s="198">
        <v>740.24623999999994</v>
      </c>
      <c r="D294" s="198">
        <v>115.33375270969999</v>
      </c>
      <c r="E294" s="198">
        <v>115.33375270969999</v>
      </c>
      <c r="F294" s="198">
        <v>106.91501158400048</v>
      </c>
      <c r="G294" s="198">
        <v>106.79032108965163</v>
      </c>
      <c r="H294" s="198">
        <f t="shared" si="12"/>
        <v>106.79032108965163</v>
      </c>
      <c r="I294" s="228" t="str">
        <f t="shared" si="13"/>
        <v/>
      </c>
      <c r="J294" s="228" t="str">
        <f t="shared" si="14"/>
        <v/>
      </c>
    </row>
    <row r="295" spans="1:11">
      <c r="A295" s="227" t="s">
        <v>431</v>
      </c>
      <c r="B295" s="197" t="s">
        <v>454</v>
      </c>
      <c r="C295" s="198">
        <v>94.594372000000007</v>
      </c>
      <c r="D295" s="198">
        <v>115.33375270969999</v>
      </c>
      <c r="E295" s="198">
        <v>94.594372000000007</v>
      </c>
      <c r="F295" s="198">
        <v>94.498085524000132</v>
      </c>
      <c r="G295" s="198">
        <v>106.79032108965163</v>
      </c>
      <c r="H295" s="198">
        <f t="shared" si="12"/>
        <v>94.498085524000132</v>
      </c>
      <c r="I295" s="228" t="str">
        <f t="shared" si="13"/>
        <v/>
      </c>
      <c r="J295" s="228" t="str">
        <f t="shared" si="14"/>
        <v/>
      </c>
    </row>
    <row r="296" spans="1:11">
      <c r="A296" s="227" t="s">
        <v>431</v>
      </c>
      <c r="B296" s="197" t="s">
        <v>455</v>
      </c>
      <c r="C296" s="198">
        <v>103.176159</v>
      </c>
      <c r="D296" s="198">
        <v>115.33375270969999</v>
      </c>
      <c r="E296" s="198">
        <v>103.176159</v>
      </c>
      <c r="F296" s="198">
        <v>111.66420437600006</v>
      </c>
      <c r="G296" s="198">
        <v>106.79032108965163</v>
      </c>
      <c r="H296" s="198">
        <f t="shared" si="12"/>
        <v>106.79032108965163</v>
      </c>
      <c r="I296" s="228" t="str">
        <f t="shared" si="13"/>
        <v/>
      </c>
      <c r="J296" s="228" t="str">
        <f t="shared" si="14"/>
        <v/>
      </c>
    </row>
    <row r="297" spans="1:11">
      <c r="A297" s="227" t="s">
        <v>431</v>
      </c>
      <c r="B297" s="197" t="s">
        <v>456</v>
      </c>
      <c r="C297" s="198">
        <v>107.37548099999999</v>
      </c>
      <c r="D297" s="198">
        <v>115.33375270969999</v>
      </c>
      <c r="E297" s="198">
        <v>107.37548099999999</v>
      </c>
      <c r="F297" s="198">
        <v>105.49031820600081</v>
      </c>
      <c r="G297" s="198">
        <v>106.79032108965163</v>
      </c>
      <c r="H297" s="198">
        <f t="shared" si="12"/>
        <v>105.49031820600081</v>
      </c>
      <c r="I297" s="228" t="str">
        <f t="shared" si="13"/>
        <v/>
      </c>
      <c r="J297" s="228" t="str">
        <f t="shared" si="14"/>
        <v/>
      </c>
    </row>
    <row r="298" spans="1:11">
      <c r="A298" s="227" t="s">
        <v>431</v>
      </c>
      <c r="B298" s="197" t="s">
        <v>457</v>
      </c>
      <c r="C298" s="198">
        <v>85.672820999999999</v>
      </c>
      <c r="D298" s="198">
        <v>115.33375270969999</v>
      </c>
      <c r="E298" s="198">
        <v>85.672820999999999</v>
      </c>
      <c r="F298" s="198">
        <v>86.771898835999281</v>
      </c>
      <c r="G298" s="198">
        <v>106.79032108965163</v>
      </c>
      <c r="H298" s="198">
        <f t="shared" si="12"/>
        <v>86.771898835999281</v>
      </c>
      <c r="I298" s="228" t="str">
        <f t="shared" si="13"/>
        <v/>
      </c>
      <c r="J298" s="228" t="str">
        <f t="shared" si="14"/>
        <v/>
      </c>
    </row>
    <row r="299" spans="1:11">
      <c r="A299" s="227" t="s">
        <v>431</v>
      </c>
      <c r="B299" s="197" t="s">
        <v>458</v>
      </c>
      <c r="C299" s="198">
        <v>99.718726000000004</v>
      </c>
      <c r="D299" s="198">
        <v>115.33375270969999</v>
      </c>
      <c r="E299" s="198">
        <v>99.718726000000004</v>
      </c>
      <c r="F299" s="198">
        <v>113.33406326600067</v>
      </c>
      <c r="G299" s="198">
        <v>106.79032108965163</v>
      </c>
      <c r="H299" s="198">
        <f t="shared" si="12"/>
        <v>106.79032108965163</v>
      </c>
      <c r="I299" s="228" t="str">
        <f t="shared" si="13"/>
        <v/>
      </c>
      <c r="J299" s="228" t="str">
        <f t="shared" si="14"/>
        <v/>
      </c>
    </row>
    <row r="300" spans="1:11">
      <c r="A300" s="227" t="s">
        <v>431</v>
      </c>
      <c r="B300" s="197" t="s">
        <v>459</v>
      </c>
      <c r="C300" s="198">
        <v>-538.27892599999996</v>
      </c>
      <c r="D300" s="198">
        <v>115.33375270969999</v>
      </c>
      <c r="E300" s="198">
        <v>-538.27892599999996</v>
      </c>
      <c r="F300" s="198">
        <v>105.60525400799881</v>
      </c>
      <c r="G300" s="198">
        <v>106.79032108965163</v>
      </c>
      <c r="H300" s="198">
        <f t="shared" si="12"/>
        <v>105.60525400799881</v>
      </c>
      <c r="I300" s="228" t="str">
        <f t="shared" si="13"/>
        <v/>
      </c>
      <c r="J300" s="228" t="str">
        <f t="shared" si="14"/>
        <v/>
      </c>
    </row>
    <row r="301" spans="1:11">
      <c r="A301" s="227" t="s">
        <v>431</v>
      </c>
      <c r="B301" s="197" t="s">
        <v>460</v>
      </c>
      <c r="C301" s="198">
        <v>742.40240600000004</v>
      </c>
      <c r="D301" s="198">
        <v>115.33375270969999</v>
      </c>
      <c r="E301" s="198">
        <v>115.33375270969999</v>
      </c>
      <c r="F301" s="198">
        <v>133.78903350000027</v>
      </c>
      <c r="G301" s="198">
        <v>106.79032108965163</v>
      </c>
      <c r="H301" s="198">
        <f t="shared" si="12"/>
        <v>106.79032108965163</v>
      </c>
      <c r="I301" s="228" t="str">
        <f t="shared" si="13"/>
        <v/>
      </c>
      <c r="J301" s="228" t="str">
        <f t="shared" si="14"/>
        <v/>
      </c>
    </row>
    <row r="302" spans="1:11">
      <c r="A302" s="227" t="s">
        <v>431</v>
      </c>
      <c r="B302" s="197" t="s">
        <v>461</v>
      </c>
      <c r="C302" s="198">
        <v>109.54555499999999</v>
      </c>
      <c r="D302" s="198">
        <v>115.33375270969999</v>
      </c>
      <c r="E302" s="198">
        <v>109.54555499999999</v>
      </c>
      <c r="F302" s="198">
        <v>111.33093025200046</v>
      </c>
      <c r="G302" s="198">
        <v>106.79032108965163</v>
      </c>
      <c r="H302" s="198">
        <f t="shared" si="12"/>
        <v>106.79032108965163</v>
      </c>
      <c r="I302" s="228" t="str">
        <f t="shared" si="13"/>
        <v/>
      </c>
      <c r="J302" s="228" t="str">
        <f t="shared" si="14"/>
        <v/>
      </c>
    </row>
    <row r="303" spans="1:11">
      <c r="A303" s="227" t="s">
        <v>431</v>
      </c>
      <c r="B303" s="197" t="s">
        <v>462</v>
      </c>
      <c r="C303" s="198">
        <v>111.190138</v>
      </c>
      <c r="D303" s="198">
        <v>115.33375270969999</v>
      </c>
      <c r="E303" s="198">
        <v>111.190138</v>
      </c>
      <c r="F303" s="198">
        <v>131.28679254600058</v>
      </c>
      <c r="G303" s="198">
        <v>106.79032108965163</v>
      </c>
      <c r="H303" s="198">
        <f t="shared" si="12"/>
        <v>106.79032108965163</v>
      </c>
      <c r="I303" s="228" t="str">
        <f t="shared" si="13"/>
        <v/>
      </c>
      <c r="J303" s="228" t="str">
        <f t="shared" si="14"/>
        <v/>
      </c>
    </row>
    <row r="304" spans="1:11">
      <c r="A304" s="227" t="s">
        <v>431</v>
      </c>
      <c r="B304" s="197" t="s">
        <v>463</v>
      </c>
      <c r="C304" s="198">
        <v>141.566316</v>
      </c>
      <c r="D304" s="198">
        <v>115.33375270969999</v>
      </c>
      <c r="E304" s="198">
        <v>115.33375270969999</v>
      </c>
      <c r="F304" s="198">
        <v>195.54347330799871</v>
      </c>
      <c r="G304" s="198">
        <v>106.79032108965163</v>
      </c>
      <c r="H304" s="198">
        <f t="shared" si="12"/>
        <v>106.79032108965163</v>
      </c>
      <c r="I304" s="228" t="str">
        <f t="shared" si="13"/>
        <v/>
      </c>
      <c r="J304" s="228" t="str">
        <f t="shared" si="14"/>
        <v/>
      </c>
    </row>
    <row r="305" spans="1:10">
      <c r="A305" s="227" t="s">
        <v>431</v>
      </c>
      <c r="B305" s="197" t="s">
        <v>464</v>
      </c>
      <c r="C305" s="198">
        <v>119.239763</v>
      </c>
      <c r="D305" s="198">
        <v>115.33375270969999</v>
      </c>
      <c r="E305" s="198">
        <v>115.33375270969999</v>
      </c>
      <c r="F305" s="198">
        <v>100.98178129200043</v>
      </c>
      <c r="G305" s="198">
        <v>106.79032108965163</v>
      </c>
      <c r="H305" s="198">
        <f t="shared" si="12"/>
        <v>100.98178129200043</v>
      </c>
      <c r="I305" s="228" t="str">
        <f t="shared" si="13"/>
        <v/>
      </c>
      <c r="J305" s="228" t="str">
        <f t="shared" si="14"/>
        <v/>
      </c>
    </row>
    <row r="306" spans="1:10">
      <c r="A306" s="227" t="s">
        <v>431</v>
      </c>
      <c r="B306" s="197" t="s">
        <v>465</v>
      </c>
      <c r="C306" s="198">
        <v>85.254092</v>
      </c>
      <c r="D306" s="198">
        <v>115.33375270969999</v>
      </c>
      <c r="E306" s="198">
        <v>85.254092</v>
      </c>
      <c r="F306" s="198">
        <v>133.8371004339995</v>
      </c>
      <c r="G306" s="198">
        <v>106.79032108965163</v>
      </c>
      <c r="H306" s="198">
        <f t="shared" si="12"/>
        <v>106.79032108965163</v>
      </c>
      <c r="I306" s="228" t="str">
        <f t="shared" si="13"/>
        <v/>
      </c>
      <c r="J306" s="228" t="str">
        <f t="shared" si="14"/>
        <v/>
      </c>
    </row>
    <row r="307" spans="1:10">
      <c r="A307" s="227" t="s">
        <v>432</v>
      </c>
      <c r="B307" s="197" t="s">
        <v>466</v>
      </c>
      <c r="C307" s="198">
        <v>-474.278886</v>
      </c>
      <c r="D307" s="198">
        <v>114.0391508667</v>
      </c>
      <c r="E307" s="198">
        <v>-474.278886</v>
      </c>
      <c r="F307" s="198">
        <v>132.96366703799978</v>
      </c>
      <c r="G307" s="198">
        <v>64.364342968573325</v>
      </c>
      <c r="H307" s="198">
        <f t="shared" si="12"/>
        <v>64.364342968573325</v>
      </c>
      <c r="I307" s="228">
        <f t="shared" si="13"/>
        <v>600</v>
      </c>
      <c r="J307" s="228" t="str">
        <f t="shared" si="14"/>
        <v/>
      </c>
    </row>
    <row r="308" spans="1:10">
      <c r="A308" s="227" t="s">
        <v>432</v>
      </c>
      <c r="B308" s="197" t="s">
        <v>467</v>
      </c>
      <c r="C308" s="198">
        <v>746.13199399999996</v>
      </c>
      <c r="D308" s="198">
        <v>114.0391508667</v>
      </c>
      <c r="E308" s="198">
        <v>114.0391508667</v>
      </c>
      <c r="F308" s="198">
        <v>110.02470957600039</v>
      </c>
      <c r="G308" s="198">
        <v>64.364342968573325</v>
      </c>
      <c r="H308" s="198">
        <f t="shared" si="12"/>
        <v>64.364342968573325</v>
      </c>
      <c r="I308" s="228" t="str">
        <f t="shared" si="13"/>
        <v/>
      </c>
      <c r="J308" s="228" t="str">
        <f t="shared" si="14"/>
        <v/>
      </c>
    </row>
    <row r="309" spans="1:10">
      <c r="A309" s="227" t="s">
        <v>432</v>
      </c>
      <c r="B309" s="197" t="s">
        <v>468</v>
      </c>
      <c r="C309" s="198">
        <v>96.011422999999994</v>
      </c>
      <c r="D309" s="198">
        <v>114.0391508667</v>
      </c>
      <c r="E309" s="198">
        <v>96.011422999999994</v>
      </c>
      <c r="F309" s="198">
        <v>132.97998542200034</v>
      </c>
      <c r="G309" s="198">
        <v>64.364342968573325</v>
      </c>
      <c r="H309" s="198">
        <f t="shared" si="12"/>
        <v>64.364342968573325</v>
      </c>
      <c r="I309" s="228" t="str">
        <f t="shared" si="13"/>
        <v/>
      </c>
      <c r="J309" s="228" t="str">
        <f t="shared" si="14"/>
        <v/>
      </c>
    </row>
    <row r="310" spans="1:10">
      <c r="A310" s="227" t="s">
        <v>432</v>
      </c>
      <c r="B310" s="197" t="s">
        <v>469</v>
      </c>
      <c r="C310" s="198">
        <v>147.96201600000001</v>
      </c>
      <c r="D310" s="198">
        <v>114.0391508667</v>
      </c>
      <c r="E310" s="198">
        <v>114.0391508667</v>
      </c>
      <c r="F310" s="198">
        <v>124.64686112600039</v>
      </c>
      <c r="G310" s="198">
        <v>64.364342968573325</v>
      </c>
      <c r="H310" s="198">
        <f t="shared" si="12"/>
        <v>64.364342968573325</v>
      </c>
      <c r="I310" s="228" t="str">
        <f t="shared" si="13"/>
        <v/>
      </c>
      <c r="J310" s="228" t="str">
        <f t="shared" si="14"/>
        <v/>
      </c>
    </row>
    <row r="311" spans="1:10">
      <c r="A311" s="227" t="s">
        <v>432</v>
      </c>
      <c r="B311" s="197" t="s">
        <v>470</v>
      </c>
      <c r="C311" s="198">
        <v>124.702707</v>
      </c>
      <c r="D311" s="198">
        <v>114.0391508667</v>
      </c>
      <c r="E311" s="198">
        <v>114.0391508667</v>
      </c>
      <c r="F311" s="198">
        <v>107.88153764799873</v>
      </c>
      <c r="G311" s="198">
        <v>64.364342968573325</v>
      </c>
      <c r="H311" s="198">
        <f t="shared" si="12"/>
        <v>64.364342968573325</v>
      </c>
      <c r="I311" s="228" t="str">
        <f t="shared" si="13"/>
        <v/>
      </c>
      <c r="J311" s="228" t="str">
        <f t="shared" si="14"/>
        <v/>
      </c>
    </row>
    <row r="312" spans="1:10">
      <c r="A312" s="227" t="s">
        <v>432</v>
      </c>
      <c r="B312" s="197" t="s">
        <v>471</v>
      </c>
      <c r="C312" s="198">
        <v>133.06386800000001</v>
      </c>
      <c r="D312" s="198">
        <v>114.0391508667</v>
      </c>
      <c r="E312" s="198">
        <v>114.0391508667</v>
      </c>
      <c r="F312" s="198">
        <v>151.11151027200125</v>
      </c>
      <c r="G312" s="198">
        <v>64.364342968573325</v>
      </c>
      <c r="H312" s="198">
        <f t="shared" si="12"/>
        <v>64.364342968573325</v>
      </c>
      <c r="I312" s="228" t="str">
        <f t="shared" si="13"/>
        <v/>
      </c>
      <c r="J312" s="228" t="str">
        <f t="shared" si="14"/>
        <v/>
      </c>
    </row>
    <row r="313" spans="1:10">
      <c r="A313" s="227" t="s">
        <v>432</v>
      </c>
      <c r="B313" s="197" t="s">
        <v>472</v>
      </c>
      <c r="C313" s="198">
        <v>129.585059</v>
      </c>
      <c r="D313" s="198">
        <v>114.0391508667</v>
      </c>
      <c r="E313" s="198">
        <v>114.0391508667</v>
      </c>
      <c r="F313" s="198">
        <v>121.60062815199908</v>
      </c>
      <c r="G313" s="198">
        <v>64.364342968573325</v>
      </c>
      <c r="H313" s="198">
        <f t="shared" si="12"/>
        <v>64.364342968573325</v>
      </c>
      <c r="I313" s="228" t="str">
        <f t="shared" si="13"/>
        <v/>
      </c>
      <c r="J313" s="228" t="str">
        <f t="shared" si="14"/>
        <v/>
      </c>
    </row>
    <row r="314" spans="1:10">
      <c r="A314" s="227" t="s">
        <v>432</v>
      </c>
      <c r="B314" s="197" t="s">
        <v>473</v>
      </c>
      <c r="C314" s="198">
        <v>-503.06795899999997</v>
      </c>
      <c r="D314" s="198">
        <v>114.0391508667</v>
      </c>
      <c r="E314" s="198">
        <v>-503.06795899999997</v>
      </c>
      <c r="F314" s="198">
        <v>155.11982997000078</v>
      </c>
      <c r="G314" s="198">
        <v>64.364342968573325</v>
      </c>
      <c r="H314" s="198">
        <f t="shared" si="12"/>
        <v>64.364342968573325</v>
      </c>
      <c r="I314" s="228" t="str">
        <f t="shared" si="13"/>
        <v/>
      </c>
      <c r="J314" s="228" t="str">
        <f t="shared" si="14"/>
        <v/>
      </c>
    </row>
    <row r="315" spans="1:10">
      <c r="A315" s="227" t="s">
        <v>432</v>
      </c>
      <c r="B315" s="197" t="s">
        <v>474</v>
      </c>
      <c r="C315" s="198">
        <v>783.78508099999999</v>
      </c>
      <c r="D315" s="198">
        <v>114.0391508667</v>
      </c>
      <c r="E315" s="198">
        <v>114.0391508667</v>
      </c>
      <c r="F315" s="198">
        <v>156.27977458999919</v>
      </c>
      <c r="G315" s="198">
        <v>64.364342968573325</v>
      </c>
      <c r="H315" s="198">
        <f t="shared" si="12"/>
        <v>64.364342968573325</v>
      </c>
      <c r="I315" s="228" t="str">
        <f t="shared" si="13"/>
        <v/>
      </c>
      <c r="J315" s="228" t="str">
        <f t="shared" si="14"/>
        <v/>
      </c>
    </row>
    <row r="316" spans="1:10">
      <c r="A316" s="227" t="s">
        <v>432</v>
      </c>
      <c r="B316" s="197" t="s">
        <v>475</v>
      </c>
      <c r="C316" s="198">
        <v>110.99142500000001</v>
      </c>
      <c r="D316" s="198">
        <v>114.0391508667</v>
      </c>
      <c r="E316" s="198">
        <v>110.99142500000001</v>
      </c>
      <c r="F316" s="198">
        <v>159.36620024999965</v>
      </c>
      <c r="G316" s="198">
        <v>64.364342968573325</v>
      </c>
      <c r="H316" s="198">
        <f t="shared" si="12"/>
        <v>64.364342968573325</v>
      </c>
      <c r="I316" s="228" t="str">
        <f t="shared" si="13"/>
        <v/>
      </c>
      <c r="J316" s="228" t="str">
        <f t="shared" si="14"/>
        <v/>
      </c>
    </row>
    <row r="317" spans="1:10">
      <c r="A317" s="227" t="s">
        <v>432</v>
      </c>
      <c r="B317" s="197" t="s">
        <v>476</v>
      </c>
      <c r="C317" s="198">
        <v>179.59088499999999</v>
      </c>
      <c r="D317" s="198">
        <v>114.0391508667</v>
      </c>
      <c r="E317" s="198">
        <v>114.0391508667</v>
      </c>
      <c r="F317" s="198">
        <v>172.01672285200101</v>
      </c>
      <c r="G317" s="198">
        <v>64.364342968573325</v>
      </c>
      <c r="H317" s="198">
        <f t="shared" si="12"/>
        <v>64.364342968573325</v>
      </c>
      <c r="I317" s="228" t="str">
        <f t="shared" si="13"/>
        <v/>
      </c>
      <c r="J317" s="228" t="str">
        <f t="shared" si="14"/>
        <v/>
      </c>
    </row>
    <row r="318" spans="1:10">
      <c r="A318" s="227" t="s">
        <v>432</v>
      </c>
      <c r="B318" s="197" t="s">
        <v>477</v>
      </c>
      <c r="C318" s="198">
        <v>140.13459499999999</v>
      </c>
      <c r="D318" s="198">
        <v>114.0391508667</v>
      </c>
      <c r="E318" s="198">
        <v>114.0391508667</v>
      </c>
      <c r="F318" s="198">
        <v>141.66421100799982</v>
      </c>
      <c r="G318" s="198">
        <v>64.364342968573325</v>
      </c>
      <c r="H318" s="198">
        <f t="shared" si="12"/>
        <v>64.364342968573325</v>
      </c>
      <c r="I318" s="228" t="str">
        <f t="shared" si="13"/>
        <v/>
      </c>
      <c r="J318" s="228" t="str">
        <f t="shared" si="14"/>
        <v/>
      </c>
    </row>
    <row r="319" spans="1:10">
      <c r="A319" s="227" t="s">
        <v>432</v>
      </c>
      <c r="B319" s="197" t="s">
        <v>478</v>
      </c>
      <c r="C319" s="198">
        <v>143.87706299999999</v>
      </c>
      <c r="D319" s="198">
        <v>114.0391508667</v>
      </c>
      <c r="E319" s="198">
        <v>114.0391508667</v>
      </c>
      <c r="F319" s="198">
        <v>133.43487626200044</v>
      </c>
      <c r="G319" s="198">
        <v>64.364342968573325</v>
      </c>
      <c r="H319" s="198">
        <f t="shared" si="12"/>
        <v>64.364342968573325</v>
      </c>
      <c r="I319" s="228" t="str">
        <f t="shared" si="13"/>
        <v/>
      </c>
      <c r="J319" s="228" t="str">
        <f t="shared" si="14"/>
        <v/>
      </c>
    </row>
    <row r="320" spans="1:10">
      <c r="A320" s="227" t="s">
        <v>432</v>
      </c>
      <c r="B320" s="197" t="s">
        <v>479</v>
      </c>
      <c r="C320" s="198">
        <v>153.65304399999999</v>
      </c>
      <c r="D320" s="198">
        <v>114.0391508667</v>
      </c>
      <c r="E320" s="198">
        <v>114.0391508667</v>
      </c>
      <c r="F320" s="198">
        <v>154.90469182799879</v>
      </c>
      <c r="G320" s="198">
        <v>64.364342968573325</v>
      </c>
      <c r="H320" s="198">
        <f t="shared" si="12"/>
        <v>64.364342968573325</v>
      </c>
      <c r="I320" s="228" t="str">
        <f t="shared" si="13"/>
        <v/>
      </c>
      <c r="J320" s="228" t="str">
        <f t="shared" si="14"/>
        <v/>
      </c>
    </row>
    <row r="321" spans="1:11">
      <c r="A321" s="227" t="s">
        <v>432</v>
      </c>
      <c r="B321" s="197" t="s">
        <v>480</v>
      </c>
      <c r="C321" s="198">
        <v>-518.41550800000005</v>
      </c>
      <c r="D321" s="198">
        <v>114.0391508667</v>
      </c>
      <c r="E321" s="198">
        <v>-518.41550800000005</v>
      </c>
      <c r="F321" s="198">
        <v>126.21470540400162</v>
      </c>
      <c r="G321" s="198">
        <v>64.364342968573325</v>
      </c>
      <c r="H321" s="198">
        <f t="shared" si="12"/>
        <v>64.364342968573325</v>
      </c>
      <c r="I321" s="228" t="str">
        <f t="shared" si="13"/>
        <v/>
      </c>
      <c r="J321" s="228" t="str">
        <f t="shared" si="14"/>
        <v>J</v>
      </c>
      <c r="K321" s="229">
        <f>IF(DAY(B321)=15,G321,"")</f>
        <v>64.364342968573325</v>
      </c>
    </row>
    <row r="322" spans="1:11">
      <c r="A322" s="227" t="s">
        <v>432</v>
      </c>
      <c r="B322" s="197" t="s">
        <v>481</v>
      </c>
      <c r="C322" s="198">
        <v>747.04721900000004</v>
      </c>
      <c r="D322" s="198">
        <v>114.0391508667</v>
      </c>
      <c r="E322" s="198">
        <v>114.0391508667</v>
      </c>
      <c r="F322" s="198">
        <v>134.77780512799947</v>
      </c>
      <c r="G322" s="198">
        <v>64.364342968573325</v>
      </c>
      <c r="H322" s="198">
        <f t="shared" si="12"/>
        <v>64.364342968573325</v>
      </c>
      <c r="I322" s="228" t="str">
        <f t="shared" si="13"/>
        <v/>
      </c>
      <c r="J322" s="228" t="str">
        <f t="shared" si="14"/>
        <v/>
      </c>
    </row>
    <row r="323" spans="1:11">
      <c r="A323" s="227" t="s">
        <v>432</v>
      </c>
      <c r="B323" s="197" t="s">
        <v>482</v>
      </c>
      <c r="C323" s="198">
        <v>109.03872699999999</v>
      </c>
      <c r="D323" s="198">
        <v>114.0391508667</v>
      </c>
      <c r="E323" s="198">
        <v>109.03872699999999</v>
      </c>
      <c r="F323" s="198">
        <v>102.05139265599894</v>
      </c>
      <c r="G323" s="198">
        <v>64.364342968573325</v>
      </c>
      <c r="H323" s="198">
        <f t="shared" si="12"/>
        <v>64.364342968573325</v>
      </c>
      <c r="I323" s="228" t="str">
        <f t="shared" si="13"/>
        <v/>
      </c>
      <c r="J323" s="228" t="str">
        <f t="shared" si="14"/>
        <v/>
      </c>
    </row>
    <row r="324" spans="1:11">
      <c r="A324" s="227" t="s">
        <v>432</v>
      </c>
      <c r="B324" s="197" t="s">
        <v>483</v>
      </c>
      <c r="C324" s="198">
        <v>139.86872700000001</v>
      </c>
      <c r="D324" s="198">
        <v>114.0391508667</v>
      </c>
      <c r="E324" s="198">
        <v>114.0391508667</v>
      </c>
      <c r="F324" s="198">
        <v>132.33437980799994</v>
      </c>
      <c r="G324" s="198">
        <v>64.364342968573325</v>
      </c>
      <c r="H324" s="198">
        <f t="shared" ref="H324:H387" si="15">IF(F324&lt;G324,F324,G324)</f>
        <v>64.364342968573325</v>
      </c>
      <c r="I324" s="228" t="str">
        <f t="shared" ref="I324:I387" si="16">IF(DAY(B324)=1,600,"")</f>
        <v/>
      </c>
      <c r="J324" s="228" t="str">
        <f t="shared" ref="J324:J387" si="17">IF(DAY(B324)=15,MID(A324,1,1),"")</f>
        <v/>
      </c>
    </row>
    <row r="325" spans="1:11">
      <c r="A325" s="227" t="s">
        <v>432</v>
      </c>
      <c r="B325" s="197" t="s">
        <v>484</v>
      </c>
      <c r="C325" s="198">
        <v>94.624930000000006</v>
      </c>
      <c r="D325" s="198">
        <v>114.0391508667</v>
      </c>
      <c r="E325" s="198">
        <v>94.624930000000006</v>
      </c>
      <c r="F325" s="198">
        <v>94.171101128000387</v>
      </c>
      <c r="G325" s="198">
        <v>64.364342968573325</v>
      </c>
      <c r="H325" s="198">
        <f t="shared" si="15"/>
        <v>64.364342968573325</v>
      </c>
      <c r="I325" s="228" t="str">
        <f t="shared" si="16"/>
        <v/>
      </c>
      <c r="J325" s="228" t="str">
        <f t="shared" si="17"/>
        <v/>
      </c>
    </row>
    <row r="326" spans="1:11">
      <c r="A326" s="227" t="s">
        <v>432</v>
      </c>
      <c r="B326" s="197" t="s">
        <v>485</v>
      </c>
      <c r="C326" s="198">
        <v>109.650668</v>
      </c>
      <c r="D326" s="198">
        <v>114.0391508667</v>
      </c>
      <c r="E326" s="198">
        <v>109.650668</v>
      </c>
      <c r="F326" s="198">
        <v>98.795849891999765</v>
      </c>
      <c r="G326" s="198">
        <v>64.364342968573325</v>
      </c>
      <c r="H326" s="198">
        <f t="shared" si="15"/>
        <v>64.364342968573325</v>
      </c>
      <c r="I326" s="228" t="str">
        <f t="shared" si="16"/>
        <v/>
      </c>
      <c r="J326" s="228" t="str">
        <f t="shared" si="17"/>
        <v/>
      </c>
    </row>
    <row r="327" spans="1:11">
      <c r="A327" s="227" t="s">
        <v>432</v>
      </c>
      <c r="B327" s="197" t="s">
        <v>486</v>
      </c>
      <c r="C327" s="198">
        <v>86.188462999999999</v>
      </c>
      <c r="D327" s="198">
        <v>114.0391508667</v>
      </c>
      <c r="E327" s="198">
        <v>86.188462999999999</v>
      </c>
      <c r="F327" s="198">
        <v>94.224907864000983</v>
      </c>
      <c r="G327" s="198">
        <v>64.364342968573325</v>
      </c>
      <c r="H327" s="198">
        <f t="shared" si="15"/>
        <v>64.364342968573325</v>
      </c>
      <c r="I327" s="228" t="str">
        <f t="shared" si="16"/>
        <v/>
      </c>
      <c r="J327" s="228" t="str">
        <f t="shared" si="17"/>
        <v/>
      </c>
    </row>
    <row r="328" spans="1:11">
      <c r="A328" s="227" t="s">
        <v>432</v>
      </c>
      <c r="B328" s="197" t="s">
        <v>487</v>
      </c>
      <c r="C328" s="198">
        <v>-526.15446199999997</v>
      </c>
      <c r="D328" s="198">
        <v>114.0391508667</v>
      </c>
      <c r="E328" s="198">
        <v>-526.15446199999997</v>
      </c>
      <c r="F328" s="198">
        <v>97.469921735998838</v>
      </c>
      <c r="G328" s="198">
        <v>64.364342968573325</v>
      </c>
      <c r="H328" s="198">
        <f t="shared" si="15"/>
        <v>64.364342968573325</v>
      </c>
      <c r="I328" s="228" t="str">
        <f t="shared" si="16"/>
        <v/>
      </c>
      <c r="J328" s="228" t="str">
        <f t="shared" si="17"/>
        <v/>
      </c>
    </row>
    <row r="329" spans="1:11">
      <c r="A329" s="227" t="s">
        <v>432</v>
      </c>
      <c r="B329" s="197" t="s">
        <v>488</v>
      </c>
      <c r="C329" s="198">
        <v>713.52333399999998</v>
      </c>
      <c r="D329" s="198">
        <v>114.0391508667</v>
      </c>
      <c r="E329" s="198">
        <v>114.0391508667</v>
      </c>
      <c r="F329" s="198">
        <v>69.649160008001445</v>
      </c>
      <c r="G329" s="198">
        <v>64.364342968573325</v>
      </c>
      <c r="H329" s="198">
        <f t="shared" si="15"/>
        <v>64.364342968573325</v>
      </c>
      <c r="I329" s="228" t="str">
        <f t="shared" si="16"/>
        <v/>
      </c>
      <c r="J329" s="228" t="str">
        <f t="shared" si="17"/>
        <v/>
      </c>
    </row>
    <row r="330" spans="1:11">
      <c r="A330" s="227" t="s">
        <v>432</v>
      </c>
      <c r="B330" s="197" t="s">
        <v>489</v>
      </c>
      <c r="C330" s="198">
        <v>85.558263999999994</v>
      </c>
      <c r="D330" s="198">
        <v>114.0391508667</v>
      </c>
      <c r="E330" s="198">
        <v>85.558263999999994</v>
      </c>
      <c r="F330" s="198">
        <v>80.367859501998751</v>
      </c>
      <c r="G330" s="198">
        <v>64.364342968573325</v>
      </c>
      <c r="H330" s="198">
        <f t="shared" si="15"/>
        <v>64.364342968573325</v>
      </c>
      <c r="I330" s="228" t="str">
        <f t="shared" si="16"/>
        <v/>
      </c>
      <c r="J330" s="228" t="str">
        <f t="shared" si="17"/>
        <v/>
      </c>
    </row>
    <row r="331" spans="1:11">
      <c r="A331" s="227" t="s">
        <v>432</v>
      </c>
      <c r="B331" s="197" t="s">
        <v>490</v>
      </c>
      <c r="C331" s="198">
        <v>88.483793000000006</v>
      </c>
      <c r="D331" s="198">
        <v>114.0391508667</v>
      </c>
      <c r="E331" s="198">
        <v>88.483793000000006</v>
      </c>
      <c r="F331" s="198">
        <v>98.901564599999816</v>
      </c>
      <c r="G331" s="198">
        <v>64.364342968573325</v>
      </c>
      <c r="H331" s="198">
        <f t="shared" si="15"/>
        <v>64.364342968573325</v>
      </c>
      <c r="I331" s="228" t="str">
        <f t="shared" si="16"/>
        <v/>
      </c>
      <c r="J331" s="228" t="str">
        <f t="shared" si="17"/>
        <v/>
      </c>
    </row>
    <row r="332" spans="1:11">
      <c r="A332" s="227" t="s">
        <v>432</v>
      </c>
      <c r="B332" s="197" t="s">
        <v>491</v>
      </c>
      <c r="C332" s="198">
        <v>77.288990999999996</v>
      </c>
      <c r="D332" s="198">
        <v>114.0391508667</v>
      </c>
      <c r="E332" s="198">
        <v>77.288990999999996</v>
      </c>
      <c r="F332" s="198">
        <v>80.19735024600098</v>
      </c>
      <c r="G332" s="198">
        <v>64.364342968573325</v>
      </c>
      <c r="H332" s="198">
        <f t="shared" si="15"/>
        <v>64.364342968573325</v>
      </c>
      <c r="I332" s="228" t="str">
        <f t="shared" si="16"/>
        <v/>
      </c>
      <c r="J332" s="228" t="str">
        <f t="shared" si="17"/>
        <v/>
      </c>
    </row>
    <row r="333" spans="1:11">
      <c r="A333" s="227" t="s">
        <v>432</v>
      </c>
      <c r="B333" s="197" t="s">
        <v>492</v>
      </c>
      <c r="C333" s="198">
        <v>63.447088000000001</v>
      </c>
      <c r="D333" s="198">
        <v>114.0391508667</v>
      </c>
      <c r="E333" s="198">
        <v>63.447088000000001</v>
      </c>
      <c r="F333" s="198">
        <v>70.425872656000195</v>
      </c>
      <c r="G333" s="198">
        <v>64.364342968573325</v>
      </c>
      <c r="H333" s="198">
        <f t="shared" si="15"/>
        <v>64.364342968573325</v>
      </c>
      <c r="I333" s="228" t="str">
        <f t="shared" si="16"/>
        <v/>
      </c>
      <c r="J333" s="228" t="str">
        <f t="shared" si="17"/>
        <v/>
      </c>
    </row>
    <row r="334" spans="1:11">
      <c r="A334" s="227" t="s">
        <v>432</v>
      </c>
      <c r="B334" s="197" t="s">
        <v>493</v>
      </c>
      <c r="C334" s="198">
        <v>76.459655999999995</v>
      </c>
      <c r="D334" s="198">
        <v>114.0391508667</v>
      </c>
      <c r="E334" s="198">
        <v>76.459655999999995</v>
      </c>
      <c r="F334" s="198">
        <v>74.987692204000325</v>
      </c>
      <c r="G334" s="198">
        <v>64.364342968573325</v>
      </c>
      <c r="H334" s="198">
        <f t="shared" si="15"/>
        <v>64.364342968573325</v>
      </c>
      <c r="I334" s="228" t="str">
        <f t="shared" si="16"/>
        <v/>
      </c>
      <c r="J334" s="228" t="str">
        <f t="shared" si="17"/>
        <v/>
      </c>
    </row>
    <row r="335" spans="1:11">
      <c r="A335" s="227" t="s">
        <v>432</v>
      </c>
      <c r="B335" s="197" t="s">
        <v>494</v>
      </c>
      <c r="C335" s="198">
        <v>-546.89269999999999</v>
      </c>
      <c r="D335" s="198">
        <v>114.0391508667</v>
      </c>
      <c r="E335" s="198">
        <v>-546.89269999999999</v>
      </c>
      <c r="F335" s="198">
        <v>83.4291574979991</v>
      </c>
      <c r="G335" s="198">
        <v>64.364342968573325</v>
      </c>
      <c r="H335" s="198">
        <f t="shared" si="15"/>
        <v>64.364342968573325</v>
      </c>
      <c r="I335" s="228" t="str">
        <f t="shared" si="16"/>
        <v/>
      </c>
      <c r="J335" s="228" t="str">
        <f t="shared" si="17"/>
        <v/>
      </c>
    </row>
    <row r="336" spans="1:11">
      <c r="A336" s="227" t="s">
        <v>432</v>
      </c>
      <c r="B336" s="197" t="s">
        <v>495</v>
      </c>
      <c r="C336" s="198">
        <v>709.315021</v>
      </c>
      <c r="D336" s="198">
        <v>114.0391508667</v>
      </c>
      <c r="E336" s="198">
        <v>114.0391508667</v>
      </c>
      <c r="F336" s="198">
        <v>93.082309259999334</v>
      </c>
      <c r="G336" s="198">
        <v>64.364342968573325</v>
      </c>
      <c r="H336" s="198">
        <f t="shared" si="15"/>
        <v>64.364342968573325</v>
      </c>
      <c r="I336" s="228" t="str">
        <f t="shared" si="16"/>
        <v/>
      </c>
      <c r="J336" s="228" t="str">
        <f t="shared" si="17"/>
        <v/>
      </c>
    </row>
    <row r="337" spans="1:11">
      <c r="A337" s="227" t="s">
        <v>433</v>
      </c>
      <c r="B337" s="197" t="s">
        <v>496</v>
      </c>
      <c r="C337" s="198">
        <v>81.637479999999996</v>
      </c>
      <c r="D337" s="198">
        <v>63.228757096800003</v>
      </c>
      <c r="E337" s="198">
        <v>63.228757096800003</v>
      </c>
      <c r="F337" s="198">
        <v>90.131773070001231</v>
      </c>
      <c r="G337" s="198">
        <v>28.016997662909688</v>
      </c>
      <c r="H337" s="198">
        <f t="shared" si="15"/>
        <v>28.016997662909688</v>
      </c>
      <c r="I337" s="228">
        <f t="shared" si="16"/>
        <v>600</v>
      </c>
      <c r="J337" s="228" t="str">
        <f t="shared" si="17"/>
        <v/>
      </c>
    </row>
    <row r="338" spans="1:11">
      <c r="A338" s="227" t="s">
        <v>433</v>
      </c>
      <c r="B338" s="197" t="s">
        <v>497</v>
      </c>
      <c r="C338" s="198">
        <v>84.857595000000003</v>
      </c>
      <c r="D338" s="198">
        <v>63.228757096800003</v>
      </c>
      <c r="E338" s="198">
        <v>63.228757096800003</v>
      </c>
      <c r="F338" s="198">
        <v>94.760768355998906</v>
      </c>
      <c r="G338" s="198">
        <v>28.016997662909688</v>
      </c>
      <c r="H338" s="198">
        <f t="shared" si="15"/>
        <v>28.016997662909688</v>
      </c>
      <c r="I338" s="228" t="str">
        <f t="shared" si="16"/>
        <v/>
      </c>
      <c r="J338" s="228" t="str">
        <f t="shared" si="17"/>
        <v/>
      </c>
    </row>
    <row r="339" spans="1:11">
      <c r="A339" s="227" t="s">
        <v>433</v>
      </c>
      <c r="B339" s="197" t="s">
        <v>498</v>
      </c>
      <c r="C339" s="198">
        <v>76.260520999999997</v>
      </c>
      <c r="D339" s="198">
        <v>63.228757096800003</v>
      </c>
      <c r="E339" s="198">
        <v>63.228757096800003</v>
      </c>
      <c r="F339" s="198">
        <v>93.842297732000432</v>
      </c>
      <c r="G339" s="198">
        <v>28.016997662909688</v>
      </c>
      <c r="H339" s="198">
        <f t="shared" si="15"/>
        <v>28.016997662909688</v>
      </c>
      <c r="I339" s="228" t="str">
        <f t="shared" si="16"/>
        <v/>
      </c>
      <c r="J339" s="228" t="str">
        <f t="shared" si="17"/>
        <v/>
      </c>
    </row>
    <row r="340" spans="1:11">
      <c r="A340" s="227" t="s">
        <v>433</v>
      </c>
      <c r="B340" s="197" t="s">
        <v>499</v>
      </c>
      <c r="C340" s="198">
        <v>84.509756999999993</v>
      </c>
      <c r="D340" s="198">
        <v>63.228757096800003</v>
      </c>
      <c r="E340" s="198">
        <v>63.228757096800003</v>
      </c>
      <c r="F340" s="198">
        <v>94.149952398000096</v>
      </c>
      <c r="G340" s="198">
        <v>28.016997662909688</v>
      </c>
      <c r="H340" s="198">
        <f t="shared" si="15"/>
        <v>28.016997662909688</v>
      </c>
      <c r="I340" s="228" t="str">
        <f t="shared" si="16"/>
        <v/>
      </c>
      <c r="J340" s="228" t="str">
        <f t="shared" si="17"/>
        <v/>
      </c>
    </row>
    <row r="341" spans="1:11">
      <c r="A341" s="227" t="s">
        <v>433</v>
      </c>
      <c r="B341" s="197" t="s">
        <v>500</v>
      </c>
      <c r="C341" s="198">
        <v>73.315907999999993</v>
      </c>
      <c r="D341" s="198">
        <v>63.228757096800003</v>
      </c>
      <c r="E341" s="198">
        <v>63.228757096800003</v>
      </c>
      <c r="F341" s="198">
        <v>77.296368566000467</v>
      </c>
      <c r="G341" s="198">
        <v>28.016997662909688</v>
      </c>
      <c r="H341" s="198">
        <f t="shared" si="15"/>
        <v>28.016997662909688</v>
      </c>
      <c r="I341" s="228" t="str">
        <f t="shared" si="16"/>
        <v/>
      </c>
      <c r="J341" s="228" t="str">
        <f t="shared" si="17"/>
        <v/>
      </c>
    </row>
    <row r="342" spans="1:11">
      <c r="A342" s="227" t="s">
        <v>433</v>
      </c>
      <c r="B342" s="197" t="s">
        <v>501</v>
      </c>
      <c r="C342" s="198">
        <v>-549.15301199999999</v>
      </c>
      <c r="D342" s="198">
        <v>63.228757096800003</v>
      </c>
      <c r="E342" s="198">
        <v>-549.15301199999999</v>
      </c>
      <c r="F342" s="198">
        <v>92.875753238000357</v>
      </c>
      <c r="G342" s="198">
        <v>28.016997662909688</v>
      </c>
      <c r="H342" s="198">
        <f t="shared" si="15"/>
        <v>28.016997662909688</v>
      </c>
      <c r="I342" s="228" t="str">
        <f t="shared" si="16"/>
        <v/>
      </c>
      <c r="J342" s="228" t="str">
        <f t="shared" si="17"/>
        <v/>
      </c>
    </row>
    <row r="343" spans="1:11">
      <c r="A343" s="227" t="s">
        <v>433</v>
      </c>
      <c r="B343" s="197" t="s">
        <v>502</v>
      </c>
      <c r="C343" s="198">
        <v>688.32136000000003</v>
      </c>
      <c r="D343" s="198">
        <v>63.228757096800003</v>
      </c>
      <c r="E343" s="198">
        <v>63.228757096800003</v>
      </c>
      <c r="F343" s="198">
        <v>64.261216319999875</v>
      </c>
      <c r="G343" s="198">
        <v>28.016997662909688</v>
      </c>
      <c r="H343" s="198">
        <f t="shared" si="15"/>
        <v>28.016997662909688</v>
      </c>
      <c r="I343" s="228" t="str">
        <f t="shared" si="16"/>
        <v/>
      </c>
      <c r="J343" s="228" t="str">
        <f t="shared" si="17"/>
        <v/>
      </c>
    </row>
    <row r="344" spans="1:11">
      <c r="A344" s="227" t="s">
        <v>433</v>
      </c>
      <c r="B344" s="197" t="s">
        <v>503</v>
      </c>
      <c r="C344" s="198">
        <v>66.403122999999994</v>
      </c>
      <c r="D344" s="198">
        <v>63.228757096800003</v>
      </c>
      <c r="E344" s="198">
        <v>63.228757096800003</v>
      </c>
      <c r="F344" s="198">
        <v>24.716353867999551</v>
      </c>
      <c r="G344" s="198">
        <v>28.016997662909688</v>
      </c>
      <c r="H344" s="198">
        <f t="shared" si="15"/>
        <v>24.716353867999551</v>
      </c>
      <c r="I344" s="228" t="str">
        <f t="shared" si="16"/>
        <v/>
      </c>
      <c r="J344" s="228" t="str">
        <f t="shared" si="17"/>
        <v/>
      </c>
    </row>
    <row r="345" spans="1:11">
      <c r="A345" s="227" t="s">
        <v>433</v>
      </c>
      <c r="B345" s="197" t="s">
        <v>504</v>
      </c>
      <c r="C345" s="198">
        <v>77.028997000000004</v>
      </c>
      <c r="D345" s="198">
        <v>63.228757096800003</v>
      </c>
      <c r="E345" s="198">
        <v>63.228757096800003</v>
      </c>
      <c r="F345" s="198">
        <v>46.4146000300004</v>
      </c>
      <c r="G345" s="198">
        <v>28.016997662909688</v>
      </c>
      <c r="H345" s="198">
        <f t="shared" si="15"/>
        <v>28.016997662909688</v>
      </c>
      <c r="I345" s="228" t="str">
        <f t="shared" si="16"/>
        <v/>
      </c>
      <c r="J345" s="228" t="str">
        <f t="shared" si="17"/>
        <v/>
      </c>
    </row>
    <row r="346" spans="1:11">
      <c r="A346" s="227" t="s">
        <v>433</v>
      </c>
      <c r="B346" s="197" t="s">
        <v>505</v>
      </c>
      <c r="C346" s="198">
        <v>68.640111000000005</v>
      </c>
      <c r="D346" s="198">
        <v>63.228757096800003</v>
      </c>
      <c r="E346" s="198">
        <v>63.228757096800003</v>
      </c>
      <c r="F346" s="198">
        <v>45.172857876000215</v>
      </c>
      <c r="G346" s="198">
        <v>28.016997662909688</v>
      </c>
      <c r="H346" s="198">
        <f t="shared" si="15"/>
        <v>28.016997662909688</v>
      </c>
      <c r="I346" s="228" t="str">
        <f t="shared" si="16"/>
        <v/>
      </c>
      <c r="J346" s="228" t="str">
        <f t="shared" si="17"/>
        <v/>
      </c>
    </row>
    <row r="347" spans="1:11">
      <c r="A347" s="227" t="s">
        <v>433</v>
      </c>
      <c r="B347" s="197" t="s">
        <v>506</v>
      </c>
      <c r="C347" s="198">
        <v>92.008650000000003</v>
      </c>
      <c r="D347" s="198">
        <v>63.228757096800003</v>
      </c>
      <c r="E347" s="198">
        <v>63.228757096800003</v>
      </c>
      <c r="F347" s="198">
        <v>30.994069144000303</v>
      </c>
      <c r="G347" s="198">
        <v>28.016997662909688</v>
      </c>
      <c r="H347" s="198">
        <f t="shared" si="15"/>
        <v>28.016997662909688</v>
      </c>
      <c r="I347" s="228" t="str">
        <f t="shared" si="16"/>
        <v/>
      </c>
      <c r="J347" s="228" t="str">
        <f t="shared" si="17"/>
        <v/>
      </c>
    </row>
    <row r="348" spans="1:11">
      <c r="A348" s="227" t="s">
        <v>433</v>
      </c>
      <c r="B348" s="197" t="s">
        <v>507</v>
      </c>
      <c r="C348" s="198">
        <v>35.534782</v>
      </c>
      <c r="D348" s="198">
        <v>63.228757096800003</v>
      </c>
      <c r="E348" s="198">
        <v>35.534782</v>
      </c>
      <c r="F348" s="198">
        <v>40.737201909999783</v>
      </c>
      <c r="G348" s="198">
        <v>28.016997662909688</v>
      </c>
      <c r="H348" s="198">
        <f t="shared" si="15"/>
        <v>28.016997662909688</v>
      </c>
      <c r="I348" s="228" t="str">
        <f t="shared" si="16"/>
        <v/>
      </c>
      <c r="J348" s="228" t="str">
        <f t="shared" si="17"/>
        <v/>
      </c>
    </row>
    <row r="349" spans="1:11">
      <c r="A349" s="227" t="s">
        <v>433</v>
      </c>
      <c r="B349" s="197" t="s">
        <v>508</v>
      </c>
      <c r="C349" s="198">
        <v>-542.78590799999995</v>
      </c>
      <c r="D349" s="198">
        <v>63.228757096800003</v>
      </c>
      <c r="E349" s="198">
        <v>-542.78590799999995</v>
      </c>
      <c r="F349" s="198">
        <v>37.329789595998761</v>
      </c>
      <c r="G349" s="198">
        <v>28.016997662909688</v>
      </c>
      <c r="H349" s="198">
        <f t="shared" si="15"/>
        <v>28.016997662909688</v>
      </c>
      <c r="I349" s="228" t="str">
        <f t="shared" si="16"/>
        <v/>
      </c>
      <c r="J349" s="228" t="str">
        <f t="shared" si="17"/>
        <v/>
      </c>
    </row>
    <row r="350" spans="1:11">
      <c r="A350" s="227" t="s">
        <v>433</v>
      </c>
      <c r="B350" s="197" t="s">
        <v>509</v>
      </c>
      <c r="C350" s="198">
        <v>663.61169199999995</v>
      </c>
      <c r="D350" s="198">
        <v>63.228757096800003</v>
      </c>
      <c r="E350" s="198">
        <v>63.228757096800003</v>
      </c>
      <c r="F350" s="198">
        <v>22.772419530000583</v>
      </c>
      <c r="G350" s="198">
        <v>28.016997662909688</v>
      </c>
      <c r="H350" s="198">
        <f t="shared" si="15"/>
        <v>22.772419530000583</v>
      </c>
      <c r="I350" s="228" t="str">
        <f t="shared" si="16"/>
        <v/>
      </c>
      <c r="J350" s="228" t="str">
        <f t="shared" si="17"/>
        <v/>
      </c>
    </row>
    <row r="351" spans="1:11">
      <c r="A351" s="227" t="s">
        <v>433</v>
      </c>
      <c r="B351" s="197" t="s">
        <v>510</v>
      </c>
      <c r="C351" s="198">
        <v>51.819009999999999</v>
      </c>
      <c r="D351" s="198">
        <v>63.228757096800003</v>
      </c>
      <c r="E351" s="198">
        <v>51.819009999999999</v>
      </c>
      <c r="F351" s="198">
        <v>6.2785188000008487</v>
      </c>
      <c r="G351" s="198">
        <v>28.016997662909688</v>
      </c>
      <c r="H351" s="198">
        <f t="shared" si="15"/>
        <v>6.2785188000008487</v>
      </c>
      <c r="I351" s="228" t="str">
        <f t="shared" si="16"/>
        <v/>
      </c>
      <c r="J351" s="228" t="str">
        <f t="shared" si="17"/>
        <v>J</v>
      </c>
      <c r="K351" s="229">
        <f>IF(DAY(B351)=15,G351,"")</f>
        <v>28.016997662909688</v>
      </c>
    </row>
    <row r="352" spans="1:11">
      <c r="A352" s="227" t="s">
        <v>433</v>
      </c>
      <c r="B352" s="197" t="s">
        <v>511</v>
      </c>
      <c r="C352" s="198">
        <v>67.598015000000004</v>
      </c>
      <c r="D352" s="198">
        <v>63.228757096800003</v>
      </c>
      <c r="E352" s="198">
        <v>63.228757096800003</v>
      </c>
      <c r="F352" s="198">
        <v>5.4556000679984056</v>
      </c>
      <c r="G352" s="198">
        <v>28.016997662909688</v>
      </c>
      <c r="H352" s="198">
        <f t="shared" si="15"/>
        <v>5.4556000679984056</v>
      </c>
      <c r="I352" s="228" t="str">
        <f t="shared" si="16"/>
        <v/>
      </c>
      <c r="J352" s="228" t="str">
        <f t="shared" si="17"/>
        <v/>
      </c>
    </row>
    <row r="353" spans="1:10">
      <c r="A353" s="227" t="s">
        <v>433</v>
      </c>
      <c r="B353" s="197" t="s">
        <v>512</v>
      </c>
      <c r="C353" s="198">
        <v>73.698853999999997</v>
      </c>
      <c r="D353" s="198">
        <v>63.228757096800003</v>
      </c>
      <c r="E353" s="198">
        <v>63.228757096800003</v>
      </c>
      <c r="F353" s="198">
        <v>3.9724412060000476</v>
      </c>
      <c r="G353" s="198">
        <v>28.016997662909688</v>
      </c>
      <c r="H353" s="198">
        <f t="shared" si="15"/>
        <v>3.9724412060000476</v>
      </c>
      <c r="I353" s="228" t="str">
        <f t="shared" si="16"/>
        <v/>
      </c>
      <c r="J353" s="228" t="str">
        <f t="shared" si="17"/>
        <v/>
      </c>
    </row>
    <row r="354" spans="1:10">
      <c r="A354" s="227" t="s">
        <v>433</v>
      </c>
      <c r="B354" s="197" t="s">
        <v>513</v>
      </c>
      <c r="C354" s="198">
        <v>59.818655</v>
      </c>
      <c r="D354" s="198">
        <v>63.228757096800003</v>
      </c>
      <c r="E354" s="198">
        <v>59.818655</v>
      </c>
      <c r="F354" s="198">
        <v>3.7361233500001108</v>
      </c>
      <c r="G354" s="198">
        <v>28.016997662909688</v>
      </c>
      <c r="H354" s="198">
        <f t="shared" si="15"/>
        <v>3.7361233500001108</v>
      </c>
      <c r="I354" s="228" t="str">
        <f t="shared" si="16"/>
        <v/>
      </c>
      <c r="J354" s="228" t="str">
        <f t="shared" si="17"/>
        <v/>
      </c>
    </row>
    <row r="355" spans="1:10">
      <c r="A355" s="227" t="s">
        <v>433</v>
      </c>
      <c r="B355" s="197" t="s">
        <v>514</v>
      </c>
      <c r="C355" s="198">
        <v>64.220284000000007</v>
      </c>
      <c r="D355" s="198">
        <v>63.228757096800003</v>
      </c>
      <c r="E355" s="198">
        <v>63.228757096800003</v>
      </c>
      <c r="F355" s="198">
        <v>4.6322311500002078</v>
      </c>
      <c r="G355" s="198">
        <v>28.016997662909688</v>
      </c>
      <c r="H355" s="198">
        <f t="shared" si="15"/>
        <v>4.6322311500002078</v>
      </c>
      <c r="I355" s="228" t="str">
        <f t="shared" si="16"/>
        <v/>
      </c>
      <c r="J355" s="228" t="str">
        <f t="shared" si="17"/>
        <v/>
      </c>
    </row>
    <row r="356" spans="1:10">
      <c r="A356" s="227" t="s">
        <v>433</v>
      </c>
      <c r="B356" s="197" t="s">
        <v>515</v>
      </c>
      <c r="C356" s="198">
        <v>-547.255809</v>
      </c>
      <c r="D356" s="198">
        <v>63.228757096800003</v>
      </c>
      <c r="E356" s="198">
        <v>-547.255809</v>
      </c>
      <c r="F356" s="198">
        <v>3.2982522739994731</v>
      </c>
      <c r="G356" s="198">
        <v>28.016997662909688</v>
      </c>
      <c r="H356" s="198">
        <f t="shared" si="15"/>
        <v>3.2982522739994731</v>
      </c>
      <c r="I356" s="228" t="str">
        <f t="shared" si="16"/>
        <v/>
      </c>
      <c r="J356" s="228" t="str">
        <f t="shared" si="17"/>
        <v/>
      </c>
    </row>
    <row r="357" spans="1:10">
      <c r="A357" s="227" t="s">
        <v>433</v>
      </c>
      <c r="B357" s="197" t="s">
        <v>516</v>
      </c>
      <c r="C357" s="198">
        <v>657.72660299999995</v>
      </c>
      <c r="D357" s="198">
        <v>63.228757096800003</v>
      </c>
      <c r="E357" s="198">
        <v>63.228757096800003</v>
      </c>
      <c r="F357" s="198">
        <v>2.2836742700016854</v>
      </c>
      <c r="G357" s="198">
        <v>28.016997662909688</v>
      </c>
      <c r="H357" s="198">
        <f t="shared" si="15"/>
        <v>2.2836742700016854</v>
      </c>
      <c r="I357" s="228" t="str">
        <f t="shared" si="16"/>
        <v/>
      </c>
      <c r="J357" s="228" t="str">
        <f t="shared" si="17"/>
        <v/>
      </c>
    </row>
    <row r="358" spans="1:10">
      <c r="A358" s="227" t="s">
        <v>433</v>
      </c>
      <c r="B358" s="197" t="s">
        <v>517</v>
      </c>
      <c r="C358" s="198">
        <v>65.125000999999997</v>
      </c>
      <c r="D358" s="198">
        <v>63.228757096800003</v>
      </c>
      <c r="E358" s="198">
        <v>63.228757096800003</v>
      </c>
      <c r="F358" s="198">
        <v>7.3464206419999352</v>
      </c>
      <c r="G358" s="198">
        <v>28.016997662909688</v>
      </c>
      <c r="H358" s="198">
        <f t="shared" si="15"/>
        <v>7.3464206419999352</v>
      </c>
      <c r="I358" s="228" t="str">
        <f t="shared" si="16"/>
        <v/>
      </c>
      <c r="J358" s="228" t="str">
        <f t="shared" si="17"/>
        <v/>
      </c>
    </row>
    <row r="359" spans="1:10">
      <c r="A359" s="227" t="s">
        <v>433</v>
      </c>
      <c r="B359" s="197" t="s">
        <v>518</v>
      </c>
      <c r="C359" s="198">
        <v>55.979446000000003</v>
      </c>
      <c r="D359" s="198">
        <v>63.228757096800003</v>
      </c>
      <c r="E359" s="198">
        <v>55.979446000000003</v>
      </c>
      <c r="F359" s="198">
        <v>70.860600533999857</v>
      </c>
      <c r="G359" s="198">
        <v>28.016997662909688</v>
      </c>
      <c r="H359" s="198">
        <f t="shared" si="15"/>
        <v>28.016997662909688</v>
      </c>
      <c r="I359" s="228" t="str">
        <f t="shared" si="16"/>
        <v/>
      </c>
      <c r="J359" s="228" t="str">
        <f t="shared" si="17"/>
        <v/>
      </c>
    </row>
    <row r="360" spans="1:10">
      <c r="A360" s="227" t="s">
        <v>433</v>
      </c>
      <c r="B360" s="197" t="s">
        <v>519</v>
      </c>
      <c r="C360" s="198">
        <v>50.133496000000001</v>
      </c>
      <c r="D360" s="198">
        <v>63.228757096800003</v>
      </c>
      <c r="E360" s="198">
        <v>50.133496000000001</v>
      </c>
      <c r="F360" s="198">
        <v>63.719056888000239</v>
      </c>
      <c r="G360" s="198">
        <v>28.016997662909688</v>
      </c>
      <c r="H360" s="198">
        <f t="shared" si="15"/>
        <v>28.016997662909688</v>
      </c>
      <c r="I360" s="228" t="str">
        <f t="shared" si="16"/>
        <v/>
      </c>
      <c r="J360" s="228" t="str">
        <f t="shared" si="17"/>
        <v/>
      </c>
    </row>
    <row r="361" spans="1:10">
      <c r="A361" s="227" t="s">
        <v>433</v>
      </c>
      <c r="B361" s="197" t="s">
        <v>520</v>
      </c>
      <c r="C361" s="198">
        <v>73.409293000000005</v>
      </c>
      <c r="D361" s="198">
        <v>63.228757096800003</v>
      </c>
      <c r="E361" s="198">
        <v>63.228757096800003</v>
      </c>
      <c r="F361" s="198">
        <v>57.271601689998739</v>
      </c>
      <c r="G361" s="198">
        <v>28.016997662909688</v>
      </c>
      <c r="H361" s="198">
        <f t="shared" si="15"/>
        <v>28.016997662909688</v>
      </c>
      <c r="I361" s="228" t="str">
        <f t="shared" si="16"/>
        <v/>
      </c>
      <c r="J361" s="228" t="str">
        <f t="shared" si="17"/>
        <v/>
      </c>
    </row>
    <row r="362" spans="1:10">
      <c r="A362" s="227" t="s">
        <v>433</v>
      </c>
      <c r="B362" s="197" t="s">
        <v>521</v>
      </c>
      <c r="C362" s="198">
        <v>53.089903</v>
      </c>
      <c r="D362" s="198">
        <v>63.228757096800003</v>
      </c>
      <c r="E362" s="198">
        <v>53.089903</v>
      </c>
      <c r="F362" s="198">
        <v>55.740360548000467</v>
      </c>
      <c r="G362" s="198">
        <v>28.016997662909688</v>
      </c>
      <c r="H362" s="198">
        <f t="shared" si="15"/>
        <v>28.016997662909688</v>
      </c>
      <c r="I362" s="228" t="str">
        <f t="shared" si="16"/>
        <v/>
      </c>
      <c r="J362" s="228" t="str">
        <f t="shared" si="17"/>
        <v/>
      </c>
    </row>
    <row r="363" spans="1:10">
      <c r="A363" s="227" t="s">
        <v>433</v>
      </c>
      <c r="B363" s="197" t="s">
        <v>522</v>
      </c>
      <c r="C363" s="198">
        <v>-539.22947399999998</v>
      </c>
      <c r="D363" s="198">
        <v>63.228757096800003</v>
      </c>
      <c r="E363" s="198">
        <v>-539.22947399999998</v>
      </c>
      <c r="F363" s="198">
        <v>55.486583313999169</v>
      </c>
      <c r="G363" s="198">
        <v>28.016997662909688</v>
      </c>
      <c r="H363" s="198">
        <f t="shared" si="15"/>
        <v>28.016997662909688</v>
      </c>
      <c r="I363" s="228" t="str">
        <f t="shared" si="16"/>
        <v/>
      </c>
      <c r="J363" s="228" t="str">
        <f t="shared" si="17"/>
        <v/>
      </c>
    </row>
    <row r="364" spans="1:10">
      <c r="A364" s="227" t="s">
        <v>433</v>
      </c>
      <c r="B364" s="197" t="s">
        <v>523</v>
      </c>
      <c r="C364" s="198">
        <v>44.756512000000001</v>
      </c>
      <c r="D364" s="198">
        <v>63.228757096800003</v>
      </c>
      <c r="E364" s="198">
        <v>44.756512000000001</v>
      </c>
      <c r="F364" s="198">
        <v>49.132368298001701</v>
      </c>
      <c r="G364" s="198">
        <v>28.016997662909688</v>
      </c>
      <c r="H364" s="198">
        <f t="shared" si="15"/>
        <v>28.016997662909688</v>
      </c>
      <c r="I364" s="228" t="str">
        <f t="shared" si="16"/>
        <v/>
      </c>
      <c r="J364" s="228" t="str">
        <f t="shared" si="17"/>
        <v/>
      </c>
    </row>
    <row r="365" spans="1:10">
      <c r="A365" s="227" t="s">
        <v>433</v>
      </c>
      <c r="B365" s="197" t="s">
        <v>524</v>
      </c>
      <c r="C365" s="198">
        <v>628.86015499999996</v>
      </c>
      <c r="D365" s="198">
        <v>63.228757096800003</v>
      </c>
      <c r="E365" s="198">
        <v>63.228757096800003</v>
      </c>
      <c r="F365" s="198">
        <v>44.772447007999233</v>
      </c>
      <c r="G365" s="198">
        <v>28.016997662909688</v>
      </c>
      <c r="H365" s="198">
        <f t="shared" si="15"/>
        <v>28.016997662909688</v>
      </c>
      <c r="I365" s="228" t="str">
        <f t="shared" si="16"/>
        <v/>
      </c>
      <c r="J365" s="228" t="str">
        <f t="shared" si="17"/>
        <v/>
      </c>
    </row>
    <row r="366" spans="1:10">
      <c r="A366" s="227" t="s">
        <v>433</v>
      </c>
      <c r="B366" s="197" t="s">
        <v>525</v>
      </c>
      <c r="C366" s="198">
        <v>53.645667000000003</v>
      </c>
      <c r="D366" s="198">
        <v>63.228757096800003</v>
      </c>
      <c r="E366" s="198">
        <v>53.645667000000003</v>
      </c>
      <c r="F366" s="198">
        <v>52.703040232000383</v>
      </c>
      <c r="G366" s="198">
        <v>28.016997662909688</v>
      </c>
      <c r="H366" s="198">
        <f t="shared" si="15"/>
        <v>28.016997662909688</v>
      </c>
      <c r="I366" s="228" t="str">
        <f t="shared" si="16"/>
        <v/>
      </c>
      <c r="J366" s="228" t="str">
        <f t="shared" si="17"/>
        <v/>
      </c>
    </row>
    <row r="367" spans="1:10">
      <c r="A367" s="227" t="s">
        <v>433</v>
      </c>
      <c r="B367" s="197" t="s">
        <v>526</v>
      </c>
      <c r="C367" s="198">
        <v>46.504803000000003</v>
      </c>
      <c r="D367" s="198">
        <v>63.228757096800003</v>
      </c>
      <c r="E367" s="198">
        <v>46.504803000000003</v>
      </c>
      <c r="F367" s="198">
        <v>42.960769079999324</v>
      </c>
      <c r="G367" s="198">
        <v>28.016997662909688</v>
      </c>
      <c r="H367" s="198">
        <f t="shared" si="15"/>
        <v>28.016997662909688</v>
      </c>
      <c r="I367" s="228" t="str">
        <f t="shared" si="16"/>
        <v/>
      </c>
      <c r="J367" s="228" t="str">
        <f t="shared" si="17"/>
        <v/>
      </c>
    </row>
    <row r="368" spans="1:10">
      <c r="A368" s="227" t="s">
        <v>434</v>
      </c>
      <c r="B368" s="197" t="s">
        <v>527</v>
      </c>
      <c r="C368" s="198">
        <v>39.048305999999997</v>
      </c>
      <c r="D368" s="198">
        <v>22.006616645200001</v>
      </c>
      <c r="E368" s="198">
        <v>22.006616645200001</v>
      </c>
      <c r="F368" s="198">
        <v>25.035018199496371</v>
      </c>
      <c r="G368" s="198">
        <v>16.99706947525484</v>
      </c>
      <c r="H368" s="198">
        <f t="shared" si="15"/>
        <v>16.99706947525484</v>
      </c>
      <c r="I368" s="228">
        <f t="shared" si="16"/>
        <v>600</v>
      </c>
      <c r="J368" s="228" t="str">
        <f t="shared" si="17"/>
        <v/>
      </c>
    </row>
    <row r="369" spans="1:11">
      <c r="A369" s="227" t="s">
        <v>434</v>
      </c>
      <c r="B369" s="197" t="s">
        <v>528</v>
      </c>
      <c r="C369" s="198">
        <v>59.651015000000001</v>
      </c>
      <c r="D369" s="198">
        <v>22.006616645200001</v>
      </c>
      <c r="E369" s="198">
        <v>22.006616645200001</v>
      </c>
      <c r="F369" s="198">
        <v>35.968318199496366</v>
      </c>
      <c r="G369" s="198">
        <v>16.99706947525484</v>
      </c>
      <c r="H369" s="198">
        <f t="shared" si="15"/>
        <v>16.99706947525484</v>
      </c>
      <c r="I369" s="228" t="str">
        <f t="shared" si="16"/>
        <v/>
      </c>
      <c r="J369" s="228" t="str">
        <f t="shared" si="17"/>
        <v/>
      </c>
    </row>
    <row r="370" spans="1:11">
      <c r="A370" s="227" t="s">
        <v>434</v>
      </c>
      <c r="B370" s="197" t="s">
        <v>529</v>
      </c>
      <c r="C370" s="198">
        <v>-528.20908199999997</v>
      </c>
      <c r="D370" s="198">
        <v>22.006616645200001</v>
      </c>
      <c r="E370" s="198">
        <v>-528.20908199999997</v>
      </c>
      <c r="F370" s="198">
        <v>52.828618199496368</v>
      </c>
      <c r="G370" s="198">
        <v>16.99706947525484</v>
      </c>
      <c r="H370" s="198">
        <f t="shared" si="15"/>
        <v>16.99706947525484</v>
      </c>
      <c r="I370" s="228" t="str">
        <f t="shared" si="16"/>
        <v/>
      </c>
      <c r="J370" s="228" t="str">
        <f t="shared" si="17"/>
        <v/>
      </c>
    </row>
    <row r="371" spans="1:11">
      <c r="A371" s="227" t="s">
        <v>434</v>
      </c>
      <c r="B371" s="197" t="s">
        <v>530</v>
      </c>
      <c r="C371" s="198">
        <v>630.64167599999996</v>
      </c>
      <c r="D371" s="198">
        <v>22.006616645200001</v>
      </c>
      <c r="E371" s="198">
        <v>22.006616645200001</v>
      </c>
      <c r="F371" s="198">
        <v>27.271118199496371</v>
      </c>
      <c r="G371" s="198">
        <v>16.99706947525484</v>
      </c>
      <c r="H371" s="198">
        <f t="shared" si="15"/>
        <v>16.99706947525484</v>
      </c>
      <c r="I371" s="228" t="str">
        <f t="shared" si="16"/>
        <v/>
      </c>
      <c r="J371" s="228" t="str">
        <f t="shared" si="17"/>
        <v/>
      </c>
    </row>
    <row r="372" spans="1:11">
      <c r="A372" s="227" t="s">
        <v>434</v>
      </c>
      <c r="B372" s="197" t="s">
        <v>531</v>
      </c>
      <c r="C372" s="198">
        <v>19.093941000000001</v>
      </c>
      <c r="D372" s="198">
        <v>22.006616645200001</v>
      </c>
      <c r="E372" s="198">
        <v>19.093941000000001</v>
      </c>
      <c r="F372" s="198">
        <v>17.687418199496367</v>
      </c>
      <c r="G372" s="198">
        <v>16.99706947525484</v>
      </c>
      <c r="H372" s="198">
        <f t="shared" si="15"/>
        <v>16.99706947525484</v>
      </c>
      <c r="I372" s="228" t="str">
        <f t="shared" si="16"/>
        <v/>
      </c>
      <c r="J372" s="228" t="str">
        <f t="shared" si="17"/>
        <v/>
      </c>
    </row>
    <row r="373" spans="1:11">
      <c r="A373" s="227" t="s">
        <v>434</v>
      </c>
      <c r="B373" s="197" t="s">
        <v>532</v>
      </c>
      <c r="C373" s="198">
        <v>47.055675000000001</v>
      </c>
      <c r="D373" s="198">
        <v>22.006616645200001</v>
      </c>
      <c r="E373" s="198">
        <v>22.006616645200001</v>
      </c>
      <c r="F373" s="198">
        <v>32.036118199496372</v>
      </c>
      <c r="G373" s="198">
        <v>16.99706947525484</v>
      </c>
      <c r="H373" s="198">
        <f t="shared" si="15"/>
        <v>16.99706947525484</v>
      </c>
      <c r="I373" s="228" t="str">
        <f t="shared" si="16"/>
        <v/>
      </c>
      <c r="J373" s="228" t="str">
        <f t="shared" si="17"/>
        <v/>
      </c>
    </row>
    <row r="374" spans="1:11">
      <c r="A374" s="227" t="s">
        <v>434</v>
      </c>
      <c r="B374" s="197" t="s">
        <v>533</v>
      </c>
      <c r="C374" s="198">
        <v>43.862059000000002</v>
      </c>
      <c r="D374" s="198">
        <v>22.006616645200001</v>
      </c>
      <c r="E374" s="198">
        <v>22.006616645200001</v>
      </c>
      <c r="F374" s="198">
        <v>22.094218199496368</v>
      </c>
      <c r="G374" s="198">
        <v>16.99706947525484</v>
      </c>
      <c r="H374" s="198">
        <f t="shared" si="15"/>
        <v>16.99706947525484</v>
      </c>
      <c r="I374" s="228" t="str">
        <f t="shared" si="16"/>
        <v/>
      </c>
      <c r="J374" s="228" t="str">
        <f t="shared" si="17"/>
        <v/>
      </c>
    </row>
    <row r="375" spans="1:11">
      <c r="A375" s="227" t="s">
        <v>434</v>
      </c>
      <c r="B375" s="197" t="s">
        <v>534</v>
      </c>
      <c r="C375" s="198">
        <v>48.881155999999997</v>
      </c>
      <c r="D375" s="198">
        <v>22.006616645200001</v>
      </c>
      <c r="E375" s="198">
        <v>22.006616645200001</v>
      </c>
      <c r="F375" s="198">
        <v>24.628302061187942</v>
      </c>
      <c r="G375" s="198">
        <v>16.99706947525484</v>
      </c>
      <c r="H375" s="198">
        <f t="shared" si="15"/>
        <v>16.99706947525484</v>
      </c>
      <c r="I375" s="228" t="str">
        <f t="shared" si="16"/>
        <v/>
      </c>
      <c r="J375" s="228" t="str">
        <f t="shared" si="17"/>
        <v/>
      </c>
    </row>
    <row r="376" spans="1:11">
      <c r="A376" s="227" t="s">
        <v>434</v>
      </c>
      <c r="B376" s="197" t="s">
        <v>535</v>
      </c>
      <c r="C376" s="198">
        <v>20.665164000000001</v>
      </c>
      <c r="D376" s="198">
        <v>22.006616645200001</v>
      </c>
      <c r="E376" s="198">
        <v>20.665164000000001</v>
      </c>
      <c r="F376" s="198">
        <v>20.566302061187933</v>
      </c>
      <c r="G376" s="198">
        <v>16.99706947525484</v>
      </c>
      <c r="H376" s="198">
        <f t="shared" si="15"/>
        <v>16.99706947525484</v>
      </c>
      <c r="I376" s="228" t="str">
        <f t="shared" si="16"/>
        <v/>
      </c>
      <c r="J376" s="228" t="str">
        <f t="shared" si="17"/>
        <v/>
      </c>
    </row>
    <row r="377" spans="1:11">
      <c r="A377" s="227" t="s">
        <v>434</v>
      </c>
      <c r="B377" s="197" t="s">
        <v>536</v>
      </c>
      <c r="C377" s="198">
        <v>-516.87478399999998</v>
      </c>
      <c r="D377" s="198">
        <v>22.006616645200001</v>
      </c>
      <c r="E377" s="198">
        <v>-516.87478399999998</v>
      </c>
      <c r="F377" s="198">
        <v>8.0199020611879366</v>
      </c>
      <c r="G377" s="198">
        <v>16.99706947525484</v>
      </c>
      <c r="H377" s="198">
        <f t="shared" si="15"/>
        <v>8.0199020611879366</v>
      </c>
      <c r="I377" s="228" t="str">
        <f t="shared" si="16"/>
        <v/>
      </c>
      <c r="J377" s="228" t="str">
        <f t="shared" si="17"/>
        <v/>
      </c>
    </row>
    <row r="378" spans="1:11">
      <c r="A378" s="227" t="s">
        <v>434</v>
      </c>
      <c r="B378" s="197" t="s">
        <v>537</v>
      </c>
      <c r="C378" s="198">
        <v>616.87845100000004</v>
      </c>
      <c r="D378" s="198">
        <v>22.006616645200001</v>
      </c>
      <c r="E378" s="198">
        <v>22.006616645200001</v>
      </c>
      <c r="F378" s="198">
        <v>17.499902061187935</v>
      </c>
      <c r="G378" s="198">
        <v>16.99706947525484</v>
      </c>
      <c r="H378" s="198">
        <f t="shared" si="15"/>
        <v>16.99706947525484</v>
      </c>
      <c r="I378" s="228" t="str">
        <f t="shared" si="16"/>
        <v/>
      </c>
      <c r="J378" s="228" t="str">
        <f t="shared" si="17"/>
        <v/>
      </c>
    </row>
    <row r="379" spans="1:11">
      <c r="A379" s="227" t="s">
        <v>434</v>
      </c>
      <c r="B379" s="197" t="s">
        <v>538</v>
      </c>
      <c r="C379" s="198">
        <v>38.059137</v>
      </c>
      <c r="D379" s="198">
        <v>22.006616645200001</v>
      </c>
      <c r="E379" s="198">
        <v>22.006616645200001</v>
      </c>
      <c r="F379" s="198">
        <v>7.5673020611879398</v>
      </c>
      <c r="G379" s="198">
        <v>16.99706947525484</v>
      </c>
      <c r="H379" s="198">
        <f t="shared" si="15"/>
        <v>7.5673020611879398</v>
      </c>
      <c r="I379" s="228" t="str">
        <f t="shared" si="16"/>
        <v/>
      </c>
      <c r="J379" s="228" t="str">
        <f t="shared" si="17"/>
        <v/>
      </c>
    </row>
    <row r="380" spans="1:11">
      <c r="A380" s="227" t="s">
        <v>434</v>
      </c>
      <c r="B380" s="197" t="s">
        <v>539</v>
      </c>
      <c r="C380" s="198">
        <v>37.899467999999999</v>
      </c>
      <c r="D380" s="198">
        <v>22.006616645200001</v>
      </c>
      <c r="E380" s="198">
        <v>22.006616645200001</v>
      </c>
      <c r="F380" s="198">
        <v>13.192602061187936</v>
      </c>
      <c r="G380" s="198">
        <v>16.99706947525484</v>
      </c>
      <c r="H380" s="198">
        <f t="shared" si="15"/>
        <v>13.192602061187936</v>
      </c>
      <c r="I380" s="228" t="str">
        <f t="shared" si="16"/>
        <v/>
      </c>
      <c r="J380" s="228" t="str">
        <f t="shared" si="17"/>
        <v/>
      </c>
    </row>
    <row r="381" spans="1:11">
      <c r="A381" s="227" t="s">
        <v>434</v>
      </c>
      <c r="B381" s="197" t="s">
        <v>540</v>
      </c>
      <c r="C381" s="198">
        <v>36.281607999999999</v>
      </c>
      <c r="D381" s="198">
        <v>22.006616645200001</v>
      </c>
      <c r="E381" s="198">
        <v>22.006616645200001</v>
      </c>
      <c r="F381" s="198">
        <v>12.919802061187941</v>
      </c>
      <c r="G381" s="198">
        <v>16.99706947525484</v>
      </c>
      <c r="H381" s="198">
        <f t="shared" si="15"/>
        <v>12.919802061187941</v>
      </c>
      <c r="I381" s="228" t="str">
        <f t="shared" si="16"/>
        <v/>
      </c>
      <c r="J381" s="228" t="str">
        <f t="shared" si="17"/>
        <v/>
      </c>
    </row>
    <row r="382" spans="1:11">
      <c r="A382" s="227" t="s">
        <v>434</v>
      </c>
      <c r="B382" s="197" t="s">
        <v>541</v>
      </c>
      <c r="C382" s="198">
        <v>33.581336999999998</v>
      </c>
      <c r="D382" s="198">
        <v>22.006616645200001</v>
      </c>
      <c r="E382" s="198">
        <v>22.006616645200001</v>
      </c>
      <c r="F382" s="198">
        <v>12.178714814990641</v>
      </c>
      <c r="G382" s="198">
        <v>16.99706947525484</v>
      </c>
      <c r="H382" s="198">
        <f t="shared" si="15"/>
        <v>12.178714814990641</v>
      </c>
      <c r="I382" s="228" t="str">
        <f t="shared" si="16"/>
        <v/>
      </c>
      <c r="J382" s="228" t="str">
        <f t="shared" si="17"/>
        <v>A</v>
      </c>
      <c r="K382" s="229">
        <f>IF(DAY(B382)=15,G382,"")</f>
        <v>16.99706947525484</v>
      </c>
    </row>
    <row r="383" spans="1:11">
      <c r="A383" s="227" t="s">
        <v>434</v>
      </c>
      <c r="B383" s="197" t="s">
        <v>542</v>
      </c>
      <c r="C383" s="198">
        <v>46.532055999999997</v>
      </c>
      <c r="D383" s="198">
        <v>22.006616645200001</v>
      </c>
      <c r="E383" s="198">
        <v>22.006616645200001</v>
      </c>
      <c r="F383" s="198">
        <v>23.562814814990649</v>
      </c>
      <c r="G383" s="198">
        <v>16.99706947525484</v>
      </c>
      <c r="H383" s="198">
        <f t="shared" si="15"/>
        <v>16.99706947525484</v>
      </c>
      <c r="I383" s="228" t="str">
        <f t="shared" si="16"/>
        <v/>
      </c>
      <c r="J383" s="228" t="str">
        <f t="shared" si="17"/>
        <v/>
      </c>
    </row>
    <row r="384" spans="1:11">
      <c r="A384" s="227" t="s">
        <v>434</v>
      </c>
      <c r="B384" s="197" t="s">
        <v>543</v>
      </c>
      <c r="C384" s="198">
        <v>-531.05451100000005</v>
      </c>
      <c r="D384" s="198">
        <v>22.006616645200001</v>
      </c>
      <c r="E384" s="198">
        <v>-531.05451100000005</v>
      </c>
      <c r="F384" s="198">
        <v>6.7623148149906438</v>
      </c>
      <c r="G384" s="198">
        <v>16.99706947525484</v>
      </c>
      <c r="H384" s="198">
        <f t="shared" si="15"/>
        <v>6.7623148149906438</v>
      </c>
      <c r="I384" s="228" t="str">
        <f t="shared" si="16"/>
        <v/>
      </c>
      <c r="J384" s="228" t="str">
        <f t="shared" si="17"/>
        <v/>
      </c>
    </row>
    <row r="385" spans="1:10">
      <c r="A385" s="227" t="s">
        <v>434</v>
      </c>
      <c r="B385" s="197" t="s">
        <v>544</v>
      </c>
      <c r="C385" s="198">
        <v>597.61291800000004</v>
      </c>
      <c r="D385" s="198">
        <v>22.006616645200001</v>
      </c>
      <c r="E385" s="198">
        <v>22.006616645200001</v>
      </c>
      <c r="F385" s="198">
        <v>6.7385148149906433</v>
      </c>
      <c r="G385" s="198">
        <v>16.99706947525484</v>
      </c>
      <c r="H385" s="198">
        <f t="shared" si="15"/>
        <v>6.7385148149906433</v>
      </c>
      <c r="I385" s="228" t="str">
        <f t="shared" si="16"/>
        <v/>
      </c>
      <c r="J385" s="228" t="str">
        <f t="shared" si="17"/>
        <v/>
      </c>
    </row>
    <row r="386" spans="1:10">
      <c r="A386" s="227" t="s">
        <v>434</v>
      </c>
      <c r="B386" s="197" t="s">
        <v>545</v>
      </c>
      <c r="C386" s="198">
        <v>31.900024999999999</v>
      </c>
      <c r="D386" s="198">
        <v>22.006616645200001</v>
      </c>
      <c r="E386" s="198">
        <v>22.006616645200001</v>
      </c>
      <c r="F386" s="198">
        <v>3.9178148149906398</v>
      </c>
      <c r="G386" s="198">
        <v>16.99706947525484</v>
      </c>
      <c r="H386" s="198">
        <f t="shared" si="15"/>
        <v>3.9178148149906398</v>
      </c>
      <c r="I386" s="228" t="str">
        <f t="shared" si="16"/>
        <v/>
      </c>
      <c r="J386" s="228" t="str">
        <f t="shared" si="17"/>
        <v/>
      </c>
    </row>
    <row r="387" spans="1:10">
      <c r="A387" s="227" t="s">
        <v>434</v>
      </c>
      <c r="B387" s="197" t="s">
        <v>546</v>
      </c>
      <c r="C387" s="198">
        <v>42.686787000000002</v>
      </c>
      <c r="D387" s="198">
        <v>22.006616645200001</v>
      </c>
      <c r="E387" s="198">
        <v>22.006616645200001</v>
      </c>
      <c r="F387" s="198">
        <v>32.815714814990642</v>
      </c>
      <c r="G387" s="198">
        <v>16.99706947525484</v>
      </c>
      <c r="H387" s="198">
        <f t="shared" si="15"/>
        <v>16.99706947525484</v>
      </c>
      <c r="I387" s="228" t="str">
        <f t="shared" si="16"/>
        <v/>
      </c>
      <c r="J387" s="228" t="str">
        <f t="shared" si="17"/>
        <v/>
      </c>
    </row>
    <row r="388" spans="1:10">
      <c r="A388" s="227" t="s">
        <v>434</v>
      </c>
      <c r="B388" s="197" t="s">
        <v>547</v>
      </c>
      <c r="C388" s="198">
        <v>36.290967000000002</v>
      </c>
      <c r="D388" s="198">
        <v>22.006616645200001</v>
      </c>
      <c r="E388" s="198">
        <v>22.006616645200001</v>
      </c>
      <c r="F388" s="198">
        <v>30.454414814990642</v>
      </c>
      <c r="G388" s="198">
        <v>16.99706947525484</v>
      </c>
      <c r="H388" s="198">
        <f t="shared" ref="H388:H451" si="18">IF(F388&lt;G388,F388,G388)</f>
        <v>16.99706947525484</v>
      </c>
      <c r="I388" s="228" t="str">
        <f t="shared" ref="I388:I451" si="19">IF(DAY(B388)=1,600,"")</f>
        <v/>
      </c>
      <c r="J388" s="228" t="str">
        <f t="shared" ref="J388:J451" si="20">IF(DAY(B388)=15,MID(A388,1,1),"")</f>
        <v/>
      </c>
    </row>
    <row r="389" spans="1:10">
      <c r="A389" s="227" t="s">
        <v>434</v>
      </c>
      <c r="B389" s="197" t="s">
        <v>548</v>
      </c>
      <c r="C389" s="198">
        <v>34.286169000000001</v>
      </c>
      <c r="D389" s="198">
        <v>22.006616645200001</v>
      </c>
      <c r="E389" s="198">
        <v>22.006616645200001</v>
      </c>
      <c r="F389" s="198">
        <v>31.982784291090635</v>
      </c>
      <c r="G389" s="198">
        <v>16.99706947525484</v>
      </c>
      <c r="H389" s="198">
        <f t="shared" si="18"/>
        <v>16.99706947525484</v>
      </c>
      <c r="I389" s="228" t="str">
        <f t="shared" si="19"/>
        <v/>
      </c>
      <c r="J389" s="228" t="str">
        <f t="shared" si="20"/>
        <v/>
      </c>
    </row>
    <row r="390" spans="1:10">
      <c r="A390" s="227" t="s">
        <v>434</v>
      </c>
      <c r="B390" s="197" t="s">
        <v>549</v>
      </c>
      <c r="C390" s="198">
        <v>-509.05148000000003</v>
      </c>
      <c r="D390" s="198">
        <v>22.006616645200001</v>
      </c>
      <c r="E390" s="198">
        <v>-509.05148000000003</v>
      </c>
      <c r="F390" s="198">
        <v>36.040784291090631</v>
      </c>
      <c r="G390" s="198">
        <v>16.99706947525484</v>
      </c>
      <c r="H390" s="198">
        <f t="shared" si="18"/>
        <v>16.99706947525484</v>
      </c>
      <c r="I390" s="228" t="str">
        <f t="shared" si="19"/>
        <v/>
      </c>
      <c r="J390" s="228" t="str">
        <f t="shared" si="20"/>
        <v/>
      </c>
    </row>
    <row r="391" spans="1:10">
      <c r="A391" s="227" t="s">
        <v>434</v>
      </c>
      <c r="B391" s="197" t="s">
        <v>550</v>
      </c>
      <c r="C391" s="198">
        <v>580.59360300000003</v>
      </c>
      <c r="D391" s="198">
        <v>22.006616645200001</v>
      </c>
      <c r="E391" s="198">
        <v>22.006616645200001</v>
      </c>
      <c r="F391" s="198">
        <v>17.345684291090635</v>
      </c>
      <c r="G391" s="198">
        <v>16.99706947525484</v>
      </c>
      <c r="H391" s="198">
        <f t="shared" si="18"/>
        <v>16.99706947525484</v>
      </c>
      <c r="I391" s="228" t="str">
        <f t="shared" si="19"/>
        <v/>
      </c>
      <c r="J391" s="228" t="str">
        <f t="shared" si="20"/>
        <v/>
      </c>
    </row>
    <row r="392" spans="1:10">
      <c r="A392" s="227" t="s">
        <v>434</v>
      </c>
      <c r="B392" s="197" t="s">
        <v>551</v>
      </c>
      <c r="C392" s="198">
        <v>42.544953999999997</v>
      </c>
      <c r="D392" s="198">
        <v>22.006616645200001</v>
      </c>
      <c r="E392" s="198">
        <v>22.006616645200001</v>
      </c>
      <c r="F392" s="198">
        <v>7.2198842910905947</v>
      </c>
      <c r="G392" s="198">
        <v>16.99706947525484</v>
      </c>
      <c r="H392" s="198">
        <f t="shared" si="18"/>
        <v>7.2198842910905947</v>
      </c>
      <c r="I392" s="228" t="str">
        <f t="shared" si="19"/>
        <v/>
      </c>
      <c r="J392" s="228" t="str">
        <f t="shared" si="20"/>
        <v/>
      </c>
    </row>
    <row r="393" spans="1:10">
      <c r="A393" s="227" t="s">
        <v>434</v>
      </c>
      <c r="B393" s="197" t="s">
        <v>552</v>
      </c>
      <c r="C393" s="198">
        <v>30.316991000000002</v>
      </c>
      <c r="D393" s="198">
        <v>22.006616645200001</v>
      </c>
      <c r="E393" s="198">
        <v>22.006616645200001</v>
      </c>
      <c r="F393" s="198">
        <v>15.400084291090597</v>
      </c>
      <c r="G393" s="198">
        <v>16.99706947525484</v>
      </c>
      <c r="H393" s="198">
        <f t="shared" si="18"/>
        <v>15.400084291090597</v>
      </c>
      <c r="I393" s="228" t="str">
        <f t="shared" si="19"/>
        <v/>
      </c>
      <c r="J393" s="228" t="str">
        <f t="shared" si="20"/>
        <v/>
      </c>
    </row>
    <row r="394" spans="1:10">
      <c r="A394" s="227" t="s">
        <v>434</v>
      </c>
      <c r="B394" s="197" t="s">
        <v>553</v>
      </c>
      <c r="C394" s="198">
        <v>35.620179</v>
      </c>
      <c r="D394" s="198">
        <v>22.006616645200001</v>
      </c>
      <c r="E394" s="198">
        <v>22.006616645200001</v>
      </c>
      <c r="F394" s="198">
        <v>15.18108429109059</v>
      </c>
      <c r="G394" s="198">
        <v>16.99706947525484</v>
      </c>
      <c r="H394" s="198">
        <f t="shared" si="18"/>
        <v>15.18108429109059</v>
      </c>
      <c r="I394" s="228" t="str">
        <f t="shared" si="19"/>
        <v/>
      </c>
      <c r="J394" s="228" t="str">
        <f t="shared" si="20"/>
        <v/>
      </c>
    </row>
    <row r="395" spans="1:10">
      <c r="A395" s="227" t="s">
        <v>434</v>
      </c>
      <c r="B395" s="197" t="s">
        <v>554</v>
      </c>
      <c r="C395" s="198">
        <v>48.870659000000003</v>
      </c>
      <c r="D395" s="198">
        <v>22.006616645200001</v>
      </c>
      <c r="E395" s="198">
        <v>22.006616645200001</v>
      </c>
      <c r="F395" s="198">
        <v>22.626584291090591</v>
      </c>
      <c r="G395" s="198">
        <v>16.99706947525484</v>
      </c>
      <c r="H395" s="198">
        <f t="shared" si="18"/>
        <v>16.99706947525484</v>
      </c>
      <c r="I395" s="228" t="str">
        <f t="shared" si="19"/>
        <v/>
      </c>
      <c r="J395" s="228" t="str">
        <f t="shared" si="20"/>
        <v/>
      </c>
    </row>
    <row r="396" spans="1:10">
      <c r="A396" s="227" t="s">
        <v>434</v>
      </c>
      <c r="B396" s="197" t="s">
        <v>555</v>
      </c>
      <c r="C396" s="198">
        <v>43.263671000000002</v>
      </c>
      <c r="D396" s="198">
        <v>22.006616645200001</v>
      </c>
      <c r="E396" s="198">
        <v>22.006616645200001</v>
      </c>
      <c r="F396" s="198">
        <v>24.604703775277656</v>
      </c>
      <c r="G396" s="198">
        <v>16.99706947525484</v>
      </c>
      <c r="H396" s="198">
        <f t="shared" si="18"/>
        <v>16.99706947525484</v>
      </c>
      <c r="I396" s="228" t="str">
        <f t="shared" si="19"/>
        <v/>
      </c>
      <c r="J396" s="228" t="str">
        <f t="shared" si="20"/>
        <v/>
      </c>
    </row>
    <row r="397" spans="1:10">
      <c r="A397" s="227" t="s">
        <v>434</v>
      </c>
      <c r="B397" s="197" t="s">
        <v>556</v>
      </c>
      <c r="C397" s="198">
        <v>37.098412000000003</v>
      </c>
      <c r="D397" s="198">
        <v>22.006616645200001</v>
      </c>
      <c r="E397" s="198">
        <v>22.006616645200001</v>
      </c>
      <c r="F397" s="198">
        <v>32.481503775277645</v>
      </c>
      <c r="G397" s="198">
        <v>16.99706947525484</v>
      </c>
      <c r="H397" s="198">
        <f t="shared" si="18"/>
        <v>16.99706947525484</v>
      </c>
      <c r="I397" s="228" t="str">
        <f t="shared" si="19"/>
        <v/>
      </c>
      <c r="J397" s="228" t="str">
        <f t="shared" si="20"/>
        <v/>
      </c>
    </row>
    <row r="398" spans="1:10">
      <c r="A398" s="227" t="s">
        <v>434</v>
      </c>
      <c r="B398" s="197" t="s">
        <v>557</v>
      </c>
      <c r="C398" s="198">
        <v>-511.82141100000001</v>
      </c>
      <c r="D398" s="198">
        <v>22.006616645200001</v>
      </c>
      <c r="E398" s="198">
        <v>-511.82141100000001</v>
      </c>
      <c r="F398" s="198">
        <v>19.045903775277651</v>
      </c>
      <c r="G398" s="198">
        <v>16.99706947525484</v>
      </c>
      <c r="H398" s="198">
        <f t="shared" si="18"/>
        <v>16.99706947525484</v>
      </c>
      <c r="I398" s="228" t="str">
        <f t="shared" si="19"/>
        <v/>
      </c>
      <c r="J398" s="228" t="str">
        <f t="shared" si="20"/>
        <v/>
      </c>
    </row>
    <row r="399" spans="1:10">
      <c r="F399" s="198" t="s">
        <v>1006</v>
      </c>
      <c r="G399" s="198" t="s">
        <v>1006</v>
      </c>
      <c r="H399" s="198" t="str">
        <f t="shared" si="18"/>
        <v/>
      </c>
      <c r="I399" s="228" t="str">
        <f t="shared" si="19"/>
        <v/>
      </c>
      <c r="J399" s="228" t="str">
        <f t="shared" si="20"/>
        <v/>
      </c>
    </row>
    <row r="400" spans="1:10">
      <c r="F400" s="198" t="s">
        <v>1006</v>
      </c>
      <c r="G400" s="198" t="s">
        <v>1006</v>
      </c>
      <c r="H400" s="198" t="str">
        <f t="shared" si="18"/>
        <v/>
      </c>
      <c r="I400" s="228" t="str">
        <f t="shared" si="19"/>
        <v/>
      </c>
      <c r="J400" s="228" t="str">
        <f t="shared" si="20"/>
        <v/>
      </c>
    </row>
    <row r="401" spans="6:11">
      <c r="F401" s="198" t="s">
        <v>1006</v>
      </c>
      <c r="G401" s="198" t="s">
        <v>1006</v>
      </c>
      <c r="H401" s="198" t="str">
        <f t="shared" si="18"/>
        <v/>
      </c>
      <c r="I401" s="228" t="str">
        <f t="shared" si="19"/>
        <v/>
      </c>
      <c r="J401" s="228" t="str">
        <f t="shared" si="20"/>
        <v/>
      </c>
    </row>
    <row r="402" spans="6:11">
      <c r="F402" s="198" t="s">
        <v>1006</v>
      </c>
      <c r="G402" s="198" t="s">
        <v>1006</v>
      </c>
      <c r="H402" s="198" t="str">
        <f t="shared" si="18"/>
        <v/>
      </c>
      <c r="I402" s="228" t="str">
        <f t="shared" si="19"/>
        <v/>
      </c>
      <c r="J402" s="228" t="str">
        <f t="shared" si="20"/>
        <v/>
      </c>
    </row>
    <row r="403" spans="6:11">
      <c r="F403" s="198" t="s">
        <v>1006</v>
      </c>
      <c r="G403" s="198" t="s">
        <v>1006</v>
      </c>
      <c r="H403" s="198" t="str">
        <f t="shared" si="18"/>
        <v/>
      </c>
      <c r="I403" s="228" t="str">
        <f t="shared" si="19"/>
        <v/>
      </c>
      <c r="J403" s="228" t="str">
        <f t="shared" si="20"/>
        <v/>
      </c>
    </row>
    <row r="404" spans="6:11">
      <c r="F404" s="198" t="s">
        <v>1006</v>
      </c>
      <c r="G404" s="198" t="s">
        <v>1006</v>
      </c>
      <c r="H404" s="198" t="str">
        <f t="shared" si="18"/>
        <v/>
      </c>
      <c r="I404" s="228" t="str">
        <f t="shared" si="19"/>
        <v/>
      </c>
      <c r="J404" s="228" t="str">
        <f t="shared" si="20"/>
        <v/>
      </c>
      <c r="K404" s="229" t="str">
        <f t="shared" ref="K404:K467" si="21">IF(DAY(B404)=15,G404,"")</f>
        <v/>
      </c>
    </row>
    <row r="405" spans="6:11">
      <c r="F405" s="198" t="s">
        <v>1006</v>
      </c>
      <c r="G405" s="198" t="s">
        <v>1006</v>
      </c>
      <c r="H405" s="198" t="str">
        <f t="shared" si="18"/>
        <v/>
      </c>
      <c r="I405" s="228" t="str">
        <f t="shared" si="19"/>
        <v/>
      </c>
      <c r="J405" s="228" t="str">
        <f t="shared" si="20"/>
        <v/>
      </c>
      <c r="K405" s="229" t="str">
        <f t="shared" si="21"/>
        <v/>
      </c>
    </row>
    <row r="406" spans="6:11">
      <c r="F406" s="198" t="s">
        <v>1006</v>
      </c>
      <c r="G406" s="198" t="s">
        <v>1006</v>
      </c>
      <c r="H406" s="198" t="str">
        <f t="shared" si="18"/>
        <v/>
      </c>
      <c r="I406" s="228" t="str">
        <f t="shared" si="19"/>
        <v/>
      </c>
      <c r="J406" s="228" t="str">
        <f t="shared" si="20"/>
        <v/>
      </c>
      <c r="K406" s="229" t="str">
        <f t="shared" si="21"/>
        <v/>
      </c>
    </row>
    <row r="407" spans="6:11">
      <c r="F407" s="198" t="s">
        <v>1006</v>
      </c>
      <c r="G407" s="198" t="s">
        <v>1006</v>
      </c>
      <c r="H407" s="198" t="str">
        <f t="shared" si="18"/>
        <v/>
      </c>
      <c r="I407" s="228" t="str">
        <f t="shared" si="19"/>
        <v/>
      </c>
      <c r="J407" s="228" t="str">
        <f t="shared" si="20"/>
        <v/>
      </c>
      <c r="K407" s="229" t="str">
        <f t="shared" si="21"/>
        <v/>
      </c>
    </row>
    <row r="408" spans="6:11">
      <c r="F408" s="198" t="s">
        <v>1006</v>
      </c>
      <c r="G408" s="198" t="s">
        <v>1006</v>
      </c>
      <c r="H408" s="198" t="str">
        <f t="shared" si="18"/>
        <v/>
      </c>
      <c r="I408" s="228" t="str">
        <f t="shared" si="19"/>
        <v/>
      </c>
      <c r="J408" s="228" t="str">
        <f t="shared" si="20"/>
        <v/>
      </c>
      <c r="K408" s="229" t="str">
        <f t="shared" si="21"/>
        <v/>
      </c>
    </row>
    <row r="409" spans="6:11">
      <c r="F409" s="198" t="s">
        <v>1006</v>
      </c>
      <c r="G409" s="198" t="s">
        <v>1006</v>
      </c>
      <c r="H409" s="198" t="str">
        <f t="shared" si="18"/>
        <v/>
      </c>
      <c r="I409" s="228" t="str">
        <f t="shared" si="19"/>
        <v/>
      </c>
      <c r="J409" s="228" t="str">
        <f t="shared" si="20"/>
        <v/>
      </c>
      <c r="K409" s="229" t="str">
        <f t="shared" si="21"/>
        <v/>
      </c>
    </row>
    <row r="410" spans="6:11">
      <c r="F410" s="198" t="s">
        <v>1006</v>
      </c>
      <c r="G410" s="198" t="s">
        <v>1006</v>
      </c>
      <c r="H410" s="198" t="str">
        <f t="shared" si="18"/>
        <v/>
      </c>
      <c r="I410" s="228" t="str">
        <f t="shared" si="19"/>
        <v/>
      </c>
      <c r="J410" s="228" t="str">
        <f t="shared" si="20"/>
        <v/>
      </c>
      <c r="K410" s="229" t="str">
        <f t="shared" si="21"/>
        <v/>
      </c>
    </row>
    <row r="411" spans="6:11">
      <c r="F411" s="198" t="s">
        <v>1006</v>
      </c>
      <c r="G411" s="198" t="s">
        <v>1006</v>
      </c>
      <c r="H411" s="198" t="str">
        <f t="shared" si="18"/>
        <v/>
      </c>
      <c r="I411" s="228" t="str">
        <f t="shared" si="19"/>
        <v/>
      </c>
      <c r="J411" s="228" t="str">
        <f t="shared" si="20"/>
        <v/>
      </c>
      <c r="K411" s="229" t="str">
        <f t="shared" si="21"/>
        <v/>
      </c>
    </row>
    <row r="412" spans="6:11">
      <c r="F412" s="198" t="s">
        <v>1006</v>
      </c>
      <c r="G412" s="198" t="s">
        <v>1006</v>
      </c>
      <c r="H412" s="198" t="str">
        <f t="shared" si="18"/>
        <v/>
      </c>
      <c r="I412" s="228" t="str">
        <f t="shared" si="19"/>
        <v/>
      </c>
      <c r="J412" s="228" t="str">
        <f t="shared" si="20"/>
        <v/>
      </c>
      <c r="K412" s="229" t="str">
        <f t="shared" si="21"/>
        <v/>
      </c>
    </row>
    <row r="413" spans="6:11">
      <c r="F413" s="198" t="s">
        <v>1006</v>
      </c>
      <c r="G413" s="198" t="s">
        <v>1006</v>
      </c>
      <c r="H413" s="198" t="str">
        <f t="shared" si="18"/>
        <v/>
      </c>
      <c r="I413" s="228" t="str">
        <f t="shared" si="19"/>
        <v/>
      </c>
      <c r="J413" s="228" t="str">
        <f t="shared" si="20"/>
        <v/>
      </c>
      <c r="K413" s="229" t="str">
        <f t="shared" si="21"/>
        <v/>
      </c>
    </row>
    <row r="414" spans="6:11">
      <c r="F414" s="198" t="s">
        <v>1006</v>
      </c>
      <c r="G414" s="198" t="s">
        <v>1006</v>
      </c>
      <c r="H414" s="198" t="str">
        <f t="shared" si="18"/>
        <v/>
      </c>
      <c r="I414" s="228" t="str">
        <f t="shared" si="19"/>
        <v/>
      </c>
      <c r="J414" s="228" t="str">
        <f t="shared" si="20"/>
        <v/>
      </c>
      <c r="K414" s="229" t="str">
        <f t="shared" si="21"/>
        <v/>
      </c>
    </row>
    <row r="415" spans="6:11">
      <c r="F415" s="198" t="s">
        <v>1006</v>
      </c>
      <c r="G415" s="198" t="s">
        <v>1006</v>
      </c>
      <c r="H415" s="198" t="str">
        <f t="shared" si="18"/>
        <v/>
      </c>
      <c r="I415" s="228" t="str">
        <f t="shared" si="19"/>
        <v/>
      </c>
      <c r="J415" s="228" t="str">
        <f t="shared" si="20"/>
        <v/>
      </c>
      <c r="K415" s="229" t="str">
        <f t="shared" si="21"/>
        <v/>
      </c>
    </row>
    <row r="416" spans="6:11">
      <c r="F416" s="198" t="s">
        <v>1006</v>
      </c>
      <c r="G416" s="198" t="s">
        <v>1006</v>
      </c>
      <c r="H416" s="198" t="str">
        <f t="shared" si="18"/>
        <v/>
      </c>
      <c r="I416" s="228" t="str">
        <f t="shared" si="19"/>
        <v/>
      </c>
      <c r="J416" s="228" t="str">
        <f t="shared" si="20"/>
        <v/>
      </c>
      <c r="K416" s="229" t="str">
        <f t="shared" si="21"/>
        <v/>
      </c>
    </row>
    <row r="417" spans="6:11">
      <c r="F417" s="198" t="s">
        <v>1006</v>
      </c>
      <c r="G417" s="198" t="s">
        <v>1006</v>
      </c>
      <c r="H417" s="198" t="str">
        <f t="shared" si="18"/>
        <v/>
      </c>
      <c r="I417" s="228" t="str">
        <f t="shared" si="19"/>
        <v/>
      </c>
      <c r="J417" s="228" t="str">
        <f t="shared" si="20"/>
        <v/>
      </c>
      <c r="K417" s="229" t="str">
        <f t="shared" si="21"/>
        <v/>
      </c>
    </row>
    <row r="418" spans="6:11">
      <c r="F418" s="198" t="s">
        <v>1006</v>
      </c>
      <c r="G418" s="198" t="s">
        <v>1006</v>
      </c>
      <c r="H418" s="198" t="str">
        <f t="shared" si="18"/>
        <v/>
      </c>
      <c r="I418" s="228" t="str">
        <f t="shared" si="19"/>
        <v/>
      </c>
      <c r="J418" s="228" t="str">
        <f t="shared" si="20"/>
        <v/>
      </c>
      <c r="K418" s="229" t="str">
        <f t="shared" si="21"/>
        <v/>
      </c>
    </row>
    <row r="419" spans="6:11">
      <c r="F419" s="198" t="s">
        <v>1006</v>
      </c>
      <c r="G419" s="198" t="s">
        <v>1006</v>
      </c>
      <c r="H419" s="198" t="str">
        <f t="shared" si="18"/>
        <v/>
      </c>
      <c r="I419" s="228" t="str">
        <f t="shared" si="19"/>
        <v/>
      </c>
      <c r="J419" s="228" t="str">
        <f t="shared" si="20"/>
        <v/>
      </c>
      <c r="K419" s="229" t="str">
        <f t="shared" si="21"/>
        <v/>
      </c>
    </row>
    <row r="420" spans="6:11">
      <c r="F420" s="198" t="s">
        <v>1006</v>
      </c>
      <c r="G420" s="198" t="s">
        <v>1006</v>
      </c>
      <c r="H420" s="198" t="str">
        <f t="shared" si="18"/>
        <v/>
      </c>
      <c r="I420" s="228" t="str">
        <f t="shared" si="19"/>
        <v/>
      </c>
      <c r="J420" s="228" t="str">
        <f t="shared" si="20"/>
        <v/>
      </c>
      <c r="K420" s="229" t="str">
        <f t="shared" si="21"/>
        <v/>
      </c>
    </row>
    <row r="421" spans="6:11">
      <c r="F421" s="198" t="s">
        <v>1006</v>
      </c>
      <c r="G421" s="198" t="s">
        <v>1006</v>
      </c>
      <c r="H421" s="198" t="str">
        <f t="shared" si="18"/>
        <v/>
      </c>
      <c r="I421" s="228" t="str">
        <f t="shared" si="19"/>
        <v/>
      </c>
      <c r="J421" s="228" t="str">
        <f t="shared" si="20"/>
        <v/>
      </c>
      <c r="K421" s="229" t="str">
        <f t="shared" si="21"/>
        <v/>
      </c>
    </row>
    <row r="422" spans="6:11">
      <c r="F422" s="198" t="s">
        <v>1006</v>
      </c>
      <c r="G422" s="198" t="s">
        <v>1006</v>
      </c>
      <c r="H422" s="198" t="str">
        <f t="shared" si="18"/>
        <v/>
      </c>
      <c r="I422" s="228" t="str">
        <f t="shared" si="19"/>
        <v/>
      </c>
      <c r="J422" s="228" t="str">
        <f t="shared" si="20"/>
        <v/>
      </c>
      <c r="K422" s="229" t="str">
        <f t="shared" si="21"/>
        <v/>
      </c>
    </row>
    <row r="423" spans="6:11">
      <c r="F423" s="198" t="s">
        <v>1006</v>
      </c>
      <c r="G423" s="198" t="s">
        <v>1006</v>
      </c>
      <c r="H423" s="198" t="str">
        <f t="shared" si="18"/>
        <v/>
      </c>
      <c r="I423" s="228" t="str">
        <f t="shared" si="19"/>
        <v/>
      </c>
      <c r="J423" s="228" t="str">
        <f t="shared" si="20"/>
        <v/>
      </c>
      <c r="K423" s="229" t="str">
        <f t="shared" si="21"/>
        <v/>
      </c>
    </row>
    <row r="424" spans="6:11">
      <c r="F424" s="198" t="s">
        <v>1006</v>
      </c>
      <c r="G424" s="198" t="s">
        <v>1006</v>
      </c>
      <c r="H424" s="198" t="str">
        <f t="shared" si="18"/>
        <v/>
      </c>
      <c r="I424" s="228" t="str">
        <f t="shared" si="19"/>
        <v/>
      </c>
      <c r="J424" s="228" t="str">
        <f t="shared" si="20"/>
        <v/>
      </c>
      <c r="K424" s="229" t="str">
        <f t="shared" si="21"/>
        <v/>
      </c>
    </row>
    <row r="425" spans="6:11">
      <c r="F425" s="198" t="s">
        <v>1006</v>
      </c>
      <c r="G425" s="198" t="s">
        <v>1006</v>
      </c>
      <c r="H425" s="198" t="str">
        <f t="shared" si="18"/>
        <v/>
      </c>
      <c r="I425" s="228" t="str">
        <f t="shared" si="19"/>
        <v/>
      </c>
      <c r="J425" s="228" t="str">
        <f t="shared" si="20"/>
        <v/>
      </c>
      <c r="K425" s="229" t="str">
        <f t="shared" si="21"/>
        <v/>
      </c>
    </row>
    <row r="426" spans="6:11">
      <c r="F426" s="198" t="s">
        <v>1006</v>
      </c>
      <c r="G426" s="198" t="s">
        <v>1006</v>
      </c>
      <c r="H426" s="198" t="str">
        <f t="shared" si="18"/>
        <v/>
      </c>
      <c r="I426" s="228" t="str">
        <f t="shared" si="19"/>
        <v/>
      </c>
      <c r="J426" s="228" t="str">
        <f t="shared" si="20"/>
        <v/>
      </c>
      <c r="K426" s="229" t="str">
        <f t="shared" si="21"/>
        <v/>
      </c>
    </row>
    <row r="427" spans="6:11">
      <c r="F427" s="198" t="s">
        <v>1006</v>
      </c>
      <c r="G427" s="198" t="s">
        <v>1006</v>
      </c>
      <c r="H427" s="198" t="str">
        <f t="shared" si="18"/>
        <v/>
      </c>
      <c r="I427" s="228" t="str">
        <f t="shared" si="19"/>
        <v/>
      </c>
      <c r="J427" s="228" t="str">
        <f t="shared" si="20"/>
        <v/>
      </c>
      <c r="K427" s="229" t="str">
        <f t="shared" si="21"/>
        <v/>
      </c>
    </row>
    <row r="428" spans="6:11">
      <c r="F428" s="198" t="s">
        <v>1006</v>
      </c>
      <c r="G428" s="198" t="s">
        <v>1006</v>
      </c>
      <c r="H428" s="198" t="str">
        <f t="shared" si="18"/>
        <v/>
      </c>
      <c r="I428" s="228" t="str">
        <f t="shared" si="19"/>
        <v/>
      </c>
      <c r="J428" s="228" t="str">
        <f t="shared" si="20"/>
        <v/>
      </c>
      <c r="K428" s="229" t="str">
        <f t="shared" si="21"/>
        <v/>
      </c>
    </row>
    <row r="429" spans="6:11">
      <c r="F429" s="198" t="s">
        <v>1006</v>
      </c>
      <c r="G429" s="198" t="s">
        <v>1006</v>
      </c>
      <c r="H429" s="198" t="str">
        <f t="shared" si="18"/>
        <v/>
      </c>
      <c r="I429" s="228" t="str">
        <f t="shared" si="19"/>
        <v/>
      </c>
      <c r="J429" s="228" t="str">
        <f t="shared" si="20"/>
        <v/>
      </c>
      <c r="K429" s="229" t="str">
        <f t="shared" si="21"/>
        <v/>
      </c>
    </row>
    <row r="430" spans="6:11">
      <c r="F430" s="198" t="s">
        <v>1006</v>
      </c>
      <c r="G430" s="198" t="s">
        <v>1006</v>
      </c>
      <c r="H430" s="198" t="str">
        <f t="shared" si="18"/>
        <v/>
      </c>
      <c r="I430" s="228" t="str">
        <f t="shared" si="19"/>
        <v/>
      </c>
      <c r="J430" s="228" t="str">
        <f t="shared" si="20"/>
        <v/>
      </c>
      <c r="K430" s="229" t="str">
        <f t="shared" si="21"/>
        <v/>
      </c>
    </row>
    <row r="431" spans="6:11">
      <c r="F431" s="198" t="s">
        <v>1006</v>
      </c>
      <c r="G431" s="198" t="s">
        <v>1006</v>
      </c>
      <c r="H431" s="198" t="str">
        <f t="shared" si="18"/>
        <v/>
      </c>
      <c r="I431" s="228" t="str">
        <f t="shared" si="19"/>
        <v/>
      </c>
      <c r="J431" s="228" t="str">
        <f t="shared" si="20"/>
        <v/>
      </c>
      <c r="K431" s="229" t="str">
        <f t="shared" si="21"/>
        <v/>
      </c>
    </row>
    <row r="432" spans="6:11">
      <c r="F432" s="198" t="s">
        <v>1006</v>
      </c>
      <c r="G432" s="198" t="s">
        <v>1006</v>
      </c>
      <c r="H432" s="198" t="str">
        <f t="shared" si="18"/>
        <v/>
      </c>
      <c r="I432" s="228" t="str">
        <f t="shared" si="19"/>
        <v/>
      </c>
      <c r="J432" s="228" t="str">
        <f t="shared" si="20"/>
        <v/>
      </c>
      <c r="K432" s="229" t="str">
        <f t="shared" si="21"/>
        <v/>
      </c>
    </row>
    <row r="433" spans="6:11">
      <c r="F433" s="198" t="s">
        <v>1006</v>
      </c>
      <c r="G433" s="198" t="s">
        <v>1006</v>
      </c>
      <c r="H433" s="198" t="str">
        <f t="shared" si="18"/>
        <v/>
      </c>
      <c r="I433" s="228" t="str">
        <f t="shared" si="19"/>
        <v/>
      </c>
      <c r="J433" s="228" t="str">
        <f t="shared" si="20"/>
        <v/>
      </c>
      <c r="K433" s="229" t="str">
        <f t="shared" si="21"/>
        <v/>
      </c>
    </row>
    <row r="434" spans="6:11">
      <c r="F434" s="198" t="s">
        <v>1006</v>
      </c>
      <c r="G434" s="198" t="s">
        <v>1006</v>
      </c>
      <c r="H434" s="198" t="str">
        <f t="shared" si="18"/>
        <v/>
      </c>
      <c r="I434" s="228" t="str">
        <f t="shared" si="19"/>
        <v/>
      </c>
      <c r="J434" s="228" t="str">
        <f t="shared" si="20"/>
        <v/>
      </c>
      <c r="K434" s="229" t="str">
        <f t="shared" si="21"/>
        <v/>
      </c>
    </row>
    <row r="435" spans="6:11">
      <c r="F435" s="198" t="s">
        <v>1006</v>
      </c>
      <c r="G435" s="198" t="s">
        <v>1006</v>
      </c>
      <c r="H435" s="198" t="str">
        <f t="shared" si="18"/>
        <v/>
      </c>
      <c r="I435" s="228" t="str">
        <f t="shared" si="19"/>
        <v/>
      </c>
      <c r="J435" s="228" t="str">
        <f t="shared" si="20"/>
        <v/>
      </c>
      <c r="K435" s="229" t="str">
        <f t="shared" si="21"/>
        <v/>
      </c>
    </row>
    <row r="436" spans="6:11">
      <c r="F436" s="198" t="s">
        <v>1006</v>
      </c>
      <c r="G436" s="198" t="s">
        <v>1006</v>
      </c>
      <c r="H436" s="198" t="str">
        <f t="shared" si="18"/>
        <v/>
      </c>
      <c r="I436" s="228" t="str">
        <f t="shared" si="19"/>
        <v/>
      </c>
      <c r="J436" s="228" t="str">
        <f t="shared" si="20"/>
        <v/>
      </c>
      <c r="K436" s="229" t="str">
        <f t="shared" si="21"/>
        <v/>
      </c>
    </row>
    <row r="437" spans="6:11">
      <c r="F437" s="198" t="s">
        <v>1006</v>
      </c>
      <c r="G437" s="198" t="s">
        <v>1006</v>
      </c>
      <c r="H437" s="198" t="str">
        <f t="shared" si="18"/>
        <v/>
      </c>
      <c r="I437" s="228" t="str">
        <f t="shared" si="19"/>
        <v/>
      </c>
      <c r="J437" s="228" t="str">
        <f t="shared" si="20"/>
        <v/>
      </c>
      <c r="K437" s="229" t="str">
        <f t="shared" si="21"/>
        <v/>
      </c>
    </row>
    <row r="438" spans="6:11">
      <c r="F438" s="198" t="s">
        <v>1006</v>
      </c>
      <c r="G438" s="198" t="s">
        <v>1006</v>
      </c>
      <c r="H438" s="198" t="str">
        <f t="shared" si="18"/>
        <v/>
      </c>
      <c r="I438" s="228" t="str">
        <f t="shared" si="19"/>
        <v/>
      </c>
      <c r="J438" s="228" t="str">
        <f t="shared" si="20"/>
        <v/>
      </c>
      <c r="K438" s="229" t="str">
        <f t="shared" si="21"/>
        <v/>
      </c>
    </row>
    <row r="439" spans="6:11">
      <c r="F439" s="198" t="s">
        <v>1006</v>
      </c>
      <c r="G439" s="198" t="s">
        <v>1006</v>
      </c>
      <c r="H439" s="198" t="str">
        <f t="shared" si="18"/>
        <v/>
      </c>
      <c r="I439" s="228" t="str">
        <f t="shared" si="19"/>
        <v/>
      </c>
      <c r="J439" s="228" t="str">
        <f t="shared" si="20"/>
        <v/>
      </c>
      <c r="K439" s="229" t="str">
        <f t="shared" si="21"/>
        <v/>
      </c>
    </row>
    <row r="440" spans="6:11">
      <c r="F440" s="198" t="s">
        <v>1006</v>
      </c>
      <c r="G440" s="198" t="s">
        <v>1006</v>
      </c>
      <c r="H440" s="198" t="str">
        <f t="shared" si="18"/>
        <v/>
      </c>
      <c r="I440" s="228" t="str">
        <f t="shared" si="19"/>
        <v/>
      </c>
      <c r="J440" s="228" t="str">
        <f t="shared" si="20"/>
        <v/>
      </c>
      <c r="K440" s="229" t="str">
        <f t="shared" si="21"/>
        <v/>
      </c>
    </row>
    <row r="441" spans="6:11">
      <c r="F441" s="198" t="s">
        <v>1006</v>
      </c>
      <c r="G441" s="198" t="s">
        <v>1006</v>
      </c>
      <c r="H441" s="198" t="str">
        <f t="shared" si="18"/>
        <v/>
      </c>
      <c r="I441" s="228" t="str">
        <f t="shared" si="19"/>
        <v/>
      </c>
      <c r="J441" s="228" t="str">
        <f t="shared" si="20"/>
        <v/>
      </c>
      <c r="K441" s="229" t="str">
        <f t="shared" si="21"/>
        <v/>
      </c>
    </row>
    <row r="442" spans="6:11">
      <c r="F442" s="198" t="s">
        <v>1006</v>
      </c>
      <c r="G442" s="198" t="s">
        <v>1006</v>
      </c>
      <c r="H442" s="198" t="str">
        <f t="shared" si="18"/>
        <v/>
      </c>
      <c r="I442" s="228" t="str">
        <f t="shared" si="19"/>
        <v/>
      </c>
      <c r="J442" s="228" t="str">
        <f t="shared" si="20"/>
        <v/>
      </c>
      <c r="K442" s="229" t="str">
        <f t="shared" si="21"/>
        <v/>
      </c>
    </row>
    <row r="443" spans="6:11">
      <c r="F443" s="198" t="s">
        <v>1006</v>
      </c>
      <c r="G443" s="198" t="s">
        <v>1006</v>
      </c>
      <c r="H443" s="198" t="str">
        <f t="shared" si="18"/>
        <v/>
      </c>
      <c r="I443" s="228" t="str">
        <f t="shared" si="19"/>
        <v/>
      </c>
      <c r="J443" s="228" t="str">
        <f t="shared" si="20"/>
        <v/>
      </c>
      <c r="K443" s="229" t="str">
        <f t="shared" si="21"/>
        <v/>
      </c>
    </row>
    <row r="444" spans="6:11">
      <c r="F444" s="198" t="s">
        <v>1006</v>
      </c>
      <c r="G444" s="198" t="s">
        <v>1006</v>
      </c>
      <c r="H444" s="198" t="str">
        <f t="shared" si="18"/>
        <v/>
      </c>
      <c r="I444" s="228" t="str">
        <f t="shared" si="19"/>
        <v/>
      </c>
      <c r="J444" s="228" t="str">
        <f t="shared" si="20"/>
        <v/>
      </c>
      <c r="K444" s="229" t="str">
        <f t="shared" si="21"/>
        <v/>
      </c>
    </row>
    <row r="445" spans="6:11">
      <c r="F445" s="198" t="s">
        <v>1006</v>
      </c>
      <c r="G445" s="198" t="s">
        <v>1006</v>
      </c>
      <c r="H445" s="198" t="str">
        <f t="shared" si="18"/>
        <v/>
      </c>
      <c r="I445" s="228" t="str">
        <f t="shared" si="19"/>
        <v/>
      </c>
      <c r="J445" s="228" t="str">
        <f t="shared" si="20"/>
        <v/>
      </c>
      <c r="K445" s="229" t="str">
        <f t="shared" si="21"/>
        <v/>
      </c>
    </row>
    <row r="446" spans="6:11">
      <c r="F446" s="198" t="s">
        <v>1006</v>
      </c>
      <c r="G446" s="198" t="s">
        <v>1006</v>
      </c>
      <c r="H446" s="198" t="str">
        <f t="shared" si="18"/>
        <v/>
      </c>
      <c r="I446" s="228" t="str">
        <f t="shared" si="19"/>
        <v/>
      </c>
      <c r="J446" s="228" t="str">
        <f t="shared" si="20"/>
        <v/>
      </c>
      <c r="K446" s="229" t="str">
        <f t="shared" si="21"/>
        <v/>
      </c>
    </row>
    <row r="447" spans="6:11">
      <c r="F447" s="198" t="s">
        <v>1006</v>
      </c>
      <c r="G447" s="198" t="s">
        <v>1006</v>
      </c>
      <c r="H447" s="198" t="str">
        <f t="shared" si="18"/>
        <v/>
      </c>
      <c r="I447" s="228" t="str">
        <f t="shared" si="19"/>
        <v/>
      </c>
      <c r="J447" s="228" t="str">
        <f t="shared" si="20"/>
        <v/>
      </c>
      <c r="K447" s="229" t="str">
        <f t="shared" si="21"/>
        <v/>
      </c>
    </row>
    <row r="448" spans="6:11">
      <c r="F448" s="198" t="s">
        <v>1006</v>
      </c>
      <c r="G448" s="198" t="s">
        <v>1006</v>
      </c>
      <c r="H448" s="198" t="str">
        <f t="shared" si="18"/>
        <v/>
      </c>
      <c r="I448" s="228" t="str">
        <f t="shared" si="19"/>
        <v/>
      </c>
      <c r="J448" s="228" t="str">
        <f t="shared" si="20"/>
        <v/>
      </c>
      <c r="K448" s="229" t="str">
        <f t="shared" si="21"/>
        <v/>
      </c>
    </row>
    <row r="449" spans="6:11">
      <c r="F449" s="198" t="s">
        <v>1006</v>
      </c>
      <c r="G449" s="198" t="s">
        <v>1006</v>
      </c>
      <c r="H449" s="198" t="str">
        <f t="shared" si="18"/>
        <v/>
      </c>
      <c r="I449" s="228" t="str">
        <f t="shared" si="19"/>
        <v/>
      </c>
      <c r="J449" s="228" t="str">
        <f t="shared" si="20"/>
        <v/>
      </c>
      <c r="K449" s="229" t="str">
        <f t="shared" si="21"/>
        <v/>
      </c>
    </row>
    <row r="450" spans="6:11">
      <c r="F450" s="198" t="s">
        <v>1006</v>
      </c>
      <c r="G450" s="198" t="s">
        <v>1006</v>
      </c>
      <c r="H450" s="198" t="str">
        <f t="shared" si="18"/>
        <v/>
      </c>
      <c r="I450" s="228" t="str">
        <f t="shared" si="19"/>
        <v/>
      </c>
      <c r="J450" s="228" t="str">
        <f t="shared" si="20"/>
        <v/>
      </c>
      <c r="K450" s="229" t="str">
        <f t="shared" si="21"/>
        <v/>
      </c>
    </row>
    <row r="451" spans="6:11">
      <c r="F451" s="198" t="s">
        <v>1006</v>
      </c>
      <c r="G451" s="198" t="s">
        <v>1006</v>
      </c>
      <c r="H451" s="198" t="str">
        <f t="shared" si="18"/>
        <v/>
      </c>
      <c r="I451" s="228" t="str">
        <f t="shared" si="19"/>
        <v/>
      </c>
      <c r="J451" s="228" t="str">
        <f t="shared" si="20"/>
        <v/>
      </c>
      <c r="K451" s="229" t="str">
        <f t="shared" si="21"/>
        <v/>
      </c>
    </row>
    <row r="452" spans="6:11">
      <c r="F452" s="198" t="s">
        <v>1006</v>
      </c>
      <c r="G452" s="198" t="s">
        <v>1006</v>
      </c>
      <c r="H452" s="198" t="str">
        <f t="shared" ref="H452:H515" si="22">IF(F452&lt;G452,F452,G452)</f>
        <v/>
      </c>
      <c r="I452" s="228" t="str">
        <f t="shared" ref="I452:I515" si="23">IF(DAY(B452)=1,600,"")</f>
        <v/>
      </c>
      <c r="J452" s="228" t="str">
        <f t="shared" ref="J452:J515" si="24">IF(DAY(B452)=15,MID(A452,1,1),"")</f>
        <v/>
      </c>
      <c r="K452" s="229" t="str">
        <f t="shared" si="21"/>
        <v/>
      </c>
    </row>
    <row r="453" spans="6:11">
      <c r="F453" s="198" t="s">
        <v>1006</v>
      </c>
      <c r="G453" s="198" t="s">
        <v>1006</v>
      </c>
      <c r="H453" s="198" t="str">
        <f t="shared" si="22"/>
        <v/>
      </c>
      <c r="I453" s="228" t="str">
        <f t="shared" si="23"/>
        <v/>
      </c>
      <c r="J453" s="228" t="str">
        <f t="shared" si="24"/>
        <v/>
      </c>
      <c r="K453" s="229" t="str">
        <f t="shared" si="21"/>
        <v/>
      </c>
    </row>
    <row r="454" spans="6:11">
      <c r="F454" s="198" t="s">
        <v>1006</v>
      </c>
      <c r="G454" s="198" t="s">
        <v>1006</v>
      </c>
      <c r="H454" s="198" t="str">
        <f t="shared" si="22"/>
        <v/>
      </c>
      <c r="I454" s="228" t="str">
        <f t="shared" si="23"/>
        <v/>
      </c>
      <c r="J454" s="228" t="str">
        <f t="shared" si="24"/>
        <v/>
      </c>
      <c r="K454" s="229" t="str">
        <f t="shared" si="21"/>
        <v/>
      </c>
    </row>
    <row r="455" spans="6:11">
      <c r="F455" s="198" t="s">
        <v>1006</v>
      </c>
      <c r="G455" s="198" t="s">
        <v>1006</v>
      </c>
      <c r="H455" s="198" t="str">
        <f t="shared" si="22"/>
        <v/>
      </c>
      <c r="I455" s="228" t="str">
        <f t="shared" si="23"/>
        <v/>
      </c>
      <c r="J455" s="228" t="str">
        <f t="shared" si="24"/>
        <v/>
      </c>
      <c r="K455" s="229" t="str">
        <f t="shared" si="21"/>
        <v/>
      </c>
    </row>
    <row r="456" spans="6:11">
      <c r="F456" s="198" t="s">
        <v>1006</v>
      </c>
      <c r="G456" s="198" t="s">
        <v>1006</v>
      </c>
      <c r="H456" s="198" t="str">
        <f t="shared" si="22"/>
        <v/>
      </c>
      <c r="I456" s="228" t="str">
        <f t="shared" si="23"/>
        <v/>
      </c>
      <c r="J456" s="228" t="str">
        <f t="shared" si="24"/>
        <v/>
      </c>
      <c r="K456" s="229" t="str">
        <f t="shared" si="21"/>
        <v/>
      </c>
    </row>
    <row r="457" spans="6:11">
      <c r="F457" s="198" t="s">
        <v>1006</v>
      </c>
      <c r="G457" s="198" t="s">
        <v>1006</v>
      </c>
      <c r="H457" s="198" t="str">
        <f t="shared" si="22"/>
        <v/>
      </c>
      <c r="I457" s="228" t="str">
        <f t="shared" si="23"/>
        <v/>
      </c>
      <c r="J457" s="228" t="str">
        <f t="shared" si="24"/>
        <v/>
      </c>
      <c r="K457" s="229" t="str">
        <f t="shared" si="21"/>
        <v/>
      </c>
    </row>
    <row r="458" spans="6:11">
      <c r="F458" s="198" t="s">
        <v>1006</v>
      </c>
      <c r="G458" s="198" t="s">
        <v>1006</v>
      </c>
      <c r="H458" s="198" t="str">
        <f t="shared" si="22"/>
        <v/>
      </c>
      <c r="I458" s="228" t="str">
        <f t="shared" si="23"/>
        <v/>
      </c>
      <c r="J458" s="228" t="str">
        <f t="shared" si="24"/>
        <v/>
      </c>
      <c r="K458" s="229" t="str">
        <f t="shared" si="21"/>
        <v/>
      </c>
    </row>
    <row r="459" spans="6:11">
      <c r="F459" s="198" t="s">
        <v>1006</v>
      </c>
      <c r="G459" s="198" t="s">
        <v>1006</v>
      </c>
      <c r="H459" s="198" t="str">
        <f t="shared" si="22"/>
        <v/>
      </c>
      <c r="I459" s="228" t="str">
        <f t="shared" si="23"/>
        <v/>
      </c>
      <c r="J459" s="228" t="str">
        <f t="shared" si="24"/>
        <v/>
      </c>
      <c r="K459" s="229" t="str">
        <f t="shared" si="21"/>
        <v/>
      </c>
    </row>
    <row r="460" spans="6:11">
      <c r="F460" s="198" t="s">
        <v>1006</v>
      </c>
      <c r="G460" s="198" t="s">
        <v>1006</v>
      </c>
      <c r="H460" s="198" t="str">
        <f t="shared" si="22"/>
        <v/>
      </c>
      <c r="I460" s="228" t="str">
        <f t="shared" si="23"/>
        <v/>
      </c>
      <c r="J460" s="228" t="str">
        <f t="shared" si="24"/>
        <v/>
      </c>
      <c r="K460" s="229" t="str">
        <f t="shared" si="21"/>
        <v/>
      </c>
    </row>
    <row r="461" spans="6:11">
      <c r="F461" s="198" t="s">
        <v>1006</v>
      </c>
      <c r="G461" s="198" t="s">
        <v>1006</v>
      </c>
      <c r="H461" s="198" t="str">
        <f t="shared" si="22"/>
        <v/>
      </c>
      <c r="I461" s="228" t="str">
        <f t="shared" si="23"/>
        <v/>
      </c>
      <c r="J461" s="228" t="str">
        <f t="shared" si="24"/>
        <v/>
      </c>
      <c r="K461" s="229" t="str">
        <f t="shared" si="21"/>
        <v/>
      </c>
    </row>
    <row r="462" spans="6:11">
      <c r="F462" s="198" t="s">
        <v>1006</v>
      </c>
      <c r="G462" s="198" t="s">
        <v>1006</v>
      </c>
      <c r="H462" s="198" t="str">
        <f t="shared" si="22"/>
        <v/>
      </c>
      <c r="I462" s="228" t="str">
        <f t="shared" si="23"/>
        <v/>
      </c>
      <c r="J462" s="228" t="str">
        <f t="shared" si="24"/>
        <v/>
      </c>
      <c r="K462" s="229" t="str">
        <f t="shared" si="21"/>
        <v/>
      </c>
    </row>
    <row r="463" spans="6:11">
      <c r="F463" s="198" t="s">
        <v>1006</v>
      </c>
      <c r="G463" s="198" t="s">
        <v>1006</v>
      </c>
      <c r="H463" s="198" t="str">
        <f t="shared" si="22"/>
        <v/>
      </c>
      <c r="I463" s="228" t="str">
        <f t="shared" si="23"/>
        <v/>
      </c>
      <c r="J463" s="228" t="str">
        <f t="shared" si="24"/>
        <v/>
      </c>
      <c r="K463" s="229" t="str">
        <f t="shared" si="21"/>
        <v/>
      </c>
    </row>
    <row r="464" spans="6:11">
      <c r="F464" s="198" t="s">
        <v>1006</v>
      </c>
      <c r="G464" s="198" t="s">
        <v>1006</v>
      </c>
      <c r="H464" s="198" t="str">
        <f t="shared" si="22"/>
        <v/>
      </c>
      <c r="I464" s="228" t="str">
        <f t="shared" si="23"/>
        <v/>
      </c>
      <c r="J464" s="228" t="str">
        <f t="shared" si="24"/>
        <v/>
      </c>
      <c r="K464" s="229" t="str">
        <f t="shared" si="21"/>
        <v/>
      </c>
    </row>
    <row r="465" spans="6:11">
      <c r="F465" s="198" t="s">
        <v>1006</v>
      </c>
      <c r="G465" s="198" t="s">
        <v>1006</v>
      </c>
      <c r="H465" s="198" t="str">
        <f t="shared" si="22"/>
        <v/>
      </c>
      <c r="I465" s="228" t="str">
        <f t="shared" si="23"/>
        <v/>
      </c>
      <c r="J465" s="228" t="str">
        <f t="shared" si="24"/>
        <v/>
      </c>
      <c r="K465" s="229" t="str">
        <f t="shared" si="21"/>
        <v/>
      </c>
    </row>
    <row r="466" spans="6:11">
      <c r="F466" s="198" t="s">
        <v>1006</v>
      </c>
      <c r="G466" s="198" t="s">
        <v>1006</v>
      </c>
      <c r="H466" s="198" t="str">
        <f t="shared" si="22"/>
        <v/>
      </c>
      <c r="I466" s="228" t="str">
        <f t="shared" si="23"/>
        <v/>
      </c>
      <c r="J466" s="228" t="str">
        <f t="shared" si="24"/>
        <v/>
      </c>
      <c r="K466" s="229" t="str">
        <f t="shared" si="21"/>
        <v/>
      </c>
    </row>
    <row r="467" spans="6:11">
      <c r="F467" s="198" t="s">
        <v>1006</v>
      </c>
      <c r="G467" s="198" t="s">
        <v>1006</v>
      </c>
      <c r="H467" s="198" t="str">
        <f t="shared" si="22"/>
        <v/>
      </c>
      <c r="I467" s="228" t="str">
        <f t="shared" si="23"/>
        <v/>
      </c>
      <c r="J467" s="228" t="str">
        <f t="shared" si="24"/>
        <v/>
      </c>
      <c r="K467" s="229" t="str">
        <f t="shared" si="21"/>
        <v/>
      </c>
    </row>
    <row r="468" spans="6:11">
      <c r="F468" s="198" t="s">
        <v>1006</v>
      </c>
      <c r="G468" s="198" t="s">
        <v>1006</v>
      </c>
      <c r="H468" s="198" t="str">
        <f t="shared" si="22"/>
        <v/>
      </c>
      <c r="I468" s="228" t="str">
        <f t="shared" si="23"/>
        <v/>
      </c>
      <c r="J468" s="228" t="str">
        <f t="shared" si="24"/>
        <v/>
      </c>
      <c r="K468" s="229" t="str">
        <f t="shared" ref="K468:K531" si="25">IF(DAY(B468)=15,G468,"")</f>
        <v/>
      </c>
    </row>
    <row r="469" spans="6:11">
      <c r="F469" s="198" t="s">
        <v>1006</v>
      </c>
      <c r="G469" s="198" t="s">
        <v>1006</v>
      </c>
      <c r="H469" s="198" t="str">
        <f t="shared" si="22"/>
        <v/>
      </c>
      <c r="I469" s="228" t="str">
        <f t="shared" si="23"/>
        <v/>
      </c>
      <c r="J469" s="228" t="str">
        <f t="shared" si="24"/>
        <v/>
      </c>
      <c r="K469" s="229" t="str">
        <f t="shared" si="25"/>
        <v/>
      </c>
    </row>
    <row r="470" spans="6:11">
      <c r="F470" s="198" t="s">
        <v>1006</v>
      </c>
      <c r="G470" s="198" t="s">
        <v>1006</v>
      </c>
      <c r="H470" s="198" t="str">
        <f t="shared" si="22"/>
        <v/>
      </c>
      <c r="I470" s="228" t="str">
        <f t="shared" si="23"/>
        <v/>
      </c>
      <c r="J470" s="228" t="str">
        <f t="shared" si="24"/>
        <v/>
      </c>
      <c r="K470" s="229" t="str">
        <f t="shared" si="25"/>
        <v/>
      </c>
    </row>
    <row r="471" spans="6:11">
      <c r="F471" s="198" t="s">
        <v>1006</v>
      </c>
      <c r="G471" s="198" t="s">
        <v>1006</v>
      </c>
      <c r="H471" s="198" t="str">
        <f t="shared" si="22"/>
        <v/>
      </c>
      <c r="I471" s="228" t="str">
        <f t="shared" si="23"/>
        <v/>
      </c>
      <c r="J471" s="228" t="str">
        <f t="shared" si="24"/>
        <v/>
      </c>
      <c r="K471" s="229" t="str">
        <f t="shared" si="25"/>
        <v/>
      </c>
    </row>
    <row r="472" spans="6:11">
      <c r="F472" s="198" t="s">
        <v>1006</v>
      </c>
      <c r="G472" s="198" t="s">
        <v>1006</v>
      </c>
      <c r="H472" s="198" t="str">
        <f t="shared" si="22"/>
        <v/>
      </c>
      <c r="I472" s="228" t="str">
        <f t="shared" si="23"/>
        <v/>
      </c>
      <c r="J472" s="228" t="str">
        <f t="shared" si="24"/>
        <v/>
      </c>
      <c r="K472" s="229" t="str">
        <f t="shared" si="25"/>
        <v/>
      </c>
    </row>
    <row r="473" spans="6:11">
      <c r="F473" s="198" t="s">
        <v>1006</v>
      </c>
      <c r="G473" s="198" t="s">
        <v>1006</v>
      </c>
      <c r="H473" s="198" t="str">
        <f t="shared" si="22"/>
        <v/>
      </c>
      <c r="I473" s="228" t="str">
        <f t="shared" si="23"/>
        <v/>
      </c>
      <c r="J473" s="228" t="str">
        <f t="shared" si="24"/>
        <v/>
      </c>
      <c r="K473" s="229" t="str">
        <f t="shared" si="25"/>
        <v/>
      </c>
    </row>
    <row r="474" spans="6:11">
      <c r="F474" s="198" t="s">
        <v>1006</v>
      </c>
      <c r="G474" s="198" t="s">
        <v>1006</v>
      </c>
      <c r="H474" s="198" t="str">
        <f t="shared" si="22"/>
        <v/>
      </c>
      <c r="I474" s="228" t="str">
        <f t="shared" si="23"/>
        <v/>
      </c>
      <c r="J474" s="228" t="str">
        <f t="shared" si="24"/>
        <v/>
      </c>
      <c r="K474" s="229" t="str">
        <f t="shared" si="25"/>
        <v/>
      </c>
    </row>
    <row r="475" spans="6:11">
      <c r="F475" s="198" t="s">
        <v>1006</v>
      </c>
      <c r="G475" s="198" t="s">
        <v>1006</v>
      </c>
      <c r="H475" s="198" t="str">
        <f t="shared" si="22"/>
        <v/>
      </c>
      <c r="I475" s="228" t="str">
        <f t="shared" si="23"/>
        <v/>
      </c>
      <c r="J475" s="228" t="str">
        <f t="shared" si="24"/>
        <v/>
      </c>
      <c r="K475" s="229" t="str">
        <f t="shared" si="25"/>
        <v/>
      </c>
    </row>
    <row r="476" spans="6:11">
      <c r="F476" s="198" t="s">
        <v>1006</v>
      </c>
      <c r="G476" s="198" t="s">
        <v>1006</v>
      </c>
      <c r="H476" s="198" t="str">
        <f t="shared" si="22"/>
        <v/>
      </c>
      <c r="I476" s="228" t="str">
        <f t="shared" si="23"/>
        <v/>
      </c>
      <c r="J476" s="228" t="str">
        <f t="shared" si="24"/>
        <v/>
      </c>
      <c r="K476" s="229" t="str">
        <f t="shared" si="25"/>
        <v/>
      </c>
    </row>
    <row r="477" spans="6:11">
      <c r="F477" s="198" t="s">
        <v>1006</v>
      </c>
      <c r="G477" s="198" t="s">
        <v>1006</v>
      </c>
      <c r="H477" s="198" t="str">
        <f t="shared" si="22"/>
        <v/>
      </c>
      <c r="I477" s="228" t="str">
        <f t="shared" si="23"/>
        <v/>
      </c>
      <c r="J477" s="228" t="str">
        <f t="shared" si="24"/>
        <v/>
      </c>
      <c r="K477" s="229" t="str">
        <f t="shared" si="25"/>
        <v/>
      </c>
    </row>
    <row r="478" spans="6:11">
      <c r="F478" s="198" t="s">
        <v>1006</v>
      </c>
      <c r="G478" s="198" t="s">
        <v>1006</v>
      </c>
      <c r="H478" s="198" t="str">
        <f t="shared" si="22"/>
        <v/>
      </c>
      <c r="I478" s="228" t="str">
        <f t="shared" si="23"/>
        <v/>
      </c>
      <c r="J478" s="228" t="str">
        <f t="shared" si="24"/>
        <v/>
      </c>
      <c r="K478" s="229" t="str">
        <f t="shared" si="25"/>
        <v/>
      </c>
    </row>
    <row r="479" spans="6:11">
      <c r="F479" s="198" t="s">
        <v>1006</v>
      </c>
      <c r="G479" s="198" t="s">
        <v>1006</v>
      </c>
      <c r="H479" s="198" t="str">
        <f t="shared" si="22"/>
        <v/>
      </c>
      <c r="I479" s="228" t="str">
        <f t="shared" si="23"/>
        <v/>
      </c>
      <c r="J479" s="228" t="str">
        <f t="shared" si="24"/>
        <v/>
      </c>
      <c r="K479" s="229" t="str">
        <f t="shared" si="25"/>
        <v/>
      </c>
    </row>
    <row r="480" spans="6:11">
      <c r="F480" s="198" t="s">
        <v>1006</v>
      </c>
      <c r="G480" s="198" t="s">
        <v>1006</v>
      </c>
      <c r="H480" s="198" t="str">
        <f t="shared" si="22"/>
        <v/>
      </c>
      <c r="I480" s="228" t="str">
        <f t="shared" si="23"/>
        <v/>
      </c>
      <c r="J480" s="228" t="str">
        <f t="shared" si="24"/>
        <v/>
      </c>
      <c r="K480" s="229" t="str">
        <f t="shared" si="25"/>
        <v/>
      </c>
    </row>
    <row r="481" spans="6:11">
      <c r="F481" s="198" t="s">
        <v>1006</v>
      </c>
      <c r="G481" s="198" t="s">
        <v>1006</v>
      </c>
      <c r="H481" s="198" t="str">
        <f t="shared" si="22"/>
        <v/>
      </c>
      <c r="I481" s="228" t="str">
        <f t="shared" si="23"/>
        <v/>
      </c>
      <c r="J481" s="228" t="str">
        <f t="shared" si="24"/>
        <v/>
      </c>
      <c r="K481" s="229" t="str">
        <f t="shared" si="25"/>
        <v/>
      </c>
    </row>
    <row r="482" spans="6:11">
      <c r="F482" s="198" t="s">
        <v>1006</v>
      </c>
      <c r="G482" s="198" t="s">
        <v>1006</v>
      </c>
      <c r="H482" s="198" t="str">
        <f t="shared" si="22"/>
        <v/>
      </c>
      <c r="I482" s="228" t="str">
        <f t="shared" si="23"/>
        <v/>
      </c>
      <c r="J482" s="228" t="str">
        <f t="shared" si="24"/>
        <v/>
      </c>
      <c r="K482" s="229" t="str">
        <f t="shared" si="25"/>
        <v/>
      </c>
    </row>
    <row r="483" spans="6:11">
      <c r="F483" s="198" t="s">
        <v>1006</v>
      </c>
      <c r="G483" s="198" t="s">
        <v>1006</v>
      </c>
      <c r="H483" s="198" t="str">
        <f t="shared" si="22"/>
        <v/>
      </c>
      <c r="I483" s="228" t="str">
        <f t="shared" si="23"/>
        <v/>
      </c>
      <c r="J483" s="228" t="str">
        <f t="shared" si="24"/>
        <v/>
      </c>
      <c r="K483" s="229" t="str">
        <f t="shared" si="25"/>
        <v/>
      </c>
    </row>
    <row r="484" spans="6:11">
      <c r="F484" s="198" t="s">
        <v>1006</v>
      </c>
      <c r="G484" s="198" t="s">
        <v>1006</v>
      </c>
      <c r="H484" s="198" t="str">
        <f t="shared" si="22"/>
        <v/>
      </c>
      <c r="I484" s="228" t="str">
        <f t="shared" si="23"/>
        <v/>
      </c>
      <c r="J484" s="228" t="str">
        <f t="shared" si="24"/>
        <v/>
      </c>
      <c r="K484" s="229" t="str">
        <f t="shared" si="25"/>
        <v/>
      </c>
    </row>
    <row r="485" spans="6:11">
      <c r="F485" s="198" t="s">
        <v>1006</v>
      </c>
      <c r="G485" s="198" t="s">
        <v>1006</v>
      </c>
      <c r="H485" s="198" t="str">
        <f t="shared" si="22"/>
        <v/>
      </c>
      <c r="I485" s="228" t="str">
        <f t="shared" si="23"/>
        <v/>
      </c>
      <c r="J485" s="228" t="str">
        <f t="shared" si="24"/>
        <v/>
      </c>
      <c r="K485" s="229" t="str">
        <f t="shared" si="25"/>
        <v/>
      </c>
    </row>
    <row r="486" spans="6:11">
      <c r="F486" s="198" t="s">
        <v>1006</v>
      </c>
      <c r="G486" s="198" t="s">
        <v>1006</v>
      </c>
      <c r="H486" s="198" t="str">
        <f t="shared" si="22"/>
        <v/>
      </c>
      <c r="I486" s="228" t="str">
        <f t="shared" si="23"/>
        <v/>
      </c>
      <c r="J486" s="228" t="str">
        <f t="shared" si="24"/>
        <v/>
      </c>
      <c r="K486" s="229" t="str">
        <f t="shared" si="25"/>
        <v/>
      </c>
    </row>
    <row r="487" spans="6:11">
      <c r="F487" s="198" t="s">
        <v>1006</v>
      </c>
      <c r="G487" s="198" t="s">
        <v>1006</v>
      </c>
      <c r="H487" s="198" t="str">
        <f t="shared" si="22"/>
        <v/>
      </c>
      <c r="I487" s="228" t="str">
        <f t="shared" si="23"/>
        <v/>
      </c>
      <c r="J487" s="228" t="str">
        <f t="shared" si="24"/>
        <v/>
      </c>
      <c r="K487" s="229" t="str">
        <f t="shared" si="25"/>
        <v/>
      </c>
    </row>
    <row r="488" spans="6:11">
      <c r="F488" s="198" t="s">
        <v>1006</v>
      </c>
      <c r="G488" s="198" t="s">
        <v>1006</v>
      </c>
      <c r="H488" s="198" t="str">
        <f t="shared" si="22"/>
        <v/>
      </c>
      <c r="I488" s="228" t="str">
        <f t="shared" si="23"/>
        <v/>
      </c>
      <c r="J488" s="228" t="str">
        <f t="shared" si="24"/>
        <v/>
      </c>
      <c r="K488" s="229" t="str">
        <f t="shared" si="25"/>
        <v/>
      </c>
    </row>
    <row r="489" spans="6:11">
      <c r="F489" s="198" t="s">
        <v>1006</v>
      </c>
      <c r="G489" s="198" t="s">
        <v>1006</v>
      </c>
      <c r="H489" s="198" t="str">
        <f t="shared" si="22"/>
        <v/>
      </c>
      <c r="I489" s="228" t="str">
        <f t="shared" si="23"/>
        <v/>
      </c>
      <c r="J489" s="228" t="str">
        <f t="shared" si="24"/>
        <v/>
      </c>
      <c r="K489" s="229" t="str">
        <f t="shared" si="25"/>
        <v/>
      </c>
    </row>
    <row r="490" spans="6:11">
      <c r="F490" s="198" t="s">
        <v>1006</v>
      </c>
      <c r="G490" s="198" t="s">
        <v>1006</v>
      </c>
      <c r="H490" s="198" t="str">
        <f t="shared" si="22"/>
        <v/>
      </c>
      <c r="I490" s="228" t="str">
        <f t="shared" si="23"/>
        <v/>
      </c>
      <c r="J490" s="228" t="str">
        <f t="shared" si="24"/>
        <v/>
      </c>
      <c r="K490" s="229" t="str">
        <f t="shared" si="25"/>
        <v/>
      </c>
    </row>
    <row r="491" spans="6:11">
      <c r="F491" s="198" t="s">
        <v>1006</v>
      </c>
      <c r="G491" s="198" t="s">
        <v>1006</v>
      </c>
      <c r="H491" s="198" t="str">
        <f t="shared" si="22"/>
        <v/>
      </c>
      <c r="I491" s="228" t="str">
        <f t="shared" si="23"/>
        <v/>
      </c>
      <c r="J491" s="228" t="str">
        <f t="shared" si="24"/>
        <v/>
      </c>
      <c r="K491" s="229" t="str">
        <f t="shared" si="25"/>
        <v/>
      </c>
    </row>
    <row r="492" spans="6:11">
      <c r="F492" s="198" t="s">
        <v>1006</v>
      </c>
      <c r="G492" s="198" t="s">
        <v>1006</v>
      </c>
      <c r="H492" s="198" t="str">
        <f t="shared" si="22"/>
        <v/>
      </c>
      <c r="I492" s="228" t="str">
        <f t="shared" si="23"/>
        <v/>
      </c>
      <c r="J492" s="228" t="str">
        <f t="shared" si="24"/>
        <v/>
      </c>
      <c r="K492" s="229" t="str">
        <f t="shared" si="25"/>
        <v/>
      </c>
    </row>
    <row r="493" spans="6:11">
      <c r="F493" s="198" t="s">
        <v>1006</v>
      </c>
      <c r="G493" s="198" t="s">
        <v>1006</v>
      </c>
      <c r="H493" s="198" t="str">
        <f t="shared" si="22"/>
        <v/>
      </c>
      <c r="I493" s="228" t="str">
        <f t="shared" si="23"/>
        <v/>
      </c>
      <c r="J493" s="228" t="str">
        <f t="shared" si="24"/>
        <v/>
      </c>
      <c r="K493" s="229" t="str">
        <f t="shared" si="25"/>
        <v/>
      </c>
    </row>
    <row r="494" spans="6:11">
      <c r="F494" s="198" t="s">
        <v>1006</v>
      </c>
      <c r="G494" s="198" t="s">
        <v>1006</v>
      </c>
      <c r="H494" s="198" t="str">
        <f t="shared" si="22"/>
        <v/>
      </c>
      <c r="I494" s="228" t="str">
        <f t="shared" si="23"/>
        <v/>
      </c>
      <c r="J494" s="228" t="str">
        <f t="shared" si="24"/>
        <v/>
      </c>
      <c r="K494" s="229" t="str">
        <f t="shared" si="25"/>
        <v/>
      </c>
    </row>
    <row r="495" spans="6:11">
      <c r="F495" s="198" t="s">
        <v>1006</v>
      </c>
      <c r="G495" s="198" t="s">
        <v>1006</v>
      </c>
      <c r="H495" s="198" t="str">
        <f t="shared" si="22"/>
        <v/>
      </c>
      <c r="I495" s="228" t="str">
        <f t="shared" si="23"/>
        <v/>
      </c>
      <c r="J495" s="228" t="str">
        <f t="shared" si="24"/>
        <v/>
      </c>
      <c r="K495" s="229" t="str">
        <f t="shared" si="25"/>
        <v/>
      </c>
    </row>
    <row r="496" spans="6:11">
      <c r="F496" s="198" t="s">
        <v>1006</v>
      </c>
      <c r="G496" s="198" t="s">
        <v>1006</v>
      </c>
      <c r="H496" s="198" t="str">
        <f t="shared" si="22"/>
        <v/>
      </c>
      <c r="I496" s="228" t="str">
        <f t="shared" si="23"/>
        <v/>
      </c>
      <c r="J496" s="228" t="str">
        <f t="shared" si="24"/>
        <v/>
      </c>
      <c r="K496" s="229" t="str">
        <f t="shared" si="25"/>
        <v/>
      </c>
    </row>
    <row r="497" spans="6:11">
      <c r="F497" s="198" t="s">
        <v>1006</v>
      </c>
      <c r="G497" s="198" t="s">
        <v>1006</v>
      </c>
      <c r="H497" s="198" t="str">
        <f t="shared" si="22"/>
        <v/>
      </c>
      <c r="I497" s="228" t="str">
        <f t="shared" si="23"/>
        <v/>
      </c>
      <c r="J497" s="228" t="str">
        <f t="shared" si="24"/>
        <v/>
      </c>
      <c r="K497" s="229" t="str">
        <f t="shared" si="25"/>
        <v/>
      </c>
    </row>
    <row r="498" spans="6:11">
      <c r="F498" s="198" t="s">
        <v>1006</v>
      </c>
      <c r="G498" s="198" t="s">
        <v>1006</v>
      </c>
      <c r="H498" s="198" t="str">
        <f t="shared" si="22"/>
        <v/>
      </c>
      <c r="I498" s="228" t="str">
        <f t="shared" si="23"/>
        <v/>
      </c>
      <c r="J498" s="228" t="str">
        <f t="shared" si="24"/>
        <v/>
      </c>
      <c r="K498" s="229" t="str">
        <f t="shared" si="25"/>
        <v/>
      </c>
    </row>
    <row r="499" spans="6:11">
      <c r="F499" s="198" t="s">
        <v>1006</v>
      </c>
      <c r="G499" s="198" t="s">
        <v>1006</v>
      </c>
      <c r="H499" s="198" t="str">
        <f t="shared" si="22"/>
        <v/>
      </c>
      <c r="I499" s="228" t="str">
        <f t="shared" si="23"/>
        <v/>
      </c>
      <c r="J499" s="228" t="str">
        <f t="shared" si="24"/>
        <v/>
      </c>
      <c r="K499" s="229" t="str">
        <f t="shared" si="25"/>
        <v/>
      </c>
    </row>
    <row r="500" spans="6:11">
      <c r="F500" s="198" t="s">
        <v>1006</v>
      </c>
      <c r="G500" s="198" t="s">
        <v>1006</v>
      </c>
      <c r="H500" s="198" t="str">
        <f t="shared" si="22"/>
        <v/>
      </c>
      <c r="I500" s="228" t="str">
        <f t="shared" si="23"/>
        <v/>
      </c>
      <c r="J500" s="228" t="str">
        <f t="shared" si="24"/>
        <v/>
      </c>
      <c r="K500" s="229" t="str">
        <f t="shared" si="25"/>
        <v/>
      </c>
    </row>
    <row r="501" spans="6:11">
      <c r="F501" s="198" t="s">
        <v>1006</v>
      </c>
      <c r="G501" s="198" t="s">
        <v>1006</v>
      </c>
      <c r="H501" s="198" t="str">
        <f t="shared" si="22"/>
        <v/>
      </c>
      <c r="I501" s="228" t="str">
        <f t="shared" si="23"/>
        <v/>
      </c>
      <c r="J501" s="228" t="str">
        <f t="shared" si="24"/>
        <v/>
      </c>
      <c r="K501" s="229" t="str">
        <f t="shared" si="25"/>
        <v/>
      </c>
    </row>
    <row r="502" spans="6:11">
      <c r="F502" s="198" t="s">
        <v>1006</v>
      </c>
      <c r="G502" s="198" t="s">
        <v>1006</v>
      </c>
      <c r="H502" s="198" t="str">
        <f t="shared" si="22"/>
        <v/>
      </c>
      <c r="I502" s="228" t="str">
        <f t="shared" si="23"/>
        <v/>
      </c>
      <c r="J502" s="228" t="str">
        <f t="shared" si="24"/>
        <v/>
      </c>
      <c r="K502" s="229" t="str">
        <f t="shared" si="25"/>
        <v/>
      </c>
    </row>
    <row r="503" spans="6:11">
      <c r="F503" s="198" t="s">
        <v>1006</v>
      </c>
      <c r="G503" s="198" t="s">
        <v>1006</v>
      </c>
      <c r="H503" s="198" t="str">
        <f t="shared" si="22"/>
        <v/>
      </c>
      <c r="I503" s="228" t="str">
        <f t="shared" si="23"/>
        <v/>
      </c>
      <c r="J503" s="228" t="str">
        <f t="shared" si="24"/>
        <v/>
      </c>
      <c r="K503" s="229" t="str">
        <f t="shared" si="25"/>
        <v/>
      </c>
    </row>
    <row r="504" spans="6:11">
      <c r="F504" s="198" t="s">
        <v>1006</v>
      </c>
      <c r="G504" s="198" t="s">
        <v>1006</v>
      </c>
      <c r="H504" s="198" t="str">
        <f t="shared" si="22"/>
        <v/>
      </c>
      <c r="I504" s="228" t="str">
        <f t="shared" si="23"/>
        <v/>
      </c>
      <c r="J504" s="228" t="str">
        <f t="shared" si="24"/>
        <v/>
      </c>
      <c r="K504" s="229" t="str">
        <f t="shared" si="25"/>
        <v/>
      </c>
    </row>
    <row r="505" spans="6:11">
      <c r="F505" s="198" t="s">
        <v>1006</v>
      </c>
      <c r="G505" s="198" t="s">
        <v>1006</v>
      </c>
      <c r="H505" s="198" t="str">
        <f t="shared" si="22"/>
        <v/>
      </c>
      <c r="I505" s="228" t="str">
        <f t="shared" si="23"/>
        <v/>
      </c>
      <c r="J505" s="228" t="str">
        <f t="shared" si="24"/>
        <v/>
      </c>
      <c r="K505" s="229" t="str">
        <f t="shared" si="25"/>
        <v/>
      </c>
    </row>
    <row r="506" spans="6:11">
      <c r="F506" s="198" t="s">
        <v>1006</v>
      </c>
      <c r="G506" s="198" t="s">
        <v>1006</v>
      </c>
      <c r="H506" s="198" t="str">
        <f t="shared" si="22"/>
        <v/>
      </c>
      <c r="I506" s="228" t="str">
        <f t="shared" si="23"/>
        <v/>
      </c>
      <c r="J506" s="228" t="str">
        <f t="shared" si="24"/>
        <v/>
      </c>
      <c r="K506" s="229" t="str">
        <f t="shared" si="25"/>
        <v/>
      </c>
    </row>
    <row r="507" spans="6:11">
      <c r="F507" s="198" t="s">
        <v>1006</v>
      </c>
      <c r="G507" s="198" t="s">
        <v>1006</v>
      </c>
      <c r="H507" s="198" t="str">
        <f t="shared" si="22"/>
        <v/>
      </c>
      <c r="I507" s="228" t="str">
        <f t="shared" si="23"/>
        <v/>
      </c>
      <c r="J507" s="228" t="str">
        <f t="shared" si="24"/>
        <v/>
      </c>
      <c r="K507" s="229" t="str">
        <f t="shared" si="25"/>
        <v/>
      </c>
    </row>
    <row r="508" spans="6:11">
      <c r="F508" s="198" t="s">
        <v>1006</v>
      </c>
      <c r="G508" s="198" t="s">
        <v>1006</v>
      </c>
      <c r="H508" s="198" t="str">
        <f t="shared" si="22"/>
        <v/>
      </c>
      <c r="I508" s="228" t="str">
        <f t="shared" si="23"/>
        <v/>
      </c>
      <c r="J508" s="228" t="str">
        <f t="shared" si="24"/>
        <v/>
      </c>
      <c r="K508" s="229" t="str">
        <f t="shared" si="25"/>
        <v/>
      </c>
    </row>
    <row r="509" spans="6:11">
      <c r="F509" s="198" t="s">
        <v>1006</v>
      </c>
      <c r="G509" s="198" t="s">
        <v>1006</v>
      </c>
      <c r="H509" s="198" t="str">
        <f t="shared" si="22"/>
        <v/>
      </c>
      <c r="I509" s="228" t="str">
        <f t="shared" si="23"/>
        <v/>
      </c>
      <c r="J509" s="228" t="str">
        <f t="shared" si="24"/>
        <v/>
      </c>
      <c r="K509" s="229" t="str">
        <f t="shared" si="25"/>
        <v/>
      </c>
    </row>
    <row r="510" spans="6:11">
      <c r="F510" s="198" t="s">
        <v>1006</v>
      </c>
      <c r="G510" s="198" t="s">
        <v>1006</v>
      </c>
      <c r="H510" s="198" t="str">
        <f t="shared" si="22"/>
        <v/>
      </c>
      <c r="I510" s="228" t="str">
        <f t="shared" si="23"/>
        <v/>
      </c>
      <c r="J510" s="228" t="str">
        <f t="shared" si="24"/>
        <v/>
      </c>
      <c r="K510" s="229" t="str">
        <f t="shared" si="25"/>
        <v/>
      </c>
    </row>
    <row r="511" spans="6:11">
      <c r="F511" s="198" t="s">
        <v>1006</v>
      </c>
      <c r="G511" s="198" t="s">
        <v>1006</v>
      </c>
      <c r="H511" s="198" t="str">
        <f t="shared" si="22"/>
        <v/>
      </c>
      <c r="I511" s="228" t="str">
        <f t="shared" si="23"/>
        <v/>
      </c>
      <c r="J511" s="228" t="str">
        <f t="shared" si="24"/>
        <v/>
      </c>
      <c r="K511" s="229" t="str">
        <f t="shared" si="25"/>
        <v/>
      </c>
    </row>
    <row r="512" spans="6:11">
      <c r="F512" s="198" t="s">
        <v>1006</v>
      </c>
      <c r="G512" s="198" t="s">
        <v>1006</v>
      </c>
      <c r="H512" s="198" t="str">
        <f t="shared" si="22"/>
        <v/>
      </c>
      <c r="I512" s="228" t="str">
        <f t="shared" si="23"/>
        <v/>
      </c>
      <c r="J512" s="228" t="str">
        <f t="shared" si="24"/>
        <v/>
      </c>
      <c r="K512" s="229" t="str">
        <f t="shared" si="25"/>
        <v/>
      </c>
    </row>
    <row r="513" spans="6:11">
      <c r="F513" s="198" t="s">
        <v>1006</v>
      </c>
      <c r="G513" s="198" t="s">
        <v>1006</v>
      </c>
      <c r="H513" s="198" t="str">
        <f t="shared" si="22"/>
        <v/>
      </c>
      <c r="I513" s="228" t="str">
        <f t="shared" si="23"/>
        <v/>
      </c>
      <c r="J513" s="228" t="str">
        <f t="shared" si="24"/>
        <v/>
      </c>
      <c r="K513" s="229" t="str">
        <f t="shared" si="25"/>
        <v/>
      </c>
    </row>
    <row r="514" spans="6:11">
      <c r="F514" s="198" t="s">
        <v>1006</v>
      </c>
      <c r="G514" s="198" t="s">
        <v>1006</v>
      </c>
      <c r="H514" s="198" t="str">
        <f t="shared" si="22"/>
        <v/>
      </c>
      <c r="I514" s="228" t="str">
        <f t="shared" si="23"/>
        <v/>
      </c>
      <c r="J514" s="228" t="str">
        <f t="shared" si="24"/>
        <v/>
      </c>
      <c r="K514" s="229" t="str">
        <f t="shared" si="25"/>
        <v/>
      </c>
    </row>
    <row r="515" spans="6:11">
      <c r="F515" s="198" t="s">
        <v>1006</v>
      </c>
      <c r="G515" s="198" t="s">
        <v>1006</v>
      </c>
      <c r="H515" s="198" t="str">
        <f t="shared" si="22"/>
        <v/>
      </c>
      <c r="I515" s="228" t="str">
        <f t="shared" si="23"/>
        <v/>
      </c>
      <c r="J515" s="228" t="str">
        <f t="shared" si="24"/>
        <v/>
      </c>
      <c r="K515" s="229" t="str">
        <f t="shared" si="25"/>
        <v/>
      </c>
    </row>
    <row r="516" spans="6:11">
      <c r="F516" s="198" t="s">
        <v>1006</v>
      </c>
      <c r="G516" s="198" t="s">
        <v>1006</v>
      </c>
      <c r="H516" s="198" t="str">
        <f t="shared" ref="H516:H579" si="26">IF(F516&lt;G516,F516,G516)</f>
        <v/>
      </c>
      <c r="I516" s="228" t="str">
        <f t="shared" ref="I516:I579" si="27">IF(DAY(B516)=1,600,"")</f>
        <v/>
      </c>
      <c r="J516" s="228" t="str">
        <f t="shared" ref="J516:J579" si="28">IF(DAY(B516)=15,MID(A516,1,1),"")</f>
        <v/>
      </c>
      <c r="K516" s="229" t="str">
        <f t="shared" si="25"/>
        <v/>
      </c>
    </row>
    <row r="517" spans="6:11">
      <c r="F517" s="198" t="s">
        <v>1006</v>
      </c>
      <c r="G517" s="198" t="s">
        <v>1006</v>
      </c>
      <c r="H517" s="198" t="str">
        <f t="shared" si="26"/>
        <v/>
      </c>
      <c r="I517" s="228" t="str">
        <f t="shared" si="27"/>
        <v/>
      </c>
      <c r="J517" s="228" t="str">
        <f t="shared" si="28"/>
        <v/>
      </c>
      <c r="K517" s="229" t="str">
        <f t="shared" si="25"/>
        <v/>
      </c>
    </row>
    <row r="518" spans="6:11">
      <c r="F518" s="198" t="s">
        <v>1006</v>
      </c>
      <c r="G518" s="198" t="s">
        <v>1006</v>
      </c>
      <c r="H518" s="198" t="str">
        <f t="shared" si="26"/>
        <v/>
      </c>
      <c r="I518" s="228" t="str">
        <f t="shared" si="27"/>
        <v/>
      </c>
      <c r="J518" s="228" t="str">
        <f t="shared" si="28"/>
        <v/>
      </c>
      <c r="K518" s="229" t="str">
        <f t="shared" si="25"/>
        <v/>
      </c>
    </row>
    <row r="519" spans="6:11">
      <c r="F519" s="198" t="s">
        <v>1006</v>
      </c>
      <c r="G519" s="198" t="s">
        <v>1006</v>
      </c>
      <c r="H519" s="198" t="str">
        <f t="shared" si="26"/>
        <v/>
      </c>
      <c r="I519" s="228" t="str">
        <f t="shared" si="27"/>
        <v/>
      </c>
      <c r="J519" s="228" t="str">
        <f t="shared" si="28"/>
        <v/>
      </c>
      <c r="K519" s="229" t="str">
        <f t="shared" si="25"/>
        <v/>
      </c>
    </row>
    <row r="520" spans="6:11">
      <c r="F520" s="198" t="s">
        <v>1006</v>
      </c>
      <c r="G520" s="198" t="s">
        <v>1006</v>
      </c>
      <c r="H520" s="198" t="str">
        <f t="shared" si="26"/>
        <v/>
      </c>
      <c r="I520" s="228" t="str">
        <f t="shared" si="27"/>
        <v/>
      </c>
      <c r="J520" s="228" t="str">
        <f t="shared" si="28"/>
        <v/>
      </c>
      <c r="K520" s="229" t="str">
        <f t="shared" si="25"/>
        <v/>
      </c>
    </row>
    <row r="521" spans="6:11">
      <c r="F521" s="198" t="s">
        <v>1006</v>
      </c>
      <c r="G521" s="198" t="s">
        <v>1006</v>
      </c>
      <c r="H521" s="198" t="str">
        <f t="shared" si="26"/>
        <v/>
      </c>
      <c r="I521" s="228" t="str">
        <f t="shared" si="27"/>
        <v/>
      </c>
      <c r="J521" s="228" t="str">
        <f t="shared" si="28"/>
        <v/>
      </c>
      <c r="K521" s="229" t="str">
        <f t="shared" si="25"/>
        <v/>
      </c>
    </row>
    <row r="522" spans="6:11">
      <c r="F522" s="198" t="s">
        <v>1006</v>
      </c>
      <c r="G522" s="198" t="s">
        <v>1006</v>
      </c>
      <c r="H522" s="198" t="str">
        <f t="shared" si="26"/>
        <v/>
      </c>
      <c r="I522" s="228" t="str">
        <f t="shared" si="27"/>
        <v/>
      </c>
      <c r="J522" s="228" t="str">
        <f t="shared" si="28"/>
        <v/>
      </c>
      <c r="K522" s="229" t="str">
        <f t="shared" si="25"/>
        <v/>
      </c>
    </row>
    <row r="523" spans="6:11">
      <c r="F523" s="198" t="s">
        <v>1006</v>
      </c>
      <c r="G523" s="198" t="s">
        <v>1006</v>
      </c>
      <c r="H523" s="198" t="str">
        <f t="shared" si="26"/>
        <v/>
      </c>
      <c r="I523" s="228" t="str">
        <f t="shared" si="27"/>
        <v/>
      </c>
      <c r="J523" s="228" t="str">
        <f t="shared" si="28"/>
        <v/>
      </c>
      <c r="K523" s="229" t="str">
        <f t="shared" si="25"/>
        <v/>
      </c>
    </row>
    <row r="524" spans="6:11">
      <c r="F524" s="198" t="s">
        <v>1006</v>
      </c>
      <c r="G524" s="198" t="s">
        <v>1006</v>
      </c>
      <c r="H524" s="198" t="str">
        <f t="shared" si="26"/>
        <v/>
      </c>
      <c r="I524" s="228" t="str">
        <f t="shared" si="27"/>
        <v/>
      </c>
      <c r="J524" s="228" t="str">
        <f t="shared" si="28"/>
        <v/>
      </c>
      <c r="K524" s="229" t="str">
        <f t="shared" si="25"/>
        <v/>
      </c>
    </row>
    <row r="525" spans="6:11">
      <c r="F525" s="198" t="s">
        <v>1006</v>
      </c>
      <c r="G525" s="198" t="s">
        <v>1006</v>
      </c>
      <c r="H525" s="198" t="str">
        <f t="shared" si="26"/>
        <v/>
      </c>
      <c r="I525" s="228" t="str">
        <f t="shared" si="27"/>
        <v/>
      </c>
      <c r="J525" s="228" t="str">
        <f t="shared" si="28"/>
        <v/>
      </c>
      <c r="K525" s="229" t="str">
        <f t="shared" si="25"/>
        <v/>
      </c>
    </row>
    <row r="526" spans="6:11">
      <c r="F526" s="198" t="s">
        <v>1006</v>
      </c>
      <c r="G526" s="198" t="s">
        <v>1006</v>
      </c>
      <c r="H526" s="198" t="str">
        <f t="shared" si="26"/>
        <v/>
      </c>
      <c r="I526" s="228" t="str">
        <f t="shared" si="27"/>
        <v/>
      </c>
      <c r="J526" s="228" t="str">
        <f t="shared" si="28"/>
        <v/>
      </c>
      <c r="K526" s="229" t="str">
        <f t="shared" si="25"/>
        <v/>
      </c>
    </row>
    <row r="527" spans="6:11">
      <c r="F527" s="198" t="s">
        <v>1006</v>
      </c>
      <c r="G527" s="198" t="s">
        <v>1006</v>
      </c>
      <c r="H527" s="198" t="str">
        <f t="shared" si="26"/>
        <v/>
      </c>
      <c r="I527" s="228" t="str">
        <f t="shared" si="27"/>
        <v/>
      </c>
      <c r="J527" s="228" t="str">
        <f t="shared" si="28"/>
        <v/>
      </c>
      <c r="K527" s="229" t="str">
        <f t="shared" si="25"/>
        <v/>
      </c>
    </row>
    <row r="528" spans="6:11">
      <c r="F528" s="198" t="s">
        <v>1006</v>
      </c>
      <c r="G528" s="198" t="s">
        <v>1006</v>
      </c>
      <c r="H528" s="198" t="str">
        <f t="shared" si="26"/>
        <v/>
      </c>
      <c r="I528" s="228" t="str">
        <f t="shared" si="27"/>
        <v/>
      </c>
      <c r="J528" s="228" t="str">
        <f t="shared" si="28"/>
        <v/>
      </c>
      <c r="K528" s="229" t="str">
        <f t="shared" si="25"/>
        <v/>
      </c>
    </row>
    <row r="529" spans="6:11">
      <c r="F529" s="198" t="s">
        <v>1006</v>
      </c>
      <c r="G529" s="198" t="s">
        <v>1006</v>
      </c>
      <c r="H529" s="198" t="str">
        <f t="shared" si="26"/>
        <v/>
      </c>
      <c r="I529" s="228" t="str">
        <f t="shared" si="27"/>
        <v/>
      </c>
      <c r="J529" s="228" t="str">
        <f t="shared" si="28"/>
        <v/>
      </c>
      <c r="K529" s="229" t="str">
        <f t="shared" si="25"/>
        <v/>
      </c>
    </row>
    <row r="530" spans="6:11">
      <c r="F530" s="198" t="s">
        <v>1006</v>
      </c>
      <c r="G530" s="198" t="s">
        <v>1006</v>
      </c>
      <c r="H530" s="198" t="str">
        <f t="shared" si="26"/>
        <v/>
      </c>
      <c r="I530" s="228" t="str">
        <f t="shared" si="27"/>
        <v/>
      </c>
      <c r="J530" s="228" t="str">
        <f t="shared" si="28"/>
        <v/>
      </c>
      <c r="K530" s="229" t="str">
        <f t="shared" si="25"/>
        <v/>
      </c>
    </row>
    <row r="531" spans="6:11">
      <c r="F531" s="198" t="s">
        <v>1006</v>
      </c>
      <c r="G531" s="198" t="s">
        <v>1006</v>
      </c>
      <c r="H531" s="198" t="str">
        <f t="shared" si="26"/>
        <v/>
      </c>
      <c r="I531" s="228" t="str">
        <f t="shared" si="27"/>
        <v/>
      </c>
      <c r="J531" s="228" t="str">
        <f t="shared" si="28"/>
        <v/>
      </c>
      <c r="K531" s="229" t="str">
        <f t="shared" si="25"/>
        <v/>
      </c>
    </row>
    <row r="532" spans="6:11">
      <c r="F532" s="198" t="s">
        <v>1006</v>
      </c>
      <c r="G532" s="198" t="s">
        <v>1006</v>
      </c>
      <c r="H532" s="198" t="str">
        <f t="shared" si="26"/>
        <v/>
      </c>
      <c r="I532" s="228" t="str">
        <f t="shared" si="27"/>
        <v/>
      </c>
      <c r="J532" s="228" t="str">
        <f t="shared" si="28"/>
        <v/>
      </c>
      <c r="K532" s="229" t="str">
        <f t="shared" ref="K532:K595" si="29">IF(DAY(B532)=15,G532,"")</f>
        <v/>
      </c>
    </row>
    <row r="533" spans="6:11">
      <c r="F533" s="198" t="s">
        <v>1006</v>
      </c>
      <c r="G533" s="198" t="s">
        <v>1006</v>
      </c>
      <c r="H533" s="198" t="str">
        <f t="shared" si="26"/>
        <v/>
      </c>
      <c r="I533" s="228" t="str">
        <f t="shared" si="27"/>
        <v/>
      </c>
      <c r="J533" s="228" t="str">
        <f t="shared" si="28"/>
        <v/>
      </c>
      <c r="K533" s="229" t="str">
        <f t="shared" si="29"/>
        <v/>
      </c>
    </row>
    <row r="534" spans="6:11">
      <c r="F534" s="198" t="s">
        <v>1006</v>
      </c>
      <c r="G534" s="198" t="s">
        <v>1006</v>
      </c>
      <c r="H534" s="198" t="str">
        <f t="shared" si="26"/>
        <v/>
      </c>
      <c r="I534" s="228" t="str">
        <f t="shared" si="27"/>
        <v/>
      </c>
      <c r="J534" s="228" t="str">
        <f t="shared" si="28"/>
        <v/>
      </c>
      <c r="K534" s="229" t="str">
        <f t="shared" si="29"/>
        <v/>
      </c>
    </row>
    <row r="535" spans="6:11">
      <c r="F535" s="198" t="s">
        <v>1006</v>
      </c>
      <c r="G535" s="198" t="s">
        <v>1006</v>
      </c>
      <c r="H535" s="198" t="str">
        <f t="shared" si="26"/>
        <v/>
      </c>
      <c r="I535" s="228" t="str">
        <f t="shared" si="27"/>
        <v/>
      </c>
      <c r="J535" s="228" t="str">
        <f t="shared" si="28"/>
        <v/>
      </c>
      <c r="K535" s="229" t="str">
        <f t="shared" si="29"/>
        <v/>
      </c>
    </row>
    <row r="536" spans="6:11">
      <c r="F536" s="198" t="s">
        <v>1006</v>
      </c>
      <c r="G536" s="198" t="s">
        <v>1006</v>
      </c>
      <c r="H536" s="198" t="str">
        <f t="shared" si="26"/>
        <v/>
      </c>
      <c r="I536" s="228" t="str">
        <f t="shared" si="27"/>
        <v/>
      </c>
      <c r="J536" s="228" t="str">
        <f t="shared" si="28"/>
        <v/>
      </c>
      <c r="K536" s="229" t="str">
        <f t="shared" si="29"/>
        <v/>
      </c>
    </row>
    <row r="537" spans="6:11">
      <c r="F537" s="198" t="s">
        <v>1006</v>
      </c>
      <c r="G537" s="198" t="s">
        <v>1006</v>
      </c>
      <c r="H537" s="198" t="str">
        <f t="shared" si="26"/>
        <v/>
      </c>
      <c r="I537" s="228" t="str">
        <f t="shared" si="27"/>
        <v/>
      </c>
      <c r="J537" s="228" t="str">
        <f t="shared" si="28"/>
        <v/>
      </c>
      <c r="K537" s="229" t="str">
        <f t="shared" si="29"/>
        <v/>
      </c>
    </row>
    <row r="538" spans="6:11">
      <c r="F538" s="198" t="s">
        <v>1006</v>
      </c>
      <c r="G538" s="198" t="s">
        <v>1006</v>
      </c>
      <c r="H538" s="198" t="str">
        <f t="shared" si="26"/>
        <v/>
      </c>
      <c r="I538" s="228" t="str">
        <f t="shared" si="27"/>
        <v/>
      </c>
      <c r="J538" s="228" t="str">
        <f t="shared" si="28"/>
        <v/>
      </c>
      <c r="K538" s="229" t="str">
        <f t="shared" si="29"/>
        <v/>
      </c>
    </row>
    <row r="539" spans="6:11">
      <c r="F539" s="198" t="s">
        <v>1006</v>
      </c>
      <c r="G539" s="198" t="s">
        <v>1006</v>
      </c>
      <c r="H539" s="198" t="str">
        <f t="shared" si="26"/>
        <v/>
      </c>
      <c r="I539" s="228" t="str">
        <f t="shared" si="27"/>
        <v/>
      </c>
      <c r="J539" s="228" t="str">
        <f t="shared" si="28"/>
        <v/>
      </c>
      <c r="K539" s="229" t="str">
        <f t="shared" si="29"/>
        <v/>
      </c>
    </row>
    <row r="540" spans="6:11">
      <c r="F540" s="198" t="s">
        <v>1006</v>
      </c>
      <c r="G540" s="198" t="s">
        <v>1006</v>
      </c>
      <c r="H540" s="198" t="str">
        <f t="shared" si="26"/>
        <v/>
      </c>
      <c r="I540" s="228" t="str">
        <f t="shared" si="27"/>
        <v/>
      </c>
      <c r="J540" s="228" t="str">
        <f t="shared" si="28"/>
        <v/>
      </c>
      <c r="K540" s="229" t="str">
        <f t="shared" si="29"/>
        <v/>
      </c>
    </row>
    <row r="541" spans="6:11">
      <c r="F541" s="198" t="s">
        <v>1006</v>
      </c>
      <c r="G541" s="198" t="s">
        <v>1006</v>
      </c>
      <c r="H541" s="198" t="str">
        <f t="shared" si="26"/>
        <v/>
      </c>
      <c r="I541" s="228" t="str">
        <f t="shared" si="27"/>
        <v/>
      </c>
      <c r="J541" s="228" t="str">
        <f t="shared" si="28"/>
        <v/>
      </c>
      <c r="K541" s="229" t="str">
        <f t="shared" si="29"/>
        <v/>
      </c>
    </row>
    <row r="542" spans="6:11">
      <c r="F542" s="198" t="s">
        <v>1006</v>
      </c>
      <c r="G542" s="198" t="s">
        <v>1006</v>
      </c>
      <c r="H542" s="198" t="str">
        <f t="shared" si="26"/>
        <v/>
      </c>
      <c r="I542" s="228" t="str">
        <f t="shared" si="27"/>
        <v/>
      </c>
      <c r="J542" s="228" t="str">
        <f t="shared" si="28"/>
        <v/>
      </c>
      <c r="K542" s="229" t="str">
        <f t="shared" si="29"/>
        <v/>
      </c>
    </row>
    <row r="543" spans="6:11">
      <c r="F543" s="198" t="s">
        <v>1006</v>
      </c>
      <c r="G543" s="198" t="s">
        <v>1006</v>
      </c>
      <c r="H543" s="198" t="str">
        <f t="shared" si="26"/>
        <v/>
      </c>
      <c r="I543" s="228" t="str">
        <f t="shared" si="27"/>
        <v/>
      </c>
      <c r="J543" s="228" t="str">
        <f t="shared" si="28"/>
        <v/>
      </c>
      <c r="K543" s="229" t="str">
        <f t="shared" si="29"/>
        <v/>
      </c>
    </row>
    <row r="544" spans="6:11">
      <c r="F544" s="198" t="s">
        <v>1006</v>
      </c>
      <c r="G544" s="198" t="s">
        <v>1006</v>
      </c>
      <c r="H544" s="198" t="str">
        <f t="shared" si="26"/>
        <v/>
      </c>
      <c r="I544" s="228" t="str">
        <f t="shared" si="27"/>
        <v/>
      </c>
      <c r="J544" s="228" t="str">
        <f t="shared" si="28"/>
        <v/>
      </c>
      <c r="K544" s="229" t="str">
        <f t="shared" si="29"/>
        <v/>
      </c>
    </row>
    <row r="545" spans="6:11">
      <c r="F545" s="198" t="s">
        <v>1006</v>
      </c>
      <c r="G545" s="198" t="s">
        <v>1006</v>
      </c>
      <c r="H545" s="198" t="str">
        <f t="shared" si="26"/>
        <v/>
      </c>
      <c r="I545" s="228" t="str">
        <f t="shared" si="27"/>
        <v/>
      </c>
      <c r="J545" s="228" t="str">
        <f t="shared" si="28"/>
        <v/>
      </c>
      <c r="K545" s="229" t="str">
        <f t="shared" si="29"/>
        <v/>
      </c>
    </row>
    <row r="546" spans="6:11">
      <c r="F546" s="198" t="s">
        <v>1006</v>
      </c>
      <c r="G546" s="198" t="s">
        <v>1006</v>
      </c>
      <c r="H546" s="198" t="str">
        <f t="shared" si="26"/>
        <v/>
      </c>
      <c r="I546" s="228" t="str">
        <f t="shared" si="27"/>
        <v/>
      </c>
      <c r="J546" s="228" t="str">
        <f t="shared" si="28"/>
        <v/>
      </c>
      <c r="K546" s="229" t="str">
        <f t="shared" si="29"/>
        <v/>
      </c>
    </row>
    <row r="547" spans="6:11">
      <c r="F547" s="198" t="s">
        <v>1006</v>
      </c>
      <c r="G547" s="198" t="s">
        <v>1006</v>
      </c>
      <c r="H547" s="198" t="str">
        <f t="shared" si="26"/>
        <v/>
      </c>
      <c r="I547" s="228" t="str">
        <f t="shared" si="27"/>
        <v/>
      </c>
      <c r="J547" s="228" t="str">
        <f t="shared" si="28"/>
        <v/>
      </c>
      <c r="K547" s="229" t="str">
        <f t="shared" si="29"/>
        <v/>
      </c>
    </row>
    <row r="548" spans="6:11">
      <c r="F548" s="198" t="s">
        <v>1006</v>
      </c>
      <c r="G548" s="198" t="s">
        <v>1006</v>
      </c>
      <c r="H548" s="198" t="str">
        <f t="shared" si="26"/>
        <v/>
      </c>
      <c r="I548" s="228" t="str">
        <f t="shared" si="27"/>
        <v/>
      </c>
      <c r="J548" s="228" t="str">
        <f t="shared" si="28"/>
        <v/>
      </c>
      <c r="K548" s="229" t="str">
        <f t="shared" si="29"/>
        <v/>
      </c>
    </row>
    <row r="549" spans="6:11">
      <c r="F549" s="198" t="s">
        <v>1006</v>
      </c>
      <c r="G549" s="198" t="s">
        <v>1006</v>
      </c>
      <c r="H549" s="198" t="str">
        <f t="shared" si="26"/>
        <v/>
      </c>
      <c r="I549" s="228" t="str">
        <f t="shared" si="27"/>
        <v/>
      </c>
      <c r="J549" s="228" t="str">
        <f t="shared" si="28"/>
        <v/>
      </c>
      <c r="K549" s="229" t="str">
        <f t="shared" si="29"/>
        <v/>
      </c>
    </row>
    <row r="550" spans="6:11">
      <c r="F550" s="198" t="s">
        <v>1006</v>
      </c>
      <c r="G550" s="198" t="s">
        <v>1006</v>
      </c>
      <c r="H550" s="198" t="str">
        <f t="shared" si="26"/>
        <v/>
      </c>
      <c r="I550" s="228" t="str">
        <f t="shared" si="27"/>
        <v/>
      </c>
      <c r="J550" s="228" t="str">
        <f t="shared" si="28"/>
        <v/>
      </c>
      <c r="K550" s="229" t="str">
        <f t="shared" si="29"/>
        <v/>
      </c>
    </row>
    <row r="551" spans="6:11">
      <c r="F551" s="198" t="s">
        <v>1006</v>
      </c>
      <c r="G551" s="198" t="s">
        <v>1006</v>
      </c>
      <c r="H551" s="198" t="str">
        <f t="shared" si="26"/>
        <v/>
      </c>
      <c r="I551" s="228" t="str">
        <f t="shared" si="27"/>
        <v/>
      </c>
      <c r="J551" s="228" t="str">
        <f t="shared" si="28"/>
        <v/>
      </c>
      <c r="K551" s="229" t="str">
        <f t="shared" si="29"/>
        <v/>
      </c>
    </row>
    <row r="552" spans="6:11">
      <c r="F552" s="198" t="s">
        <v>1006</v>
      </c>
      <c r="G552" s="198" t="s">
        <v>1006</v>
      </c>
      <c r="H552" s="198" t="str">
        <f t="shared" si="26"/>
        <v/>
      </c>
      <c r="I552" s="228" t="str">
        <f t="shared" si="27"/>
        <v/>
      </c>
      <c r="J552" s="228" t="str">
        <f t="shared" si="28"/>
        <v/>
      </c>
      <c r="K552" s="229" t="str">
        <f t="shared" si="29"/>
        <v/>
      </c>
    </row>
    <row r="553" spans="6:11">
      <c r="F553" s="198" t="s">
        <v>1006</v>
      </c>
      <c r="G553" s="198" t="s">
        <v>1006</v>
      </c>
      <c r="H553" s="198" t="str">
        <f t="shared" si="26"/>
        <v/>
      </c>
      <c r="I553" s="228" t="str">
        <f t="shared" si="27"/>
        <v/>
      </c>
      <c r="J553" s="228" t="str">
        <f t="shared" si="28"/>
        <v/>
      </c>
      <c r="K553" s="229" t="str">
        <f t="shared" si="29"/>
        <v/>
      </c>
    </row>
    <row r="554" spans="6:11">
      <c r="F554" s="198" t="s">
        <v>1006</v>
      </c>
      <c r="G554" s="198" t="s">
        <v>1006</v>
      </c>
      <c r="H554" s="198" t="str">
        <f t="shared" si="26"/>
        <v/>
      </c>
      <c r="I554" s="228" t="str">
        <f t="shared" si="27"/>
        <v/>
      </c>
      <c r="J554" s="228" t="str">
        <f t="shared" si="28"/>
        <v/>
      </c>
      <c r="K554" s="229" t="str">
        <f t="shared" si="29"/>
        <v/>
      </c>
    </row>
    <row r="555" spans="6:11">
      <c r="F555" s="198" t="s">
        <v>1006</v>
      </c>
      <c r="G555" s="198" t="s">
        <v>1006</v>
      </c>
      <c r="H555" s="198" t="str">
        <f t="shared" si="26"/>
        <v/>
      </c>
      <c r="I555" s="228" t="str">
        <f t="shared" si="27"/>
        <v/>
      </c>
      <c r="J555" s="228" t="str">
        <f t="shared" si="28"/>
        <v/>
      </c>
      <c r="K555" s="229" t="str">
        <f t="shared" si="29"/>
        <v/>
      </c>
    </row>
    <row r="556" spans="6:11">
      <c r="F556" s="198" t="s">
        <v>1006</v>
      </c>
      <c r="G556" s="198" t="s">
        <v>1006</v>
      </c>
      <c r="H556" s="198" t="str">
        <f t="shared" si="26"/>
        <v/>
      </c>
      <c r="I556" s="228" t="str">
        <f t="shared" si="27"/>
        <v/>
      </c>
      <c r="J556" s="228" t="str">
        <f t="shared" si="28"/>
        <v/>
      </c>
      <c r="K556" s="229" t="str">
        <f t="shared" si="29"/>
        <v/>
      </c>
    </row>
    <row r="557" spans="6:11">
      <c r="F557" s="198" t="s">
        <v>1006</v>
      </c>
      <c r="G557" s="198" t="s">
        <v>1006</v>
      </c>
      <c r="H557" s="198" t="str">
        <f t="shared" si="26"/>
        <v/>
      </c>
      <c r="I557" s="228" t="str">
        <f t="shared" si="27"/>
        <v/>
      </c>
      <c r="J557" s="228" t="str">
        <f t="shared" si="28"/>
        <v/>
      </c>
      <c r="K557" s="229" t="str">
        <f t="shared" si="29"/>
        <v/>
      </c>
    </row>
    <row r="558" spans="6:11">
      <c r="F558" s="198" t="s">
        <v>1006</v>
      </c>
      <c r="G558" s="198" t="s">
        <v>1006</v>
      </c>
      <c r="H558" s="198" t="str">
        <f t="shared" si="26"/>
        <v/>
      </c>
      <c r="I558" s="228" t="str">
        <f t="shared" si="27"/>
        <v/>
      </c>
      <c r="J558" s="228" t="str">
        <f t="shared" si="28"/>
        <v/>
      </c>
      <c r="K558" s="229" t="str">
        <f t="shared" si="29"/>
        <v/>
      </c>
    </row>
    <row r="559" spans="6:11">
      <c r="F559" s="198" t="s">
        <v>1006</v>
      </c>
      <c r="G559" s="198" t="s">
        <v>1006</v>
      </c>
      <c r="H559" s="198" t="str">
        <f t="shared" si="26"/>
        <v/>
      </c>
      <c r="I559" s="228" t="str">
        <f t="shared" si="27"/>
        <v/>
      </c>
      <c r="J559" s="228" t="str">
        <f t="shared" si="28"/>
        <v/>
      </c>
      <c r="K559" s="229" t="str">
        <f t="shared" si="29"/>
        <v/>
      </c>
    </row>
    <row r="560" spans="6:11">
      <c r="F560" s="198" t="s">
        <v>1006</v>
      </c>
      <c r="G560" s="198" t="s">
        <v>1006</v>
      </c>
      <c r="H560" s="198" t="str">
        <f t="shared" si="26"/>
        <v/>
      </c>
      <c r="I560" s="228" t="str">
        <f t="shared" si="27"/>
        <v/>
      </c>
      <c r="J560" s="228" t="str">
        <f t="shared" si="28"/>
        <v/>
      </c>
      <c r="K560" s="229" t="str">
        <f t="shared" si="29"/>
        <v/>
      </c>
    </row>
    <row r="561" spans="6:11">
      <c r="F561" s="198" t="s">
        <v>1006</v>
      </c>
      <c r="G561" s="198" t="s">
        <v>1006</v>
      </c>
      <c r="H561" s="198" t="str">
        <f t="shared" si="26"/>
        <v/>
      </c>
      <c r="I561" s="228" t="str">
        <f t="shared" si="27"/>
        <v/>
      </c>
      <c r="J561" s="228" t="str">
        <f t="shared" si="28"/>
        <v/>
      </c>
      <c r="K561" s="229" t="str">
        <f t="shared" si="29"/>
        <v/>
      </c>
    </row>
    <row r="562" spans="6:11">
      <c r="F562" s="198" t="s">
        <v>1006</v>
      </c>
      <c r="G562" s="198" t="s">
        <v>1006</v>
      </c>
      <c r="H562" s="198" t="str">
        <f t="shared" si="26"/>
        <v/>
      </c>
      <c r="I562" s="228" t="str">
        <f t="shared" si="27"/>
        <v/>
      </c>
      <c r="J562" s="228" t="str">
        <f t="shared" si="28"/>
        <v/>
      </c>
      <c r="K562" s="229" t="str">
        <f t="shared" si="29"/>
        <v/>
      </c>
    </row>
    <row r="563" spans="6:11">
      <c r="F563" s="198" t="s">
        <v>1006</v>
      </c>
      <c r="G563" s="198" t="s">
        <v>1006</v>
      </c>
      <c r="H563" s="198" t="str">
        <f t="shared" si="26"/>
        <v/>
      </c>
      <c r="I563" s="228" t="str">
        <f t="shared" si="27"/>
        <v/>
      </c>
      <c r="J563" s="228" t="str">
        <f t="shared" si="28"/>
        <v/>
      </c>
      <c r="K563" s="229" t="str">
        <f t="shared" si="29"/>
        <v/>
      </c>
    </row>
    <row r="564" spans="6:11">
      <c r="F564" s="198" t="s">
        <v>1006</v>
      </c>
      <c r="G564" s="198" t="s">
        <v>1006</v>
      </c>
      <c r="H564" s="198" t="str">
        <f t="shared" si="26"/>
        <v/>
      </c>
      <c r="I564" s="228" t="str">
        <f t="shared" si="27"/>
        <v/>
      </c>
      <c r="J564" s="228" t="str">
        <f t="shared" si="28"/>
        <v/>
      </c>
      <c r="K564" s="229" t="str">
        <f t="shared" si="29"/>
        <v/>
      </c>
    </row>
    <row r="565" spans="6:11">
      <c r="F565" s="198" t="s">
        <v>1006</v>
      </c>
      <c r="G565" s="198" t="s">
        <v>1006</v>
      </c>
      <c r="H565" s="198" t="str">
        <f t="shared" si="26"/>
        <v/>
      </c>
      <c r="I565" s="228" t="str">
        <f t="shared" si="27"/>
        <v/>
      </c>
      <c r="J565" s="228" t="str">
        <f t="shared" si="28"/>
        <v/>
      </c>
      <c r="K565" s="229" t="str">
        <f t="shared" si="29"/>
        <v/>
      </c>
    </row>
    <row r="566" spans="6:11">
      <c r="F566" s="198" t="s">
        <v>1006</v>
      </c>
      <c r="G566" s="198" t="s">
        <v>1006</v>
      </c>
      <c r="H566" s="198" t="str">
        <f t="shared" si="26"/>
        <v/>
      </c>
      <c r="I566" s="228" t="str">
        <f t="shared" si="27"/>
        <v/>
      </c>
      <c r="J566" s="228" t="str">
        <f t="shared" si="28"/>
        <v/>
      </c>
      <c r="K566" s="229" t="str">
        <f t="shared" si="29"/>
        <v/>
      </c>
    </row>
    <row r="567" spans="6:11">
      <c r="F567" s="198" t="s">
        <v>1006</v>
      </c>
      <c r="G567" s="198" t="s">
        <v>1006</v>
      </c>
      <c r="H567" s="198" t="str">
        <f t="shared" si="26"/>
        <v/>
      </c>
      <c r="I567" s="228" t="str">
        <f t="shared" si="27"/>
        <v/>
      </c>
      <c r="J567" s="228" t="str">
        <f t="shared" si="28"/>
        <v/>
      </c>
      <c r="K567" s="229" t="str">
        <f t="shared" si="29"/>
        <v/>
      </c>
    </row>
    <row r="568" spans="6:11">
      <c r="F568" s="198" t="s">
        <v>1006</v>
      </c>
      <c r="G568" s="198" t="s">
        <v>1006</v>
      </c>
      <c r="H568" s="198" t="str">
        <f t="shared" si="26"/>
        <v/>
      </c>
      <c r="I568" s="228" t="str">
        <f t="shared" si="27"/>
        <v/>
      </c>
      <c r="J568" s="228" t="str">
        <f t="shared" si="28"/>
        <v/>
      </c>
      <c r="K568" s="229" t="str">
        <f t="shared" si="29"/>
        <v/>
      </c>
    </row>
    <row r="569" spans="6:11">
      <c r="F569" s="198" t="s">
        <v>1006</v>
      </c>
      <c r="G569" s="198" t="s">
        <v>1006</v>
      </c>
      <c r="H569" s="198" t="str">
        <f t="shared" si="26"/>
        <v/>
      </c>
      <c r="I569" s="228" t="str">
        <f t="shared" si="27"/>
        <v/>
      </c>
      <c r="J569" s="228" t="str">
        <f t="shared" si="28"/>
        <v/>
      </c>
      <c r="K569" s="229" t="str">
        <f t="shared" si="29"/>
        <v/>
      </c>
    </row>
    <row r="570" spans="6:11">
      <c r="F570" s="198" t="s">
        <v>1006</v>
      </c>
      <c r="G570" s="198" t="s">
        <v>1006</v>
      </c>
      <c r="H570" s="198" t="str">
        <f t="shared" si="26"/>
        <v/>
      </c>
      <c r="I570" s="228" t="str">
        <f t="shared" si="27"/>
        <v/>
      </c>
      <c r="J570" s="228" t="str">
        <f t="shared" si="28"/>
        <v/>
      </c>
      <c r="K570" s="229" t="str">
        <f t="shared" si="29"/>
        <v/>
      </c>
    </row>
    <row r="571" spans="6:11">
      <c r="F571" s="198" t="s">
        <v>1006</v>
      </c>
      <c r="G571" s="198" t="s">
        <v>1006</v>
      </c>
      <c r="H571" s="198" t="str">
        <f t="shared" si="26"/>
        <v/>
      </c>
      <c r="I571" s="228" t="str">
        <f t="shared" si="27"/>
        <v/>
      </c>
      <c r="J571" s="228" t="str">
        <f t="shared" si="28"/>
        <v/>
      </c>
      <c r="K571" s="229" t="str">
        <f t="shared" si="29"/>
        <v/>
      </c>
    </row>
    <row r="572" spans="6:11">
      <c r="F572" s="198" t="s">
        <v>1006</v>
      </c>
      <c r="G572" s="198" t="s">
        <v>1006</v>
      </c>
      <c r="H572" s="198" t="str">
        <f t="shared" si="26"/>
        <v/>
      </c>
      <c r="I572" s="228" t="str">
        <f t="shared" si="27"/>
        <v/>
      </c>
      <c r="J572" s="228" t="str">
        <f t="shared" si="28"/>
        <v/>
      </c>
      <c r="K572" s="229" t="str">
        <f t="shared" si="29"/>
        <v/>
      </c>
    </row>
    <row r="573" spans="6:11">
      <c r="F573" s="198" t="s">
        <v>1006</v>
      </c>
      <c r="G573" s="198" t="s">
        <v>1006</v>
      </c>
      <c r="H573" s="198" t="str">
        <f t="shared" si="26"/>
        <v/>
      </c>
      <c r="I573" s="228" t="str">
        <f t="shared" si="27"/>
        <v/>
      </c>
      <c r="J573" s="228" t="str">
        <f t="shared" si="28"/>
        <v/>
      </c>
      <c r="K573" s="229" t="str">
        <f t="shared" si="29"/>
        <v/>
      </c>
    </row>
    <row r="574" spans="6:11">
      <c r="F574" s="198" t="s">
        <v>1006</v>
      </c>
      <c r="G574" s="198" t="s">
        <v>1006</v>
      </c>
      <c r="H574" s="198" t="str">
        <f t="shared" si="26"/>
        <v/>
      </c>
      <c r="I574" s="228" t="str">
        <f t="shared" si="27"/>
        <v/>
      </c>
      <c r="J574" s="228" t="str">
        <f t="shared" si="28"/>
        <v/>
      </c>
      <c r="K574" s="229" t="str">
        <f t="shared" si="29"/>
        <v/>
      </c>
    </row>
    <row r="575" spans="6:11">
      <c r="F575" s="198" t="s">
        <v>1006</v>
      </c>
      <c r="G575" s="198" t="s">
        <v>1006</v>
      </c>
      <c r="H575" s="198" t="str">
        <f t="shared" si="26"/>
        <v/>
      </c>
      <c r="I575" s="228" t="str">
        <f t="shared" si="27"/>
        <v/>
      </c>
      <c r="J575" s="228" t="str">
        <f t="shared" si="28"/>
        <v/>
      </c>
      <c r="K575" s="229" t="str">
        <f t="shared" si="29"/>
        <v/>
      </c>
    </row>
    <row r="576" spans="6:11">
      <c r="F576" s="198" t="s">
        <v>1006</v>
      </c>
      <c r="G576" s="198" t="s">
        <v>1006</v>
      </c>
      <c r="H576" s="198" t="str">
        <f t="shared" si="26"/>
        <v/>
      </c>
      <c r="I576" s="228" t="str">
        <f t="shared" si="27"/>
        <v/>
      </c>
      <c r="J576" s="228" t="str">
        <f t="shared" si="28"/>
        <v/>
      </c>
      <c r="K576" s="229" t="str">
        <f t="shared" si="29"/>
        <v/>
      </c>
    </row>
    <row r="577" spans="6:11">
      <c r="F577" s="198" t="s">
        <v>1006</v>
      </c>
      <c r="G577" s="198" t="s">
        <v>1006</v>
      </c>
      <c r="H577" s="198" t="str">
        <f t="shared" si="26"/>
        <v/>
      </c>
      <c r="I577" s="228" t="str">
        <f t="shared" si="27"/>
        <v/>
      </c>
      <c r="J577" s="228" t="str">
        <f t="shared" si="28"/>
        <v/>
      </c>
      <c r="K577" s="229" t="str">
        <f t="shared" si="29"/>
        <v/>
      </c>
    </row>
    <row r="578" spans="6:11">
      <c r="F578" s="198" t="s">
        <v>1006</v>
      </c>
      <c r="G578" s="198" t="s">
        <v>1006</v>
      </c>
      <c r="H578" s="198" t="str">
        <f t="shared" si="26"/>
        <v/>
      </c>
      <c r="I578" s="228" t="str">
        <f t="shared" si="27"/>
        <v/>
      </c>
      <c r="J578" s="228" t="str">
        <f t="shared" si="28"/>
        <v/>
      </c>
      <c r="K578" s="229" t="str">
        <f t="shared" si="29"/>
        <v/>
      </c>
    </row>
    <row r="579" spans="6:11">
      <c r="F579" s="198" t="s">
        <v>1006</v>
      </c>
      <c r="G579" s="198" t="s">
        <v>1006</v>
      </c>
      <c r="H579" s="198" t="str">
        <f t="shared" si="26"/>
        <v/>
      </c>
      <c r="I579" s="228" t="str">
        <f t="shared" si="27"/>
        <v/>
      </c>
      <c r="J579" s="228" t="str">
        <f t="shared" si="28"/>
        <v/>
      </c>
      <c r="K579" s="229" t="str">
        <f t="shared" si="29"/>
        <v/>
      </c>
    </row>
    <row r="580" spans="6:11">
      <c r="F580" s="198" t="s">
        <v>1006</v>
      </c>
      <c r="G580" s="198" t="s">
        <v>1006</v>
      </c>
      <c r="H580" s="198" t="str">
        <f t="shared" ref="H580:H643" si="30">IF(F580&lt;G580,F580,G580)</f>
        <v/>
      </c>
      <c r="I580" s="228" t="str">
        <f t="shared" ref="I580:I643" si="31">IF(DAY(B580)=1,600,"")</f>
        <v/>
      </c>
      <c r="J580" s="228" t="str">
        <f t="shared" ref="J580:J643" si="32">IF(DAY(B580)=15,MID(A580,1,1),"")</f>
        <v/>
      </c>
      <c r="K580" s="229" t="str">
        <f t="shared" si="29"/>
        <v/>
      </c>
    </row>
    <row r="581" spans="6:11">
      <c r="F581" s="198" t="s">
        <v>1006</v>
      </c>
      <c r="G581" s="198" t="s">
        <v>1006</v>
      </c>
      <c r="H581" s="198" t="str">
        <f t="shared" si="30"/>
        <v/>
      </c>
      <c r="I581" s="228" t="str">
        <f t="shared" si="31"/>
        <v/>
      </c>
      <c r="J581" s="228" t="str">
        <f t="shared" si="32"/>
        <v/>
      </c>
      <c r="K581" s="229" t="str">
        <f t="shared" si="29"/>
        <v/>
      </c>
    </row>
    <row r="582" spans="6:11">
      <c r="F582" s="198" t="s">
        <v>1006</v>
      </c>
      <c r="G582" s="198" t="s">
        <v>1006</v>
      </c>
      <c r="H582" s="198" t="str">
        <f t="shared" si="30"/>
        <v/>
      </c>
      <c r="I582" s="228" t="str">
        <f t="shared" si="31"/>
        <v/>
      </c>
      <c r="J582" s="228" t="str">
        <f t="shared" si="32"/>
        <v/>
      </c>
      <c r="K582" s="229" t="str">
        <f t="shared" si="29"/>
        <v/>
      </c>
    </row>
    <row r="583" spans="6:11">
      <c r="F583" s="198" t="s">
        <v>1006</v>
      </c>
      <c r="G583" s="198" t="s">
        <v>1006</v>
      </c>
      <c r="H583" s="198" t="str">
        <f t="shared" si="30"/>
        <v/>
      </c>
      <c r="I583" s="228" t="str">
        <f t="shared" si="31"/>
        <v/>
      </c>
      <c r="J583" s="228" t="str">
        <f t="shared" si="32"/>
        <v/>
      </c>
      <c r="K583" s="229" t="str">
        <f t="shared" si="29"/>
        <v/>
      </c>
    </row>
    <row r="584" spans="6:11">
      <c r="F584" s="198" t="s">
        <v>1006</v>
      </c>
      <c r="G584" s="198" t="s">
        <v>1006</v>
      </c>
      <c r="H584" s="198" t="str">
        <f t="shared" si="30"/>
        <v/>
      </c>
      <c r="I584" s="228" t="str">
        <f t="shared" si="31"/>
        <v/>
      </c>
      <c r="J584" s="228" t="str">
        <f t="shared" si="32"/>
        <v/>
      </c>
      <c r="K584" s="229" t="str">
        <f t="shared" si="29"/>
        <v/>
      </c>
    </row>
    <row r="585" spans="6:11">
      <c r="F585" s="198" t="s">
        <v>1006</v>
      </c>
      <c r="G585" s="198" t="s">
        <v>1006</v>
      </c>
      <c r="H585" s="198" t="str">
        <f t="shared" si="30"/>
        <v/>
      </c>
      <c r="I585" s="228" t="str">
        <f t="shared" si="31"/>
        <v/>
      </c>
      <c r="J585" s="228" t="str">
        <f t="shared" si="32"/>
        <v/>
      </c>
      <c r="K585" s="229" t="str">
        <f t="shared" si="29"/>
        <v/>
      </c>
    </row>
    <row r="586" spans="6:11">
      <c r="F586" s="198" t="s">
        <v>1006</v>
      </c>
      <c r="G586" s="198" t="s">
        <v>1006</v>
      </c>
      <c r="H586" s="198" t="str">
        <f t="shared" si="30"/>
        <v/>
      </c>
      <c r="I586" s="228" t="str">
        <f t="shared" si="31"/>
        <v/>
      </c>
      <c r="J586" s="228" t="str">
        <f t="shared" si="32"/>
        <v/>
      </c>
      <c r="K586" s="229" t="str">
        <f t="shared" si="29"/>
        <v/>
      </c>
    </row>
    <row r="587" spans="6:11">
      <c r="F587" s="198" t="s">
        <v>1006</v>
      </c>
      <c r="G587" s="198" t="s">
        <v>1006</v>
      </c>
      <c r="H587" s="198" t="str">
        <f t="shared" si="30"/>
        <v/>
      </c>
      <c r="I587" s="228" t="str">
        <f t="shared" si="31"/>
        <v/>
      </c>
      <c r="J587" s="228" t="str">
        <f t="shared" si="32"/>
        <v/>
      </c>
      <c r="K587" s="229" t="str">
        <f t="shared" si="29"/>
        <v/>
      </c>
    </row>
    <row r="588" spans="6:11">
      <c r="F588" s="198" t="s">
        <v>1006</v>
      </c>
      <c r="G588" s="198" t="s">
        <v>1006</v>
      </c>
      <c r="H588" s="198" t="str">
        <f t="shared" si="30"/>
        <v/>
      </c>
      <c r="I588" s="228" t="str">
        <f t="shared" si="31"/>
        <v/>
      </c>
      <c r="J588" s="228" t="str">
        <f t="shared" si="32"/>
        <v/>
      </c>
      <c r="K588" s="229" t="str">
        <f t="shared" si="29"/>
        <v/>
      </c>
    </row>
    <row r="589" spans="6:11">
      <c r="F589" s="198" t="s">
        <v>1006</v>
      </c>
      <c r="G589" s="198" t="s">
        <v>1006</v>
      </c>
      <c r="H589" s="198" t="str">
        <f t="shared" si="30"/>
        <v/>
      </c>
      <c r="I589" s="228" t="str">
        <f t="shared" si="31"/>
        <v/>
      </c>
      <c r="J589" s="228" t="str">
        <f t="shared" si="32"/>
        <v/>
      </c>
      <c r="K589" s="229" t="str">
        <f t="shared" si="29"/>
        <v/>
      </c>
    </row>
    <row r="590" spans="6:11">
      <c r="F590" s="198" t="s">
        <v>1006</v>
      </c>
      <c r="G590" s="198" t="s">
        <v>1006</v>
      </c>
      <c r="H590" s="198" t="str">
        <f t="shared" si="30"/>
        <v/>
      </c>
      <c r="I590" s="228" t="str">
        <f t="shared" si="31"/>
        <v/>
      </c>
      <c r="J590" s="228" t="str">
        <f t="shared" si="32"/>
        <v/>
      </c>
      <c r="K590" s="229" t="str">
        <f t="shared" si="29"/>
        <v/>
      </c>
    </row>
    <row r="591" spans="6:11">
      <c r="F591" s="198" t="s">
        <v>1006</v>
      </c>
      <c r="G591" s="198" t="s">
        <v>1006</v>
      </c>
      <c r="H591" s="198" t="str">
        <f t="shared" si="30"/>
        <v/>
      </c>
      <c r="I591" s="228" t="str">
        <f t="shared" si="31"/>
        <v/>
      </c>
      <c r="J591" s="228" t="str">
        <f t="shared" si="32"/>
        <v/>
      </c>
      <c r="K591" s="229" t="str">
        <f t="shared" si="29"/>
        <v/>
      </c>
    </row>
    <row r="592" spans="6:11">
      <c r="F592" s="198" t="s">
        <v>1006</v>
      </c>
      <c r="G592" s="198" t="s">
        <v>1006</v>
      </c>
      <c r="H592" s="198" t="str">
        <f t="shared" si="30"/>
        <v/>
      </c>
      <c r="I592" s="228" t="str">
        <f t="shared" si="31"/>
        <v/>
      </c>
      <c r="J592" s="228" t="str">
        <f t="shared" si="32"/>
        <v/>
      </c>
      <c r="K592" s="229" t="str">
        <f t="shared" si="29"/>
        <v/>
      </c>
    </row>
    <row r="593" spans="6:11">
      <c r="F593" s="198" t="s">
        <v>1006</v>
      </c>
      <c r="G593" s="198" t="s">
        <v>1006</v>
      </c>
      <c r="H593" s="198" t="str">
        <f t="shared" si="30"/>
        <v/>
      </c>
      <c r="I593" s="228" t="str">
        <f t="shared" si="31"/>
        <v/>
      </c>
      <c r="J593" s="228" t="str">
        <f t="shared" si="32"/>
        <v/>
      </c>
      <c r="K593" s="229" t="str">
        <f t="shared" si="29"/>
        <v/>
      </c>
    </row>
    <row r="594" spans="6:11">
      <c r="F594" s="198" t="s">
        <v>1006</v>
      </c>
      <c r="G594" s="198" t="s">
        <v>1006</v>
      </c>
      <c r="H594" s="198" t="str">
        <f t="shared" si="30"/>
        <v/>
      </c>
      <c r="I594" s="228" t="str">
        <f t="shared" si="31"/>
        <v/>
      </c>
      <c r="J594" s="228" t="str">
        <f t="shared" si="32"/>
        <v/>
      </c>
      <c r="K594" s="229" t="str">
        <f t="shared" si="29"/>
        <v/>
      </c>
    </row>
    <row r="595" spans="6:11">
      <c r="F595" s="198" t="s">
        <v>1006</v>
      </c>
      <c r="G595" s="198" t="s">
        <v>1006</v>
      </c>
      <c r="H595" s="198" t="str">
        <f t="shared" si="30"/>
        <v/>
      </c>
      <c r="I595" s="228" t="str">
        <f t="shared" si="31"/>
        <v/>
      </c>
      <c r="J595" s="228" t="str">
        <f t="shared" si="32"/>
        <v/>
      </c>
      <c r="K595" s="229" t="str">
        <f t="shared" si="29"/>
        <v/>
      </c>
    </row>
    <row r="596" spans="6:11">
      <c r="F596" s="198" t="s">
        <v>1006</v>
      </c>
      <c r="G596" s="198" t="s">
        <v>1006</v>
      </c>
      <c r="H596" s="198" t="str">
        <f t="shared" si="30"/>
        <v/>
      </c>
      <c r="I596" s="228" t="str">
        <f t="shared" si="31"/>
        <v/>
      </c>
      <c r="J596" s="228" t="str">
        <f t="shared" si="32"/>
        <v/>
      </c>
      <c r="K596" s="229" t="str">
        <f t="shared" ref="K596:K659" si="33">IF(DAY(B596)=15,G596,"")</f>
        <v/>
      </c>
    </row>
    <row r="597" spans="6:11">
      <c r="F597" s="198" t="s">
        <v>1006</v>
      </c>
      <c r="G597" s="198" t="s">
        <v>1006</v>
      </c>
      <c r="H597" s="198" t="str">
        <f t="shared" si="30"/>
        <v/>
      </c>
      <c r="I597" s="228" t="str">
        <f t="shared" si="31"/>
        <v/>
      </c>
      <c r="J597" s="228" t="str">
        <f t="shared" si="32"/>
        <v/>
      </c>
      <c r="K597" s="229" t="str">
        <f t="shared" si="33"/>
        <v/>
      </c>
    </row>
    <row r="598" spans="6:11">
      <c r="F598" s="198" t="s">
        <v>1006</v>
      </c>
      <c r="G598" s="198" t="s">
        <v>1006</v>
      </c>
      <c r="H598" s="198" t="str">
        <f t="shared" si="30"/>
        <v/>
      </c>
      <c r="I598" s="228" t="str">
        <f t="shared" si="31"/>
        <v/>
      </c>
      <c r="J598" s="228" t="str">
        <f t="shared" si="32"/>
        <v/>
      </c>
      <c r="K598" s="229" t="str">
        <f t="shared" si="33"/>
        <v/>
      </c>
    </row>
    <row r="599" spans="6:11">
      <c r="F599" s="198" t="s">
        <v>1006</v>
      </c>
      <c r="G599" s="198" t="s">
        <v>1006</v>
      </c>
      <c r="H599" s="198" t="str">
        <f t="shared" si="30"/>
        <v/>
      </c>
      <c r="I599" s="228" t="str">
        <f t="shared" si="31"/>
        <v/>
      </c>
      <c r="J599" s="228" t="str">
        <f t="shared" si="32"/>
        <v/>
      </c>
      <c r="K599" s="229" t="str">
        <f t="shared" si="33"/>
        <v/>
      </c>
    </row>
    <row r="600" spans="6:11">
      <c r="F600" s="198" t="s">
        <v>1006</v>
      </c>
      <c r="G600" s="198" t="s">
        <v>1006</v>
      </c>
      <c r="H600" s="198" t="str">
        <f t="shared" si="30"/>
        <v/>
      </c>
      <c r="I600" s="228" t="str">
        <f t="shared" si="31"/>
        <v/>
      </c>
      <c r="J600" s="228" t="str">
        <f t="shared" si="32"/>
        <v/>
      </c>
      <c r="K600" s="229" t="str">
        <f t="shared" si="33"/>
        <v/>
      </c>
    </row>
    <row r="601" spans="6:11">
      <c r="F601" s="198" t="s">
        <v>1006</v>
      </c>
      <c r="G601" s="198" t="s">
        <v>1006</v>
      </c>
      <c r="H601" s="198" t="str">
        <f t="shared" si="30"/>
        <v/>
      </c>
      <c r="I601" s="228" t="str">
        <f t="shared" si="31"/>
        <v/>
      </c>
      <c r="J601" s="228" t="str">
        <f t="shared" si="32"/>
        <v/>
      </c>
      <c r="K601" s="229" t="str">
        <f t="shared" si="33"/>
        <v/>
      </c>
    </row>
    <row r="602" spans="6:11">
      <c r="F602" s="198" t="s">
        <v>1006</v>
      </c>
      <c r="G602" s="198" t="s">
        <v>1006</v>
      </c>
      <c r="H602" s="198" t="str">
        <f t="shared" si="30"/>
        <v/>
      </c>
      <c r="I602" s="228" t="str">
        <f t="shared" si="31"/>
        <v/>
      </c>
      <c r="J602" s="228" t="str">
        <f t="shared" si="32"/>
        <v/>
      </c>
      <c r="K602" s="229" t="str">
        <f t="shared" si="33"/>
        <v/>
      </c>
    </row>
    <row r="603" spans="6:11">
      <c r="F603" s="198" t="s">
        <v>1006</v>
      </c>
      <c r="G603" s="198" t="s">
        <v>1006</v>
      </c>
      <c r="H603" s="198" t="str">
        <f t="shared" si="30"/>
        <v/>
      </c>
      <c r="I603" s="228" t="str">
        <f t="shared" si="31"/>
        <v/>
      </c>
      <c r="J603" s="228" t="str">
        <f t="shared" si="32"/>
        <v/>
      </c>
      <c r="K603" s="229" t="str">
        <f t="shared" si="33"/>
        <v/>
      </c>
    </row>
    <row r="604" spans="6:11">
      <c r="F604" s="198" t="s">
        <v>1006</v>
      </c>
      <c r="G604" s="198" t="s">
        <v>1006</v>
      </c>
      <c r="H604" s="198" t="str">
        <f t="shared" si="30"/>
        <v/>
      </c>
      <c r="I604" s="228" t="str">
        <f t="shared" si="31"/>
        <v/>
      </c>
      <c r="J604" s="228" t="str">
        <f t="shared" si="32"/>
        <v/>
      </c>
      <c r="K604" s="229" t="str">
        <f t="shared" si="33"/>
        <v/>
      </c>
    </row>
    <row r="605" spans="6:11">
      <c r="F605" s="198" t="s">
        <v>1006</v>
      </c>
      <c r="G605" s="198" t="s">
        <v>1006</v>
      </c>
      <c r="H605" s="198" t="str">
        <f t="shared" si="30"/>
        <v/>
      </c>
      <c r="I605" s="228" t="str">
        <f t="shared" si="31"/>
        <v/>
      </c>
      <c r="J605" s="228" t="str">
        <f t="shared" si="32"/>
        <v/>
      </c>
      <c r="K605" s="229" t="str">
        <f t="shared" si="33"/>
        <v/>
      </c>
    </row>
    <row r="606" spans="6:11">
      <c r="F606" s="198" t="s">
        <v>1006</v>
      </c>
      <c r="G606" s="198" t="s">
        <v>1006</v>
      </c>
      <c r="H606" s="198" t="str">
        <f t="shared" si="30"/>
        <v/>
      </c>
      <c r="I606" s="228" t="str">
        <f t="shared" si="31"/>
        <v/>
      </c>
      <c r="J606" s="228" t="str">
        <f t="shared" si="32"/>
        <v/>
      </c>
      <c r="K606" s="229" t="str">
        <f t="shared" si="33"/>
        <v/>
      </c>
    </row>
    <row r="607" spans="6:11">
      <c r="F607" s="198" t="s">
        <v>1006</v>
      </c>
      <c r="G607" s="198" t="s">
        <v>1006</v>
      </c>
      <c r="H607" s="198" t="str">
        <f t="shared" si="30"/>
        <v/>
      </c>
      <c r="I607" s="228" t="str">
        <f t="shared" si="31"/>
        <v/>
      </c>
      <c r="J607" s="228" t="str">
        <f t="shared" si="32"/>
        <v/>
      </c>
      <c r="K607" s="229" t="str">
        <f t="shared" si="33"/>
        <v/>
      </c>
    </row>
    <row r="608" spans="6:11">
      <c r="F608" s="198" t="s">
        <v>1006</v>
      </c>
      <c r="G608" s="198" t="s">
        <v>1006</v>
      </c>
      <c r="H608" s="198" t="str">
        <f t="shared" si="30"/>
        <v/>
      </c>
      <c r="I608" s="228" t="str">
        <f t="shared" si="31"/>
        <v/>
      </c>
      <c r="J608" s="228" t="str">
        <f t="shared" si="32"/>
        <v/>
      </c>
      <c r="K608" s="229" t="str">
        <f t="shared" si="33"/>
        <v/>
      </c>
    </row>
    <row r="609" spans="6:11">
      <c r="F609" s="198" t="s">
        <v>1006</v>
      </c>
      <c r="G609" s="198" t="s">
        <v>1006</v>
      </c>
      <c r="H609" s="198" t="str">
        <f t="shared" si="30"/>
        <v/>
      </c>
      <c r="I609" s="228" t="str">
        <f t="shared" si="31"/>
        <v/>
      </c>
      <c r="J609" s="228" t="str">
        <f t="shared" si="32"/>
        <v/>
      </c>
      <c r="K609" s="229" t="str">
        <f t="shared" si="33"/>
        <v/>
      </c>
    </row>
    <row r="610" spans="6:11">
      <c r="F610" s="198" t="s">
        <v>1006</v>
      </c>
      <c r="G610" s="198" t="s">
        <v>1006</v>
      </c>
      <c r="H610" s="198" t="str">
        <f t="shared" si="30"/>
        <v/>
      </c>
      <c r="I610" s="228" t="str">
        <f t="shared" si="31"/>
        <v/>
      </c>
      <c r="J610" s="228" t="str">
        <f t="shared" si="32"/>
        <v/>
      </c>
      <c r="K610" s="229" t="str">
        <f t="shared" si="33"/>
        <v/>
      </c>
    </row>
    <row r="611" spans="6:11">
      <c r="F611" s="198" t="s">
        <v>1006</v>
      </c>
      <c r="G611" s="198" t="s">
        <v>1006</v>
      </c>
      <c r="H611" s="198" t="str">
        <f t="shared" si="30"/>
        <v/>
      </c>
      <c r="I611" s="228" t="str">
        <f t="shared" si="31"/>
        <v/>
      </c>
      <c r="J611" s="228" t="str">
        <f t="shared" si="32"/>
        <v/>
      </c>
      <c r="K611" s="229" t="str">
        <f t="shared" si="33"/>
        <v/>
      </c>
    </row>
    <row r="612" spans="6:11">
      <c r="F612" s="198" t="s">
        <v>1006</v>
      </c>
      <c r="G612" s="198" t="s">
        <v>1006</v>
      </c>
      <c r="H612" s="198" t="str">
        <f t="shared" si="30"/>
        <v/>
      </c>
      <c r="I612" s="228" t="str">
        <f t="shared" si="31"/>
        <v/>
      </c>
      <c r="J612" s="228" t="str">
        <f t="shared" si="32"/>
        <v/>
      </c>
      <c r="K612" s="229" t="str">
        <f t="shared" si="33"/>
        <v/>
      </c>
    </row>
    <row r="613" spans="6:11">
      <c r="F613" s="198" t="s">
        <v>1006</v>
      </c>
      <c r="G613" s="198" t="s">
        <v>1006</v>
      </c>
      <c r="H613" s="198" t="str">
        <f t="shared" si="30"/>
        <v/>
      </c>
      <c r="I613" s="228" t="str">
        <f t="shared" si="31"/>
        <v/>
      </c>
      <c r="J613" s="228" t="str">
        <f t="shared" si="32"/>
        <v/>
      </c>
      <c r="K613" s="229" t="str">
        <f t="shared" si="33"/>
        <v/>
      </c>
    </row>
    <row r="614" spans="6:11">
      <c r="F614" s="198" t="s">
        <v>1006</v>
      </c>
      <c r="G614" s="198" t="s">
        <v>1006</v>
      </c>
      <c r="H614" s="198" t="str">
        <f t="shared" si="30"/>
        <v/>
      </c>
      <c r="I614" s="228" t="str">
        <f t="shared" si="31"/>
        <v/>
      </c>
      <c r="J614" s="228" t="str">
        <f t="shared" si="32"/>
        <v/>
      </c>
      <c r="K614" s="229" t="str">
        <f t="shared" si="33"/>
        <v/>
      </c>
    </row>
    <row r="615" spans="6:11">
      <c r="F615" s="198" t="s">
        <v>1006</v>
      </c>
      <c r="G615" s="198" t="s">
        <v>1006</v>
      </c>
      <c r="H615" s="198" t="str">
        <f t="shared" si="30"/>
        <v/>
      </c>
      <c r="I615" s="228" t="str">
        <f t="shared" si="31"/>
        <v/>
      </c>
      <c r="J615" s="228" t="str">
        <f t="shared" si="32"/>
        <v/>
      </c>
      <c r="K615" s="229" t="str">
        <f t="shared" si="33"/>
        <v/>
      </c>
    </row>
    <row r="616" spans="6:11">
      <c r="F616" s="198" t="s">
        <v>1006</v>
      </c>
      <c r="G616" s="198" t="s">
        <v>1006</v>
      </c>
      <c r="H616" s="198" t="str">
        <f t="shared" si="30"/>
        <v/>
      </c>
      <c r="I616" s="228" t="str">
        <f t="shared" si="31"/>
        <v/>
      </c>
      <c r="J616" s="228" t="str">
        <f t="shared" si="32"/>
        <v/>
      </c>
      <c r="K616" s="229" t="str">
        <f t="shared" si="33"/>
        <v/>
      </c>
    </row>
    <row r="617" spans="6:11">
      <c r="F617" s="198" t="s">
        <v>1006</v>
      </c>
      <c r="G617" s="198" t="s">
        <v>1006</v>
      </c>
      <c r="H617" s="198" t="str">
        <f t="shared" si="30"/>
        <v/>
      </c>
      <c r="I617" s="228" t="str">
        <f t="shared" si="31"/>
        <v/>
      </c>
      <c r="J617" s="228" t="str">
        <f t="shared" si="32"/>
        <v/>
      </c>
      <c r="K617" s="229" t="str">
        <f t="shared" si="33"/>
        <v/>
      </c>
    </row>
    <row r="618" spans="6:11">
      <c r="F618" s="198" t="s">
        <v>1006</v>
      </c>
      <c r="G618" s="198" t="s">
        <v>1006</v>
      </c>
      <c r="H618" s="198" t="str">
        <f t="shared" si="30"/>
        <v/>
      </c>
      <c r="I618" s="228" t="str">
        <f t="shared" si="31"/>
        <v/>
      </c>
      <c r="J618" s="228" t="str">
        <f t="shared" si="32"/>
        <v/>
      </c>
      <c r="K618" s="229" t="str">
        <f t="shared" si="33"/>
        <v/>
      </c>
    </row>
    <row r="619" spans="6:11">
      <c r="F619" s="198" t="s">
        <v>1006</v>
      </c>
      <c r="G619" s="198" t="s">
        <v>1006</v>
      </c>
      <c r="H619" s="198" t="str">
        <f t="shared" si="30"/>
        <v/>
      </c>
      <c r="I619" s="228" t="str">
        <f t="shared" si="31"/>
        <v/>
      </c>
      <c r="J619" s="228" t="str">
        <f t="shared" si="32"/>
        <v/>
      </c>
      <c r="K619" s="229" t="str">
        <f t="shared" si="33"/>
        <v/>
      </c>
    </row>
    <row r="620" spans="6:11">
      <c r="F620" s="198" t="s">
        <v>1006</v>
      </c>
      <c r="G620" s="198" t="s">
        <v>1006</v>
      </c>
      <c r="H620" s="198" t="str">
        <f t="shared" si="30"/>
        <v/>
      </c>
      <c r="I620" s="228" t="str">
        <f t="shared" si="31"/>
        <v/>
      </c>
      <c r="J620" s="228" t="str">
        <f t="shared" si="32"/>
        <v/>
      </c>
      <c r="K620" s="229" t="str">
        <f t="shared" si="33"/>
        <v/>
      </c>
    </row>
    <row r="621" spans="6:11">
      <c r="F621" s="198" t="s">
        <v>1006</v>
      </c>
      <c r="G621" s="198" t="s">
        <v>1006</v>
      </c>
      <c r="H621" s="198" t="str">
        <f t="shared" si="30"/>
        <v/>
      </c>
      <c r="I621" s="228" t="str">
        <f t="shared" si="31"/>
        <v/>
      </c>
      <c r="J621" s="228" t="str">
        <f t="shared" si="32"/>
        <v/>
      </c>
      <c r="K621" s="229" t="str">
        <f t="shared" si="33"/>
        <v/>
      </c>
    </row>
    <row r="622" spans="6:11">
      <c r="F622" s="198" t="s">
        <v>1006</v>
      </c>
      <c r="G622" s="198" t="s">
        <v>1006</v>
      </c>
      <c r="H622" s="198" t="str">
        <f t="shared" si="30"/>
        <v/>
      </c>
      <c r="I622" s="228" t="str">
        <f t="shared" si="31"/>
        <v/>
      </c>
      <c r="J622" s="228" t="str">
        <f t="shared" si="32"/>
        <v/>
      </c>
      <c r="K622" s="229" t="str">
        <f t="shared" si="33"/>
        <v/>
      </c>
    </row>
    <row r="623" spans="6:11">
      <c r="F623" s="198" t="s">
        <v>1006</v>
      </c>
      <c r="G623" s="198" t="s">
        <v>1006</v>
      </c>
      <c r="H623" s="198" t="str">
        <f t="shared" si="30"/>
        <v/>
      </c>
      <c r="I623" s="228" t="str">
        <f t="shared" si="31"/>
        <v/>
      </c>
      <c r="J623" s="228" t="str">
        <f t="shared" si="32"/>
        <v/>
      </c>
      <c r="K623" s="229" t="str">
        <f t="shared" si="33"/>
        <v/>
      </c>
    </row>
    <row r="624" spans="6:11">
      <c r="F624" s="198" t="s">
        <v>1006</v>
      </c>
      <c r="G624" s="198" t="s">
        <v>1006</v>
      </c>
      <c r="H624" s="198" t="str">
        <f t="shared" si="30"/>
        <v/>
      </c>
      <c r="I624" s="228" t="str">
        <f t="shared" si="31"/>
        <v/>
      </c>
      <c r="J624" s="228" t="str">
        <f t="shared" si="32"/>
        <v/>
      </c>
      <c r="K624" s="229" t="str">
        <f t="shared" si="33"/>
        <v/>
      </c>
    </row>
    <row r="625" spans="6:11">
      <c r="F625" s="198" t="s">
        <v>1006</v>
      </c>
      <c r="G625" s="198" t="s">
        <v>1006</v>
      </c>
      <c r="H625" s="198" t="str">
        <f t="shared" si="30"/>
        <v/>
      </c>
      <c r="I625" s="228" t="str">
        <f t="shared" si="31"/>
        <v/>
      </c>
      <c r="J625" s="228" t="str">
        <f t="shared" si="32"/>
        <v/>
      </c>
      <c r="K625" s="229" t="str">
        <f t="shared" si="33"/>
        <v/>
      </c>
    </row>
    <row r="626" spans="6:11">
      <c r="F626" s="198" t="s">
        <v>1006</v>
      </c>
      <c r="G626" s="198" t="s">
        <v>1006</v>
      </c>
      <c r="H626" s="198" t="str">
        <f t="shared" si="30"/>
        <v/>
      </c>
      <c r="I626" s="228" t="str">
        <f t="shared" si="31"/>
        <v/>
      </c>
      <c r="J626" s="228" t="str">
        <f t="shared" si="32"/>
        <v/>
      </c>
      <c r="K626" s="229" t="str">
        <f t="shared" si="33"/>
        <v/>
      </c>
    </row>
    <row r="627" spans="6:11">
      <c r="F627" s="198" t="s">
        <v>1006</v>
      </c>
      <c r="G627" s="198" t="s">
        <v>1006</v>
      </c>
      <c r="H627" s="198" t="str">
        <f t="shared" si="30"/>
        <v/>
      </c>
      <c r="I627" s="228" t="str">
        <f t="shared" si="31"/>
        <v/>
      </c>
      <c r="J627" s="228" t="str">
        <f t="shared" si="32"/>
        <v/>
      </c>
      <c r="K627" s="229" t="str">
        <f t="shared" si="33"/>
        <v/>
      </c>
    </row>
    <row r="628" spans="6:11">
      <c r="F628" s="198" t="s">
        <v>1006</v>
      </c>
      <c r="G628" s="198" t="s">
        <v>1006</v>
      </c>
      <c r="H628" s="198" t="str">
        <f t="shared" si="30"/>
        <v/>
      </c>
      <c r="I628" s="228" t="str">
        <f t="shared" si="31"/>
        <v/>
      </c>
      <c r="J628" s="228" t="str">
        <f t="shared" si="32"/>
        <v/>
      </c>
      <c r="K628" s="229" t="str">
        <f t="shared" si="33"/>
        <v/>
      </c>
    </row>
    <row r="629" spans="6:11">
      <c r="F629" s="198" t="s">
        <v>1006</v>
      </c>
      <c r="G629" s="198" t="s">
        <v>1006</v>
      </c>
      <c r="H629" s="198" t="str">
        <f t="shared" si="30"/>
        <v/>
      </c>
      <c r="I629" s="228" t="str">
        <f t="shared" si="31"/>
        <v/>
      </c>
      <c r="J629" s="228" t="str">
        <f t="shared" si="32"/>
        <v/>
      </c>
      <c r="K629" s="229" t="str">
        <f t="shared" si="33"/>
        <v/>
      </c>
    </row>
    <row r="630" spans="6:11">
      <c r="F630" s="198" t="s">
        <v>1006</v>
      </c>
      <c r="G630" s="198" t="s">
        <v>1006</v>
      </c>
      <c r="H630" s="198" t="str">
        <f t="shared" si="30"/>
        <v/>
      </c>
      <c r="I630" s="228" t="str">
        <f t="shared" si="31"/>
        <v/>
      </c>
      <c r="J630" s="228" t="str">
        <f t="shared" si="32"/>
        <v/>
      </c>
      <c r="K630" s="229" t="str">
        <f t="shared" si="33"/>
        <v/>
      </c>
    </row>
    <row r="631" spans="6:11">
      <c r="F631" s="198" t="s">
        <v>1006</v>
      </c>
      <c r="G631" s="198" t="s">
        <v>1006</v>
      </c>
      <c r="H631" s="198" t="str">
        <f t="shared" si="30"/>
        <v/>
      </c>
      <c r="I631" s="228" t="str">
        <f t="shared" si="31"/>
        <v/>
      </c>
      <c r="J631" s="228" t="str">
        <f t="shared" si="32"/>
        <v/>
      </c>
      <c r="K631" s="229" t="str">
        <f t="shared" si="33"/>
        <v/>
      </c>
    </row>
    <row r="632" spans="6:11">
      <c r="F632" s="198" t="s">
        <v>1006</v>
      </c>
      <c r="G632" s="198" t="s">
        <v>1006</v>
      </c>
      <c r="H632" s="198" t="str">
        <f t="shared" si="30"/>
        <v/>
      </c>
      <c r="I632" s="228" t="str">
        <f t="shared" si="31"/>
        <v/>
      </c>
      <c r="J632" s="228" t="str">
        <f t="shared" si="32"/>
        <v/>
      </c>
      <c r="K632" s="229" t="str">
        <f t="shared" si="33"/>
        <v/>
      </c>
    </row>
    <row r="633" spans="6:11">
      <c r="F633" s="198" t="s">
        <v>1006</v>
      </c>
      <c r="G633" s="198" t="s">
        <v>1006</v>
      </c>
      <c r="H633" s="198" t="str">
        <f t="shared" si="30"/>
        <v/>
      </c>
      <c r="I633" s="228" t="str">
        <f t="shared" si="31"/>
        <v/>
      </c>
      <c r="J633" s="228" t="str">
        <f t="shared" si="32"/>
        <v/>
      </c>
      <c r="K633" s="229" t="str">
        <f t="shared" si="33"/>
        <v/>
      </c>
    </row>
    <row r="634" spans="6:11">
      <c r="F634" s="198" t="s">
        <v>1006</v>
      </c>
      <c r="G634" s="198" t="s">
        <v>1006</v>
      </c>
      <c r="H634" s="198" t="str">
        <f t="shared" si="30"/>
        <v/>
      </c>
      <c r="I634" s="228" t="str">
        <f t="shared" si="31"/>
        <v/>
      </c>
      <c r="J634" s="228" t="str">
        <f t="shared" si="32"/>
        <v/>
      </c>
      <c r="K634" s="229" t="str">
        <f t="shared" si="33"/>
        <v/>
      </c>
    </row>
    <row r="635" spans="6:11">
      <c r="F635" s="198" t="s">
        <v>1006</v>
      </c>
      <c r="G635" s="198" t="s">
        <v>1006</v>
      </c>
      <c r="H635" s="198" t="str">
        <f t="shared" si="30"/>
        <v/>
      </c>
      <c r="I635" s="228" t="str">
        <f t="shared" si="31"/>
        <v/>
      </c>
      <c r="J635" s="228" t="str">
        <f t="shared" si="32"/>
        <v/>
      </c>
      <c r="K635" s="229" t="str">
        <f t="shared" si="33"/>
        <v/>
      </c>
    </row>
    <row r="636" spans="6:11">
      <c r="F636" s="198" t="s">
        <v>1006</v>
      </c>
      <c r="G636" s="198" t="s">
        <v>1006</v>
      </c>
      <c r="H636" s="198" t="str">
        <f t="shared" si="30"/>
        <v/>
      </c>
      <c r="I636" s="228" t="str">
        <f t="shared" si="31"/>
        <v/>
      </c>
      <c r="J636" s="228" t="str">
        <f t="shared" si="32"/>
        <v/>
      </c>
      <c r="K636" s="229" t="str">
        <f t="shared" si="33"/>
        <v/>
      </c>
    </row>
    <row r="637" spans="6:11">
      <c r="F637" s="198" t="s">
        <v>1006</v>
      </c>
      <c r="G637" s="198" t="s">
        <v>1006</v>
      </c>
      <c r="H637" s="198" t="str">
        <f t="shared" si="30"/>
        <v/>
      </c>
      <c r="I637" s="228" t="str">
        <f t="shared" si="31"/>
        <v/>
      </c>
      <c r="J637" s="228" t="str">
        <f t="shared" si="32"/>
        <v/>
      </c>
      <c r="K637" s="229" t="str">
        <f t="shared" si="33"/>
        <v/>
      </c>
    </row>
    <row r="638" spans="6:11">
      <c r="F638" s="198" t="s">
        <v>1006</v>
      </c>
      <c r="G638" s="198" t="s">
        <v>1006</v>
      </c>
      <c r="H638" s="198" t="str">
        <f t="shared" si="30"/>
        <v/>
      </c>
      <c r="I638" s="228" t="str">
        <f t="shared" si="31"/>
        <v/>
      </c>
      <c r="J638" s="228" t="str">
        <f t="shared" si="32"/>
        <v/>
      </c>
      <c r="K638" s="229" t="str">
        <f t="shared" si="33"/>
        <v/>
      </c>
    </row>
    <row r="639" spans="6:11">
      <c r="F639" s="198" t="s">
        <v>1006</v>
      </c>
      <c r="G639" s="198" t="s">
        <v>1006</v>
      </c>
      <c r="H639" s="198" t="str">
        <f t="shared" si="30"/>
        <v/>
      </c>
      <c r="I639" s="228" t="str">
        <f t="shared" si="31"/>
        <v/>
      </c>
      <c r="J639" s="228" t="str">
        <f t="shared" si="32"/>
        <v/>
      </c>
      <c r="K639" s="229" t="str">
        <f t="shared" si="33"/>
        <v/>
      </c>
    </row>
    <row r="640" spans="6:11">
      <c r="F640" s="198" t="s">
        <v>1006</v>
      </c>
      <c r="G640" s="198" t="s">
        <v>1006</v>
      </c>
      <c r="H640" s="198" t="str">
        <f t="shared" si="30"/>
        <v/>
      </c>
      <c r="I640" s="228" t="str">
        <f t="shared" si="31"/>
        <v/>
      </c>
      <c r="J640" s="228" t="str">
        <f t="shared" si="32"/>
        <v/>
      </c>
      <c r="K640" s="229" t="str">
        <f t="shared" si="33"/>
        <v/>
      </c>
    </row>
    <row r="641" spans="6:11">
      <c r="F641" s="198" t="s">
        <v>1006</v>
      </c>
      <c r="G641" s="198" t="s">
        <v>1006</v>
      </c>
      <c r="H641" s="198" t="str">
        <f t="shared" si="30"/>
        <v/>
      </c>
      <c r="I641" s="228" t="str">
        <f t="shared" si="31"/>
        <v/>
      </c>
      <c r="J641" s="228" t="str">
        <f t="shared" si="32"/>
        <v/>
      </c>
      <c r="K641" s="229" t="str">
        <f t="shared" si="33"/>
        <v/>
      </c>
    </row>
    <row r="642" spans="6:11">
      <c r="F642" s="198" t="s">
        <v>1006</v>
      </c>
      <c r="G642" s="198" t="s">
        <v>1006</v>
      </c>
      <c r="H642" s="198" t="str">
        <f t="shared" si="30"/>
        <v/>
      </c>
      <c r="I642" s="228" t="str">
        <f t="shared" si="31"/>
        <v/>
      </c>
      <c r="J642" s="228" t="str">
        <f t="shared" si="32"/>
        <v/>
      </c>
      <c r="K642" s="229" t="str">
        <f t="shared" si="33"/>
        <v/>
      </c>
    </row>
    <row r="643" spans="6:11">
      <c r="F643" s="198" t="s">
        <v>1006</v>
      </c>
      <c r="G643" s="198" t="s">
        <v>1006</v>
      </c>
      <c r="H643" s="198" t="str">
        <f t="shared" si="30"/>
        <v/>
      </c>
      <c r="I643" s="228" t="str">
        <f t="shared" si="31"/>
        <v/>
      </c>
      <c r="J643" s="228" t="str">
        <f t="shared" si="32"/>
        <v/>
      </c>
      <c r="K643" s="229" t="str">
        <f t="shared" si="33"/>
        <v/>
      </c>
    </row>
    <row r="644" spans="6:11">
      <c r="F644" s="198" t="s">
        <v>1006</v>
      </c>
      <c r="G644" s="198" t="s">
        <v>1006</v>
      </c>
      <c r="H644" s="198" t="str">
        <f t="shared" ref="H644:H707" si="34">IF(F644&lt;G644,F644,G644)</f>
        <v/>
      </c>
      <c r="I644" s="228" t="str">
        <f t="shared" ref="I644:I707" si="35">IF(DAY(B644)=1,600,"")</f>
        <v/>
      </c>
      <c r="J644" s="228" t="str">
        <f t="shared" ref="J644:J707" si="36">IF(DAY(B644)=15,MID(A644,1,1),"")</f>
        <v/>
      </c>
      <c r="K644" s="229" t="str">
        <f t="shared" si="33"/>
        <v/>
      </c>
    </row>
    <row r="645" spans="6:11">
      <c r="F645" s="198" t="s">
        <v>1006</v>
      </c>
      <c r="G645" s="198" t="s">
        <v>1006</v>
      </c>
      <c r="H645" s="198" t="str">
        <f t="shared" si="34"/>
        <v/>
      </c>
      <c r="I645" s="228" t="str">
        <f t="shared" si="35"/>
        <v/>
      </c>
      <c r="J645" s="228" t="str">
        <f t="shared" si="36"/>
        <v/>
      </c>
      <c r="K645" s="229" t="str">
        <f t="shared" si="33"/>
        <v/>
      </c>
    </row>
    <row r="646" spans="6:11">
      <c r="F646" s="198" t="s">
        <v>1006</v>
      </c>
      <c r="G646" s="198" t="s">
        <v>1006</v>
      </c>
      <c r="H646" s="198" t="str">
        <f t="shared" si="34"/>
        <v/>
      </c>
      <c r="I646" s="228" t="str">
        <f t="shared" si="35"/>
        <v/>
      </c>
      <c r="J646" s="228" t="str">
        <f t="shared" si="36"/>
        <v/>
      </c>
      <c r="K646" s="229" t="str">
        <f t="shared" si="33"/>
        <v/>
      </c>
    </row>
    <row r="647" spans="6:11">
      <c r="F647" s="198" t="s">
        <v>1006</v>
      </c>
      <c r="G647" s="198" t="s">
        <v>1006</v>
      </c>
      <c r="H647" s="198" t="str">
        <f t="shared" si="34"/>
        <v/>
      </c>
      <c r="I647" s="228" t="str">
        <f t="shared" si="35"/>
        <v/>
      </c>
      <c r="J647" s="228" t="str">
        <f t="shared" si="36"/>
        <v/>
      </c>
      <c r="K647" s="229" t="str">
        <f t="shared" si="33"/>
        <v/>
      </c>
    </row>
    <row r="648" spans="6:11">
      <c r="F648" s="198" t="s">
        <v>1006</v>
      </c>
      <c r="G648" s="198" t="s">
        <v>1006</v>
      </c>
      <c r="H648" s="198" t="str">
        <f t="shared" si="34"/>
        <v/>
      </c>
      <c r="I648" s="228" t="str">
        <f t="shared" si="35"/>
        <v/>
      </c>
      <c r="J648" s="228" t="str">
        <f t="shared" si="36"/>
        <v/>
      </c>
      <c r="K648" s="229" t="str">
        <f t="shared" si="33"/>
        <v/>
      </c>
    </row>
    <row r="649" spans="6:11">
      <c r="F649" s="198" t="s">
        <v>1006</v>
      </c>
      <c r="G649" s="198" t="s">
        <v>1006</v>
      </c>
      <c r="H649" s="198" t="str">
        <f t="shared" si="34"/>
        <v/>
      </c>
      <c r="I649" s="228" t="str">
        <f t="shared" si="35"/>
        <v/>
      </c>
      <c r="J649" s="228" t="str">
        <f t="shared" si="36"/>
        <v/>
      </c>
      <c r="K649" s="229" t="str">
        <f t="shared" si="33"/>
        <v/>
      </c>
    </row>
    <row r="650" spans="6:11">
      <c r="F650" s="198" t="s">
        <v>1006</v>
      </c>
      <c r="G650" s="198" t="s">
        <v>1006</v>
      </c>
      <c r="H650" s="198" t="str">
        <f t="shared" si="34"/>
        <v/>
      </c>
      <c r="I650" s="228" t="str">
        <f t="shared" si="35"/>
        <v/>
      </c>
      <c r="J650" s="228" t="str">
        <f t="shared" si="36"/>
        <v/>
      </c>
      <c r="K650" s="229" t="str">
        <f t="shared" si="33"/>
        <v/>
      </c>
    </row>
    <row r="651" spans="6:11">
      <c r="F651" s="198" t="s">
        <v>1006</v>
      </c>
      <c r="G651" s="198" t="s">
        <v>1006</v>
      </c>
      <c r="H651" s="198" t="str">
        <f t="shared" si="34"/>
        <v/>
      </c>
      <c r="I651" s="228" t="str">
        <f t="shared" si="35"/>
        <v/>
      </c>
      <c r="J651" s="228" t="str">
        <f t="shared" si="36"/>
        <v/>
      </c>
      <c r="K651" s="229" t="str">
        <f t="shared" si="33"/>
        <v/>
      </c>
    </row>
    <row r="652" spans="6:11">
      <c r="F652" s="198" t="s">
        <v>1006</v>
      </c>
      <c r="G652" s="198" t="s">
        <v>1006</v>
      </c>
      <c r="H652" s="198" t="str">
        <f t="shared" si="34"/>
        <v/>
      </c>
      <c r="I652" s="228" t="str">
        <f t="shared" si="35"/>
        <v/>
      </c>
      <c r="J652" s="228" t="str">
        <f t="shared" si="36"/>
        <v/>
      </c>
      <c r="K652" s="229" t="str">
        <f t="shared" si="33"/>
        <v/>
      </c>
    </row>
    <row r="653" spans="6:11">
      <c r="F653" s="198" t="s">
        <v>1006</v>
      </c>
      <c r="G653" s="198" t="s">
        <v>1006</v>
      </c>
      <c r="H653" s="198" t="str">
        <f t="shared" si="34"/>
        <v/>
      </c>
      <c r="I653" s="228" t="str">
        <f t="shared" si="35"/>
        <v/>
      </c>
      <c r="J653" s="228" t="str">
        <f t="shared" si="36"/>
        <v/>
      </c>
      <c r="K653" s="229" t="str">
        <f t="shared" si="33"/>
        <v/>
      </c>
    </row>
    <row r="654" spans="6:11">
      <c r="F654" s="198" t="s">
        <v>1006</v>
      </c>
      <c r="G654" s="198" t="s">
        <v>1006</v>
      </c>
      <c r="H654" s="198" t="str">
        <f t="shared" si="34"/>
        <v/>
      </c>
      <c r="I654" s="228" t="str">
        <f t="shared" si="35"/>
        <v/>
      </c>
      <c r="J654" s="228" t="str">
        <f t="shared" si="36"/>
        <v/>
      </c>
      <c r="K654" s="229" t="str">
        <f t="shared" si="33"/>
        <v/>
      </c>
    </row>
    <row r="655" spans="6:11">
      <c r="F655" s="198" t="s">
        <v>1006</v>
      </c>
      <c r="G655" s="198" t="s">
        <v>1006</v>
      </c>
      <c r="H655" s="198" t="str">
        <f t="shared" si="34"/>
        <v/>
      </c>
      <c r="I655" s="228" t="str">
        <f t="shared" si="35"/>
        <v/>
      </c>
      <c r="J655" s="228" t="str">
        <f t="shared" si="36"/>
        <v/>
      </c>
      <c r="K655" s="229" t="str">
        <f t="shared" si="33"/>
        <v/>
      </c>
    </row>
    <row r="656" spans="6:11">
      <c r="F656" s="198" t="s">
        <v>1006</v>
      </c>
      <c r="G656" s="198" t="s">
        <v>1006</v>
      </c>
      <c r="H656" s="198" t="str">
        <f t="shared" si="34"/>
        <v/>
      </c>
      <c r="I656" s="228" t="str">
        <f t="shared" si="35"/>
        <v/>
      </c>
      <c r="J656" s="228" t="str">
        <f t="shared" si="36"/>
        <v/>
      </c>
      <c r="K656" s="229" t="str">
        <f t="shared" si="33"/>
        <v/>
      </c>
    </row>
    <row r="657" spans="6:11">
      <c r="F657" s="198" t="s">
        <v>1006</v>
      </c>
      <c r="G657" s="198" t="s">
        <v>1006</v>
      </c>
      <c r="H657" s="198" t="str">
        <f t="shared" si="34"/>
        <v/>
      </c>
      <c r="I657" s="228" t="str">
        <f t="shared" si="35"/>
        <v/>
      </c>
      <c r="J657" s="228" t="str">
        <f t="shared" si="36"/>
        <v/>
      </c>
      <c r="K657" s="229" t="str">
        <f t="shared" si="33"/>
        <v/>
      </c>
    </row>
    <row r="658" spans="6:11">
      <c r="F658" s="198" t="s">
        <v>1006</v>
      </c>
      <c r="G658" s="198" t="s">
        <v>1006</v>
      </c>
      <c r="H658" s="198" t="str">
        <f t="shared" si="34"/>
        <v/>
      </c>
      <c r="I658" s="228" t="str">
        <f t="shared" si="35"/>
        <v/>
      </c>
      <c r="J658" s="228" t="str">
        <f t="shared" si="36"/>
        <v/>
      </c>
      <c r="K658" s="229" t="str">
        <f t="shared" si="33"/>
        <v/>
      </c>
    </row>
    <row r="659" spans="6:11">
      <c r="F659" s="198" t="s">
        <v>1006</v>
      </c>
      <c r="G659" s="198" t="s">
        <v>1006</v>
      </c>
      <c r="H659" s="198" t="str">
        <f t="shared" si="34"/>
        <v/>
      </c>
      <c r="I659" s="228" t="str">
        <f t="shared" si="35"/>
        <v/>
      </c>
      <c r="J659" s="228" t="str">
        <f t="shared" si="36"/>
        <v/>
      </c>
      <c r="K659" s="229" t="str">
        <f t="shared" si="33"/>
        <v/>
      </c>
    </row>
    <row r="660" spans="6:11">
      <c r="F660" s="198" t="s">
        <v>1006</v>
      </c>
      <c r="G660" s="198" t="s">
        <v>1006</v>
      </c>
      <c r="H660" s="198" t="str">
        <f t="shared" si="34"/>
        <v/>
      </c>
      <c r="I660" s="228" t="str">
        <f t="shared" si="35"/>
        <v/>
      </c>
      <c r="J660" s="228" t="str">
        <f t="shared" si="36"/>
        <v/>
      </c>
      <c r="K660" s="229" t="str">
        <f t="shared" ref="K660:K723" si="37">IF(DAY(B660)=15,G660,"")</f>
        <v/>
      </c>
    </row>
    <row r="661" spans="6:11">
      <c r="F661" s="198" t="s">
        <v>1006</v>
      </c>
      <c r="G661" s="198" t="s">
        <v>1006</v>
      </c>
      <c r="H661" s="198" t="str">
        <f t="shared" si="34"/>
        <v/>
      </c>
      <c r="I661" s="228" t="str">
        <f t="shared" si="35"/>
        <v/>
      </c>
      <c r="J661" s="228" t="str">
        <f t="shared" si="36"/>
        <v/>
      </c>
      <c r="K661" s="229" t="str">
        <f t="shared" si="37"/>
        <v/>
      </c>
    </row>
    <row r="662" spans="6:11">
      <c r="F662" s="198" t="s">
        <v>1006</v>
      </c>
      <c r="G662" s="198" t="s">
        <v>1006</v>
      </c>
      <c r="H662" s="198" t="str">
        <f t="shared" si="34"/>
        <v/>
      </c>
      <c r="I662" s="228" t="str">
        <f t="shared" si="35"/>
        <v/>
      </c>
      <c r="J662" s="228" t="str">
        <f t="shared" si="36"/>
        <v/>
      </c>
      <c r="K662" s="229" t="str">
        <f t="shared" si="37"/>
        <v/>
      </c>
    </row>
    <row r="663" spans="6:11">
      <c r="F663" s="198" t="s">
        <v>1006</v>
      </c>
      <c r="G663" s="198" t="s">
        <v>1006</v>
      </c>
      <c r="H663" s="198" t="str">
        <f t="shared" si="34"/>
        <v/>
      </c>
      <c r="I663" s="228" t="str">
        <f t="shared" si="35"/>
        <v/>
      </c>
      <c r="J663" s="228" t="str">
        <f t="shared" si="36"/>
        <v/>
      </c>
      <c r="K663" s="229" t="str">
        <f t="shared" si="37"/>
        <v/>
      </c>
    </row>
    <row r="664" spans="6:11">
      <c r="F664" s="198" t="s">
        <v>1006</v>
      </c>
      <c r="G664" s="198" t="s">
        <v>1006</v>
      </c>
      <c r="H664" s="198" t="str">
        <f t="shared" si="34"/>
        <v/>
      </c>
      <c r="I664" s="228" t="str">
        <f t="shared" si="35"/>
        <v/>
      </c>
      <c r="J664" s="228" t="str">
        <f t="shared" si="36"/>
        <v/>
      </c>
      <c r="K664" s="229" t="str">
        <f t="shared" si="37"/>
        <v/>
      </c>
    </row>
    <row r="665" spans="6:11">
      <c r="F665" s="198" t="s">
        <v>1006</v>
      </c>
      <c r="G665" s="198" t="s">
        <v>1006</v>
      </c>
      <c r="H665" s="198" t="str">
        <f t="shared" si="34"/>
        <v/>
      </c>
      <c r="I665" s="228" t="str">
        <f t="shared" si="35"/>
        <v/>
      </c>
      <c r="J665" s="228" t="str">
        <f t="shared" si="36"/>
        <v/>
      </c>
      <c r="K665" s="229" t="str">
        <f t="shared" si="37"/>
        <v/>
      </c>
    </row>
    <row r="666" spans="6:11">
      <c r="F666" s="198" t="s">
        <v>1006</v>
      </c>
      <c r="G666" s="198" t="s">
        <v>1006</v>
      </c>
      <c r="H666" s="198" t="str">
        <f t="shared" si="34"/>
        <v/>
      </c>
      <c r="I666" s="228" t="str">
        <f t="shared" si="35"/>
        <v/>
      </c>
      <c r="J666" s="228" t="str">
        <f t="shared" si="36"/>
        <v/>
      </c>
      <c r="K666" s="229" t="str">
        <f t="shared" si="37"/>
        <v/>
      </c>
    </row>
    <row r="667" spans="6:11">
      <c r="F667" s="198" t="s">
        <v>1006</v>
      </c>
      <c r="G667" s="198" t="s">
        <v>1006</v>
      </c>
      <c r="H667" s="198" t="str">
        <f t="shared" si="34"/>
        <v/>
      </c>
      <c r="I667" s="228" t="str">
        <f t="shared" si="35"/>
        <v/>
      </c>
      <c r="J667" s="228" t="str">
        <f t="shared" si="36"/>
        <v/>
      </c>
      <c r="K667" s="229" t="str">
        <f t="shared" si="37"/>
        <v/>
      </c>
    </row>
    <row r="668" spans="6:11">
      <c r="F668" s="198" t="s">
        <v>1006</v>
      </c>
      <c r="G668" s="198" t="s">
        <v>1006</v>
      </c>
      <c r="H668" s="198" t="str">
        <f t="shared" si="34"/>
        <v/>
      </c>
      <c r="I668" s="228" t="str">
        <f t="shared" si="35"/>
        <v/>
      </c>
      <c r="J668" s="228" t="str">
        <f t="shared" si="36"/>
        <v/>
      </c>
      <c r="K668" s="229" t="str">
        <f t="shared" si="37"/>
        <v/>
      </c>
    </row>
    <row r="669" spans="6:11">
      <c r="F669" s="198" t="s">
        <v>1006</v>
      </c>
      <c r="G669" s="198" t="s">
        <v>1006</v>
      </c>
      <c r="H669" s="198" t="str">
        <f t="shared" si="34"/>
        <v/>
      </c>
      <c r="I669" s="228" t="str">
        <f t="shared" si="35"/>
        <v/>
      </c>
      <c r="J669" s="228" t="str">
        <f t="shared" si="36"/>
        <v/>
      </c>
      <c r="K669" s="229" t="str">
        <f t="shared" si="37"/>
        <v/>
      </c>
    </row>
    <row r="670" spans="6:11">
      <c r="F670" s="198" t="s">
        <v>1006</v>
      </c>
      <c r="G670" s="198" t="s">
        <v>1006</v>
      </c>
      <c r="H670" s="198" t="str">
        <f t="shared" si="34"/>
        <v/>
      </c>
      <c r="I670" s="228" t="str">
        <f t="shared" si="35"/>
        <v/>
      </c>
      <c r="J670" s="228" t="str">
        <f t="shared" si="36"/>
        <v/>
      </c>
      <c r="K670" s="229" t="str">
        <f t="shared" si="37"/>
        <v/>
      </c>
    </row>
    <row r="671" spans="6:11">
      <c r="F671" s="198" t="s">
        <v>1006</v>
      </c>
      <c r="G671" s="198" t="s">
        <v>1006</v>
      </c>
      <c r="H671" s="198" t="str">
        <f t="shared" si="34"/>
        <v/>
      </c>
      <c r="I671" s="228" t="str">
        <f t="shared" si="35"/>
        <v/>
      </c>
      <c r="J671" s="228" t="str">
        <f t="shared" si="36"/>
        <v/>
      </c>
      <c r="K671" s="229" t="str">
        <f t="shared" si="37"/>
        <v/>
      </c>
    </row>
    <row r="672" spans="6:11">
      <c r="F672" s="198" t="s">
        <v>1006</v>
      </c>
      <c r="G672" s="198" t="s">
        <v>1006</v>
      </c>
      <c r="H672" s="198" t="str">
        <f t="shared" si="34"/>
        <v/>
      </c>
      <c r="I672" s="228" t="str">
        <f t="shared" si="35"/>
        <v/>
      </c>
      <c r="J672" s="228" t="str">
        <f t="shared" si="36"/>
        <v/>
      </c>
      <c r="K672" s="229" t="str">
        <f t="shared" si="37"/>
        <v/>
      </c>
    </row>
    <row r="673" spans="6:11">
      <c r="F673" s="198" t="s">
        <v>1006</v>
      </c>
      <c r="G673" s="198" t="s">
        <v>1006</v>
      </c>
      <c r="H673" s="198" t="str">
        <f t="shared" si="34"/>
        <v/>
      </c>
      <c r="I673" s="228" t="str">
        <f t="shared" si="35"/>
        <v/>
      </c>
      <c r="J673" s="228" t="str">
        <f t="shared" si="36"/>
        <v/>
      </c>
      <c r="K673" s="229" t="str">
        <f t="shared" si="37"/>
        <v/>
      </c>
    </row>
    <row r="674" spans="6:11">
      <c r="F674" s="198" t="s">
        <v>1006</v>
      </c>
      <c r="G674" s="198" t="s">
        <v>1006</v>
      </c>
      <c r="H674" s="198" t="str">
        <f t="shared" si="34"/>
        <v/>
      </c>
      <c r="I674" s="228" t="str">
        <f t="shared" si="35"/>
        <v/>
      </c>
      <c r="J674" s="228" t="str">
        <f t="shared" si="36"/>
        <v/>
      </c>
      <c r="K674" s="229" t="str">
        <f t="shared" si="37"/>
        <v/>
      </c>
    </row>
    <row r="675" spans="6:11">
      <c r="F675" s="198" t="s">
        <v>1006</v>
      </c>
      <c r="G675" s="198" t="s">
        <v>1006</v>
      </c>
      <c r="H675" s="198" t="str">
        <f t="shared" si="34"/>
        <v/>
      </c>
      <c r="I675" s="228" t="str">
        <f t="shared" si="35"/>
        <v/>
      </c>
      <c r="J675" s="228" t="str">
        <f t="shared" si="36"/>
        <v/>
      </c>
      <c r="K675" s="229" t="str">
        <f t="shared" si="37"/>
        <v/>
      </c>
    </row>
    <row r="676" spans="6:11">
      <c r="F676" s="198" t="s">
        <v>1006</v>
      </c>
      <c r="G676" s="198" t="s">
        <v>1006</v>
      </c>
      <c r="H676" s="198" t="str">
        <f t="shared" si="34"/>
        <v/>
      </c>
      <c r="I676" s="228" t="str">
        <f t="shared" si="35"/>
        <v/>
      </c>
      <c r="J676" s="228" t="str">
        <f t="shared" si="36"/>
        <v/>
      </c>
      <c r="K676" s="229" t="str">
        <f t="shared" si="37"/>
        <v/>
      </c>
    </row>
    <row r="677" spans="6:11">
      <c r="F677" s="198" t="s">
        <v>1006</v>
      </c>
      <c r="G677" s="198" t="s">
        <v>1006</v>
      </c>
      <c r="H677" s="198" t="str">
        <f t="shared" si="34"/>
        <v/>
      </c>
      <c r="I677" s="228" t="str">
        <f t="shared" si="35"/>
        <v/>
      </c>
      <c r="J677" s="228" t="str">
        <f t="shared" si="36"/>
        <v/>
      </c>
      <c r="K677" s="229" t="str">
        <f t="shared" si="37"/>
        <v/>
      </c>
    </row>
    <row r="678" spans="6:11">
      <c r="F678" s="198" t="s">
        <v>1006</v>
      </c>
      <c r="G678" s="198" t="s">
        <v>1006</v>
      </c>
      <c r="H678" s="198" t="str">
        <f t="shared" si="34"/>
        <v/>
      </c>
      <c r="I678" s="228" t="str">
        <f t="shared" si="35"/>
        <v/>
      </c>
      <c r="J678" s="228" t="str">
        <f t="shared" si="36"/>
        <v/>
      </c>
      <c r="K678" s="229" t="str">
        <f t="shared" si="37"/>
        <v/>
      </c>
    </row>
    <row r="679" spans="6:11">
      <c r="F679" s="198" t="s">
        <v>1006</v>
      </c>
      <c r="G679" s="198" t="s">
        <v>1006</v>
      </c>
      <c r="H679" s="198" t="str">
        <f t="shared" si="34"/>
        <v/>
      </c>
      <c r="I679" s="228" t="str">
        <f t="shared" si="35"/>
        <v/>
      </c>
      <c r="J679" s="228" t="str">
        <f t="shared" si="36"/>
        <v/>
      </c>
      <c r="K679" s="229" t="str">
        <f t="shared" si="37"/>
        <v/>
      </c>
    </row>
    <row r="680" spans="6:11">
      <c r="F680" s="198" t="s">
        <v>1006</v>
      </c>
      <c r="G680" s="198" t="s">
        <v>1006</v>
      </c>
      <c r="H680" s="198" t="str">
        <f t="shared" si="34"/>
        <v/>
      </c>
      <c r="I680" s="228" t="str">
        <f t="shared" si="35"/>
        <v/>
      </c>
      <c r="J680" s="228" t="str">
        <f t="shared" si="36"/>
        <v/>
      </c>
      <c r="K680" s="229" t="str">
        <f t="shared" si="37"/>
        <v/>
      </c>
    </row>
    <row r="681" spans="6:11">
      <c r="F681" s="198" t="s">
        <v>1006</v>
      </c>
      <c r="G681" s="198" t="s">
        <v>1006</v>
      </c>
      <c r="H681" s="198" t="str">
        <f t="shared" si="34"/>
        <v/>
      </c>
      <c r="I681" s="228" t="str">
        <f t="shared" si="35"/>
        <v/>
      </c>
      <c r="J681" s="228" t="str">
        <f t="shared" si="36"/>
        <v/>
      </c>
      <c r="K681" s="229" t="str">
        <f t="shared" si="37"/>
        <v/>
      </c>
    </row>
    <row r="682" spans="6:11">
      <c r="F682" s="198" t="s">
        <v>1006</v>
      </c>
      <c r="G682" s="198" t="s">
        <v>1006</v>
      </c>
      <c r="H682" s="198" t="str">
        <f t="shared" si="34"/>
        <v/>
      </c>
      <c r="I682" s="228" t="str">
        <f t="shared" si="35"/>
        <v/>
      </c>
      <c r="J682" s="228" t="str">
        <f t="shared" si="36"/>
        <v/>
      </c>
      <c r="K682" s="229" t="str">
        <f t="shared" si="37"/>
        <v/>
      </c>
    </row>
    <row r="683" spans="6:11">
      <c r="F683" s="198" t="s">
        <v>1006</v>
      </c>
      <c r="G683" s="198" t="s">
        <v>1006</v>
      </c>
      <c r="H683" s="198" t="str">
        <f t="shared" si="34"/>
        <v/>
      </c>
      <c r="I683" s="228" t="str">
        <f t="shared" si="35"/>
        <v/>
      </c>
      <c r="J683" s="228" t="str">
        <f t="shared" si="36"/>
        <v/>
      </c>
      <c r="K683" s="229" t="str">
        <f t="shared" si="37"/>
        <v/>
      </c>
    </row>
    <row r="684" spans="6:11">
      <c r="F684" s="198" t="s">
        <v>1006</v>
      </c>
      <c r="G684" s="198" t="s">
        <v>1006</v>
      </c>
      <c r="H684" s="198" t="str">
        <f t="shared" si="34"/>
        <v/>
      </c>
      <c r="I684" s="228" t="str">
        <f t="shared" si="35"/>
        <v/>
      </c>
      <c r="J684" s="228" t="str">
        <f t="shared" si="36"/>
        <v/>
      </c>
      <c r="K684" s="229" t="str">
        <f t="shared" si="37"/>
        <v/>
      </c>
    </row>
    <row r="685" spans="6:11">
      <c r="F685" s="198" t="s">
        <v>1006</v>
      </c>
      <c r="G685" s="198" t="s">
        <v>1006</v>
      </c>
      <c r="H685" s="198" t="str">
        <f t="shared" si="34"/>
        <v/>
      </c>
      <c r="I685" s="228" t="str">
        <f t="shared" si="35"/>
        <v/>
      </c>
      <c r="J685" s="228" t="str">
        <f t="shared" si="36"/>
        <v/>
      </c>
      <c r="K685" s="229" t="str">
        <f t="shared" si="37"/>
        <v/>
      </c>
    </row>
    <row r="686" spans="6:11">
      <c r="F686" s="198" t="s">
        <v>1006</v>
      </c>
      <c r="G686" s="198" t="s">
        <v>1006</v>
      </c>
      <c r="H686" s="198" t="str">
        <f t="shared" si="34"/>
        <v/>
      </c>
      <c r="I686" s="228" t="str">
        <f t="shared" si="35"/>
        <v/>
      </c>
      <c r="J686" s="228" t="str">
        <f t="shared" si="36"/>
        <v/>
      </c>
      <c r="K686" s="229" t="str">
        <f t="shared" si="37"/>
        <v/>
      </c>
    </row>
    <row r="687" spans="6:11">
      <c r="F687" s="198" t="s">
        <v>1006</v>
      </c>
      <c r="G687" s="198" t="s">
        <v>1006</v>
      </c>
      <c r="H687" s="198" t="str">
        <f t="shared" si="34"/>
        <v/>
      </c>
      <c r="I687" s="228" t="str">
        <f t="shared" si="35"/>
        <v/>
      </c>
      <c r="J687" s="228" t="str">
        <f t="shared" si="36"/>
        <v/>
      </c>
      <c r="K687" s="229" t="str">
        <f t="shared" si="37"/>
        <v/>
      </c>
    </row>
    <row r="688" spans="6:11">
      <c r="F688" s="198" t="s">
        <v>1006</v>
      </c>
      <c r="G688" s="198" t="s">
        <v>1006</v>
      </c>
      <c r="H688" s="198" t="str">
        <f t="shared" si="34"/>
        <v/>
      </c>
      <c r="I688" s="228" t="str">
        <f t="shared" si="35"/>
        <v/>
      </c>
      <c r="J688" s="228" t="str">
        <f t="shared" si="36"/>
        <v/>
      </c>
      <c r="K688" s="229" t="str">
        <f t="shared" si="37"/>
        <v/>
      </c>
    </row>
    <row r="689" spans="6:11">
      <c r="F689" s="198" t="s">
        <v>1006</v>
      </c>
      <c r="G689" s="198" t="s">
        <v>1006</v>
      </c>
      <c r="H689" s="198" t="str">
        <f t="shared" si="34"/>
        <v/>
      </c>
      <c r="I689" s="228" t="str">
        <f t="shared" si="35"/>
        <v/>
      </c>
      <c r="J689" s="228" t="str">
        <f t="shared" si="36"/>
        <v/>
      </c>
      <c r="K689" s="229" t="str">
        <f t="shared" si="37"/>
        <v/>
      </c>
    </row>
    <row r="690" spans="6:11">
      <c r="F690" s="198" t="s">
        <v>1006</v>
      </c>
      <c r="G690" s="198" t="s">
        <v>1006</v>
      </c>
      <c r="H690" s="198" t="str">
        <f t="shared" si="34"/>
        <v/>
      </c>
      <c r="I690" s="228" t="str">
        <f t="shared" si="35"/>
        <v/>
      </c>
      <c r="J690" s="228" t="str">
        <f t="shared" si="36"/>
        <v/>
      </c>
      <c r="K690" s="229" t="str">
        <f t="shared" si="37"/>
        <v/>
      </c>
    </row>
    <row r="691" spans="6:11">
      <c r="F691" s="198" t="s">
        <v>1006</v>
      </c>
      <c r="G691" s="198" t="s">
        <v>1006</v>
      </c>
      <c r="H691" s="198" t="str">
        <f t="shared" si="34"/>
        <v/>
      </c>
      <c r="I691" s="228" t="str">
        <f t="shared" si="35"/>
        <v/>
      </c>
      <c r="J691" s="228" t="str">
        <f t="shared" si="36"/>
        <v/>
      </c>
      <c r="K691" s="229" t="str">
        <f t="shared" si="37"/>
        <v/>
      </c>
    </row>
    <row r="692" spans="6:11">
      <c r="F692" s="198" t="s">
        <v>1006</v>
      </c>
      <c r="G692" s="198" t="s">
        <v>1006</v>
      </c>
      <c r="H692" s="198" t="str">
        <f t="shared" si="34"/>
        <v/>
      </c>
      <c r="I692" s="228" t="str">
        <f t="shared" si="35"/>
        <v/>
      </c>
      <c r="J692" s="228" t="str">
        <f t="shared" si="36"/>
        <v/>
      </c>
      <c r="K692" s="229" t="str">
        <f t="shared" si="37"/>
        <v/>
      </c>
    </row>
    <row r="693" spans="6:11">
      <c r="F693" s="198" t="s">
        <v>1006</v>
      </c>
      <c r="G693" s="198" t="s">
        <v>1006</v>
      </c>
      <c r="H693" s="198" t="str">
        <f t="shared" si="34"/>
        <v/>
      </c>
      <c r="I693" s="228" t="str">
        <f t="shared" si="35"/>
        <v/>
      </c>
      <c r="J693" s="228" t="str">
        <f t="shared" si="36"/>
        <v/>
      </c>
      <c r="K693" s="229" t="str">
        <f t="shared" si="37"/>
        <v/>
      </c>
    </row>
    <row r="694" spans="6:11">
      <c r="F694" s="198" t="s">
        <v>1006</v>
      </c>
      <c r="G694" s="198" t="s">
        <v>1006</v>
      </c>
      <c r="H694" s="198" t="str">
        <f t="shared" si="34"/>
        <v/>
      </c>
      <c r="I694" s="228" t="str">
        <f t="shared" si="35"/>
        <v/>
      </c>
      <c r="J694" s="228" t="str">
        <f t="shared" si="36"/>
        <v/>
      </c>
      <c r="K694" s="229" t="str">
        <f t="shared" si="37"/>
        <v/>
      </c>
    </row>
    <row r="695" spans="6:11">
      <c r="F695" s="198" t="s">
        <v>1006</v>
      </c>
      <c r="G695" s="198" t="s">
        <v>1006</v>
      </c>
      <c r="H695" s="198" t="str">
        <f t="shared" si="34"/>
        <v/>
      </c>
      <c r="I695" s="228" t="str">
        <f t="shared" si="35"/>
        <v/>
      </c>
      <c r="J695" s="228" t="str">
        <f t="shared" si="36"/>
        <v/>
      </c>
      <c r="K695" s="229" t="str">
        <f t="shared" si="37"/>
        <v/>
      </c>
    </row>
    <row r="696" spans="6:11">
      <c r="F696" s="198" t="s">
        <v>1006</v>
      </c>
      <c r="G696" s="198" t="s">
        <v>1006</v>
      </c>
      <c r="H696" s="198" t="str">
        <f t="shared" si="34"/>
        <v/>
      </c>
      <c r="I696" s="228" t="str">
        <f t="shared" si="35"/>
        <v/>
      </c>
      <c r="J696" s="228" t="str">
        <f t="shared" si="36"/>
        <v/>
      </c>
      <c r="K696" s="229" t="str">
        <f t="shared" si="37"/>
        <v/>
      </c>
    </row>
    <row r="697" spans="6:11">
      <c r="F697" s="198" t="s">
        <v>1006</v>
      </c>
      <c r="G697" s="198" t="s">
        <v>1006</v>
      </c>
      <c r="H697" s="198" t="str">
        <f t="shared" si="34"/>
        <v/>
      </c>
      <c r="I697" s="228" t="str">
        <f t="shared" si="35"/>
        <v/>
      </c>
      <c r="J697" s="228" t="str">
        <f t="shared" si="36"/>
        <v/>
      </c>
      <c r="K697" s="229" t="str">
        <f t="shared" si="37"/>
        <v/>
      </c>
    </row>
    <row r="698" spans="6:11">
      <c r="F698" s="198" t="s">
        <v>1006</v>
      </c>
      <c r="G698" s="198" t="s">
        <v>1006</v>
      </c>
      <c r="H698" s="198" t="str">
        <f t="shared" si="34"/>
        <v/>
      </c>
      <c r="I698" s="228" t="str">
        <f t="shared" si="35"/>
        <v/>
      </c>
      <c r="J698" s="228" t="str">
        <f t="shared" si="36"/>
        <v/>
      </c>
      <c r="K698" s="229" t="str">
        <f t="shared" si="37"/>
        <v/>
      </c>
    </row>
    <row r="699" spans="6:11">
      <c r="F699" s="198" t="s">
        <v>1006</v>
      </c>
      <c r="G699" s="198" t="s">
        <v>1006</v>
      </c>
      <c r="H699" s="198" t="str">
        <f t="shared" si="34"/>
        <v/>
      </c>
      <c r="I699" s="228" t="str">
        <f t="shared" si="35"/>
        <v/>
      </c>
      <c r="J699" s="228" t="str">
        <f t="shared" si="36"/>
        <v/>
      </c>
      <c r="K699" s="229" t="str">
        <f t="shared" si="37"/>
        <v/>
      </c>
    </row>
    <row r="700" spans="6:11">
      <c r="F700" s="198" t="s">
        <v>1006</v>
      </c>
      <c r="G700" s="198" t="s">
        <v>1006</v>
      </c>
      <c r="H700" s="198" t="str">
        <f t="shared" si="34"/>
        <v/>
      </c>
      <c r="I700" s="228" t="str">
        <f t="shared" si="35"/>
        <v/>
      </c>
      <c r="J700" s="228" t="str">
        <f t="shared" si="36"/>
        <v/>
      </c>
      <c r="K700" s="229" t="str">
        <f t="shared" si="37"/>
        <v/>
      </c>
    </row>
    <row r="701" spans="6:11">
      <c r="F701" s="198" t="s">
        <v>1006</v>
      </c>
      <c r="G701" s="198" t="s">
        <v>1006</v>
      </c>
      <c r="H701" s="198" t="str">
        <f t="shared" si="34"/>
        <v/>
      </c>
      <c r="I701" s="228" t="str">
        <f t="shared" si="35"/>
        <v/>
      </c>
      <c r="J701" s="228" t="str">
        <f t="shared" si="36"/>
        <v/>
      </c>
      <c r="K701" s="229" t="str">
        <f t="shared" si="37"/>
        <v/>
      </c>
    </row>
    <row r="702" spans="6:11">
      <c r="F702" s="198" t="s">
        <v>1006</v>
      </c>
      <c r="G702" s="198" t="s">
        <v>1006</v>
      </c>
      <c r="H702" s="198" t="str">
        <f t="shared" si="34"/>
        <v/>
      </c>
      <c r="I702" s="228" t="str">
        <f t="shared" si="35"/>
        <v/>
      </c>
      <c r="J702" s="228" t="str">
        <f t="shared" si="36"/>
        <v/>
      </c>
      <c r="K702" s="229" t="str">
        <f t="shared" si="37"/>
        <v/>
      </c>
    </row>
    <row r="703" spans="6:11">
      <c r="F703" s="198" t="s">
        <v>1006</v>
      </c>
      <c r="G703" s="198" t="s">
        <v>1006</v>
      </c>
      <c r="H703" s="198" t="str">
        <f t="shared" si="34"/>
        <v/>
      </c>
      <c r="I703" s="228" t="str">
        <f t="shared" si="35"/>
        <v/>
      </c>
      <c r="J703" s="228" t="str">
        <f t="shared" si="36"/>
        <v/>
      </c>
      <c r="K703" s="229" t="str">
        <f t="shared" si="37"/>
        <v/>
      </c>
    </row>
    <row r="704" spans="6:11">
      <c r="F704" s="198" t="s">
        <v>1006</v>
      </c>
      <c r="G704" s="198" t="s">
        <v>1006</v>
      </c>
      <c r="H704" s="198" t="str">
        <f t="shared" si="34"/>
        <v/>
      </c>
      <c r="I704" s="228" t="str">
        <f t="shared" si="35"/>
        <v/>
      </c>
      <c r="J704" s="228" t="str">
        <f t="shared" si="36"/>
        <v/>
      </c>
      <c r="K704" s="229" t="str">
        <f t="shared" si="37"/>
        <v/>
      </c>
    </row>
    <row r="705" spans="6:11">
      <c r="F705" s="198" t="s">
        <v>1006</v>
      </c>
      <c r="G705" s="198" t="s">
        <v>1006</v>
      </c>
      <c r="H705" s="198" t="str">
        <f t="shared" si="34"/>
        <v/>
      </c>
      <c r="I705" s="228" t="str">
        <f t="shared" si="35"/>
        <v/>
      </c>
      <c r="J705" s="228" t="str">
        <f t="shared" si="36"/>
        <v/>
      </c>
      <c r="K705" s="229" t="str">
        <f t="shared" si="37"/>
        <v/>
      </c>
    </row>
    <row r="706" spans="6:11">
      <c r="F706" s="198" t="s">
        <v>1006</v>
      </c>
      <c r="G706" s="198" t="s">
        <v>1006</v>
      </c>
      <c r="H706" s="198" t="str">
        <f t="shared" si="34"/>
        <v/>
      </c>
      <c r="I706" s="228" t="str">
        <f t="shared" si="35"/>
        <v/>
      </c>
      <c r="J706" s="228" t="str">
        <f t="shared" si="36"/>
        <v/>
      </c>
      <c r="K706" s="229" t="str">
        <f t="shared" si="37"/>
        <v/>
      </c>
    </row>
    <row r="707" spans="6:11">
      <c r="F707" s="198" t="s">
        <v>1006</v>
      </c>
      <c r="G707" s="198" t="s">
        <v>1006</v>
      </c>
      <c r="H707" s="198" t="str">
        <f t="shared" si="34"/>
        <v/>
      </c>
      <c r="I707" s="228" t="str">
        <f t="shared" si="35"/>
        <v/>
      </c>
      <c r="J707" s="228" t="str">
        <f t="shared" si="36"/>
        <v/>
      </c>
      <c r="K707" s="229" t="str">
        <f t="shared" si="37"/>
        <v/>
      </c>
    </row>
    <row r="708" spans="6:11">
      <c r="F708" s="198" t="s">
        <v>1006</v>
      </c>
      <c r="G708" s="198" t="s">
        <v>1006</v>
      </c>
      <c r="H708" s="198" t="str">
        <f t="shared" ref="H708:H771" si="38">IF(F708&lt;G708,F708,G708)</f>
        <v/>
      </c>
      <c r="I708" s="228" t="str">
        <f t="shared" ref="I708:I771" si="39">IF(DAY(B708)=1,600,"")</f>
        <v/>
      </c>
      <c r="J708" s="228" t="str">
        <f t="shared" ref="J708:J771" si="40">IF(DAY(B708)=15,MID(A708,1,1),"")</f>
        <v/>
      </c>
      <c r="K708" s="229" t="str">
        <f t="shared" si="37"/>
        <v/>
      </c>
    </row>
    <row r="709" spans="6:11">
      <c r="F709" s="198" t="s">
        <v>1006</v>
      </c>
      <c r="G709" s="198" t="s">
        <v>1006</v>
      </c>
      <c r="H709" s="198" t="str">
        <f t="shared" si="38"/>
        <v/>
      </c>
      <c r="I709" s="228" t="str">
        <f t="shared" si="39"/>
        <v/>
      </c>
      <c r="J709" s="228" t="str">
        <f t="shared" si="40"/>
        <v/>
      </c>
      <c r="K709" s="229" t="str">
        <f t="shared" si="37"/>
        <v/>
      </c>
    </row>
    <row r="710" spans="6:11">
      <c r="F710" s="198" t="s">
        <v>1006</v>
      </c>
      <c r="G710" s="198" t="s">
        <v>1006</v>
      </c>
      <c r="H710" s="198" t="str">
        <f t="shared" si="38"/>
        <v/>
      </c>
      <c r="I710" s="228" t="str">
        <f t="shared" si="39"/>
        <v/>
      </c>
      <c r="J710" s="228" t="str">
        <f t="shared" si="40"/>
        <v/>
      </c>
      <c r="K710" s="229" t="str">
        <f t="shared" si="37"/>
        <v/>
      </c>
    </row>
    <row r="711" spans="6:11">
      <c r="F711" s="198" t="s">
        <v>1006</v>
      </c>
      <c r="G711" s="198" t="s">
        <v>1006</v>
      </c>
      <c r="H711" s="198" t="str">
        <f t="shared" si="38"/>
        <v/>
      </c>
      <c r="I711" s="228" t="str">
        <f t="shared" si="39"/>
        <v/>
      </c>
      <c r="J711" s="228" t="str">
        <f t="shared" si="40"/>
        <v/>
      </c>
      <c r="K711" s="229" t="str">
        <f t="shared" si="37"/>
        <v/>
      </c>
    </row>
    <row r="712" spans="6:11">
      <c r="F712" s="198" t="s">
        <v>1006</v>
      </c>
      <c r="G712" s="198" t="s">
        <v>1006</v>
      </c>
      <c r="H712" s="198" t="str">
        <f t="shared" si="38"/>
        <v/>
      </c>
      <c r="I712" s="228" t="str">
        <f t="shared" si="39"/>
        <v/>
      </c>
      <c r="J712" s="228" t="str">
        <f t="shared" si="40"/>
        <v/>
      </c>
      <c r="K712" s="229" t="str">
        <f t="shared" si="37"/>
        <v/>
      </c>
    </row>
    <row r="713" spans="6:11">
      <c r="F713" s="198" t="s">
        <v>1006</v>
      </c>
      <c r="G713" s="198" t="s">
        <v>1006</v>
      </c>
      <c r="H713" s="198" t="str">
        <f t="shared" si="38"/>
        <v/>
      </c>
      <c r="I713" s="228" t="str">
        <f t="shared" si="39"/>
        <v/>
      </c>
      <c r="J713" s="228" t="str">
        <f t="shared" si="40"/>
        <v/>
      </c>
      <c r="K713" s="229" t="str">
        <f t="shared" si="37"/>
        <v/>
      </c>
    </row>
    <row r="714" spans="6:11">
      <c r="F714" s="198" t="s">
        <v>1006</v>
      </c>
      <c r="G714" s="198" t="s">
        <v>1006</v>
      </c>
      <c r="H714" s="198" t="str">
        <f t="shared" si="38"/>
        <v/>
      </c>
      <c r="I714" s="228" t="str">
        <f t="shared" si="39"/>
        <v/>
      </c>
      <c r="J714" s="228" t="str">
        <f t="shared" si="40"/>
        <v/>
      </c>
      <c r="K714" s="229" t="str">
        <f t="shared" si="37"/>
        <v/>
      </c>
    </row>
    <row r="715" spans="6:11">
      <c r="F715" s="198" t="s">
        <v>1006</v>
      </c>
      <c r="G715" s="198" t="s">
        <v>1006</v>
      </c>
      <c r="H715" s="198" t="str">
        <f t="shared" si="38"/>
        <v/>
      </c>
      <c r="I715" s="228" t="str">
        <f t="shared" si="39"/>
        <v/>
      </c>
      <c r="J715" s="228" t="str">
        <f t="shared" si="40"/>
        <v/>
      </c>
      <c r="K715" s="229" t="str">
        <f t="shared" si="37"/>
        <v/>
      </c>
    </row>
    <row r="716" spans="6:11">
      <c r="F716" s="198" t="s">
        <v>1006</v>
      </c>
      <c r="G716" s="198" t="s">
        <v>1006</v>
      </c>
      <c r="H716" s="198" t="str">
        <f t="shared" si="38"/>
        <v/>
      </c>
      <c r="I716" s="228" t="str">
        <f t="shared" si="39"/>
        <v/>
      </c>
      <c r="J716" s="228" t="str">
        <f t="shared" si="40"/>
        <v/>
      </c>
      <c r="K716" s="229" t="str">
        <f t="shared" si="37"/>
        <v/>
      </c>
    </row>
    <row r="717" spans="6:11">
      <c r="F717" s="198" t="s">
        <v>1006</v>
      </c>
      <c r="G717" s="198" t="s">
        <v>1006</v>
      </c>
      <c r="H717" s="198" t="str">
        <f t="shared" si="38"/>
        <v/>
      </c>
      <c r="I717" s="228" t="str">
        <f t="shared" si="39"/>
        <v/>
      </c>
      <c r="J717" s="228" t="str">
        <f t="shared" si="40"/>
        <v/>
      </c>
      <c r="K717" s="229" t="str">
        <f t="shared" si="37"/>
        <v/>
      </c>
    </row>
    <row r="718" spans="6:11">
      <c r="F718" s="198" t="s">
        <v>1006</v>
      </c>
      <c r="G718" s="198" t="s">
        <v>1006</v>
      </c>
      <c r="H718" s="198" t="str">
        <f t="shared" si="38"/>
        <v/>
      </c>
      <c r="I718" s="228" t="str">
        <f t="shared" si="39"/>
        <v/>
      </c>
      <c r="J718" s="228" t="str">
        <f t="shared" si="40"/>
        <v/>
      </c>
      <c r="K718" s="229" t="str">
        <f t="shared" si="37"/>
        <v/>
      </c>
    </row>
    <row r="719" spans="6:11">
      <c r="F719" s="198" t="s">
        <v>1006</v>
      </c>
      <c r="G719" s="198" t="s">
        <v>1006</v>
      </c>
      <c r="H719" s="198" t="str">
        <f t="shared" si="38"/>
        <v/>
      </c>
      <c r="I719" s="228" t="str">
        <f t="shared" si="39"/>
        <v/>
      </c>
      <c r="J719" s="228" t="str">
        <f t="shared" si="40"/>
        <v/>
      </c>
      <c r="K719" s="229" t="str">
        <f t="shared" si="37"/>
        <v/>
      </c>
    </row>
    <row r="720" spans="6:11">
      <c r="F720" s="198" t="s">
        <v>1006</v>
      </c>
      <c r="G720" s="198" t="s">
        <v>1006</v>
      </c>
      <c r="H720" s="198" t="str">
        <f t="shared" si="38"/>
        <v/>
      </c>
      <c r="I720" s="228" t="str">
        <f t="shared" si="39"/>
        <v/>
      </c>
      <c r="J720" s="228" t="str">
        <f t="shared" si="40"/>
        <v/>
      </c>
      <c r="K720" s="229" t="str">
        <f t="shared" si="37"/>
        <v/>
      </c>
    </row>
    <row r="721" spans="6:11">
      <c r="F721" s="198" t="s">
        <v>1006</v>
      </c>
      <c r="G721" s="198" t="s">
        <v>1006</v>
      </c>
      <c r="H721" s="198" t="str">
        <f t="shared" si="38"/>
        <v/>
      </c>
      <c r="I721" s="228" t="str">
        <f t="shared" si="39"/>
        <v/>
      </c>
      <c r="J721" s="228" t="str">
        <f t="shared" si="40"/>
        <v/>
      </c>
      <c r="K721" s="229" t="str">
        <f t="shared" si="37"/>
        <v/>
      </c>
    </row>
    <row r="722" spans="6:11">
      <c r="F722" s="198" t="s">
        <v>1006</v>
      </c>
      <c r="G722" s="198" t="s">
        <v>1006</v>
      </c>
      <c r="H722" s="198" t="str">
        <f t="shared" si="38"/>
        <v/>
      </c>
      <c r="I722" s="228" t="str">
        <f t="shared" si="39"/>
        <v/>
      </c>
      <c r="J722" s="228" t="str">
        <f t="shared" si="40"/>
        <v/>
      </c>
      <c r="K722" s="229" t="str">
        <f t="shared" si="37"/>
        <v/>
      </c>
    </row>
    <row r="723" spans="6:11">
      <c r="F723" s="198" t="s">
        <v>1006</v>
      </c>
      <c r="G723" s="198" t="s">
        <v>1006</v>
      </c>
      <c r="H723" s="198" t="str">
        <f t="shared" si="38"/>
        <v/>
      </c>
      <c r="I723" s="228" t="str">
        <f t="shared" si="39"/>
        <v/>
      </c>
      <c r="J723" s="228" t="str">
        <f t="shared" si="40"/>
        <v/>
      </c>
      <c r="K723" s="229" t="str">
        <f t="shared" si="37"/>
        <v/>
      </c>
    </row>
    <row r="724" spans="6:11">
      <c r="F724" s="198" t="s">
        <v>1006</v>
      </c>
      <c r="G724" s="198" t="s">
        <v>1006</v>
      </c>
      <c r="H724" s="198" t="str">
        <f t="shared" si="38"/>
        <v/>
      </c>
      <c r="I724" s="228" t="str">
        <f t="shared" si="39"/>
        <v/>
      </c>
      <c r="J724" s="228" t="str">
        <f t="shared" si="40"/>
        <v/>
      </c>
      <c r="K724" s="229" t="str">
        <f t="shared" ref="K724:K787" si="41">IF(DAY(B724)=15,G724,"")</f>
        <v/>
      </c>
    </row>
    <row r="725" spans="6:11">
      <c r="F725" s="198" t="s">
        <v>1006</v>
      </c>
      <c r="G725" s="198" t="s">
        <v>1006</v>
      </c>
      <c r="H725" s="198" t="str">
        <f t="shared" si="38"/>
        <v/>
      </c>
      <c r="I725" s="228" t="str">
        <f t="shared" si="39"/>
        <v/>
      </c>
      <c r="J725" s="228" t="str">
        <f t="shared" si="40"/>
        <v/>
      </c>
      <c r="K725" s="229" t="str">
        <f t="shared" si="41"/>
        <v/>
      </c>
    </row>
    <row r="726" spans="6:11">
      <c r="F726" s="198" t="s">
        <v>1006</v>
      </c>
      <c r="G726" s="198" t="s">
        <v>1006</v>
      </c>
      <c r="H726" s="198" t="str">
        <f t="shared" si="38"/>
        <v/>
      </c>
      <c r="I726" s="228" t="str">
        <f t="shared" si="39"/>
        <v/>
      </c>
      <c r="J726" s="228" t="str">
        <f t="shared" si="40"/>
        <v/>
      </c>
      <c r="K726" s="229" t="str">
        <f t="shared" si="41"/>
        <v/>
      </c>
    </row>
    <row r="727" spans="6:11">
      <c r="F727" s="198" t="s">
        <v>1006</v>
      </c>
      <c r="G727" s="198" t="s">
        <v>1006</v>
      </c>
      <c r="H727" s="198" t="str">
        <f t="shared" si="38"/>
        <v/>
      </c>
      <c r="I727" s="228" t="str">
        <f t="shared" si="39"/>
        <v/>
      </c>
      <c r="J727" s="228" t="str">
        <f t="shared" si="40"/>
        <v/>
      </c>
      <c r="K727" s="229" t="str">
        <f t="shared" si="41"/>
        <v/>
      </c>
    </row>
    <row r="728" spans="6:11">
      <c r="F728" s="198" t="s">
        <v>1006</v>
      </c>
      <c r="G728" s="198" t="s">
        <v>1006</v>
      </c>
      <c r="H728" s="198" t="str">
        <f t="shared" si="38"/>
        <v/>
      </c>
      <c r="I728" s="228" t="str">
        <f t="shared" si="39"/>
        <v/>
      </c>
      <c r="J728" s="228" t="str">
        <f t="shared" si="40"/>
        <v/>
      </c>
      <c r="K728" s="229" t="str">
        <f t="shared" si="41"/>
        <v/>
      </c>
    </row>
    <row r="729" spans="6:11">
      <c r="F729" s="198" t="s">
        <v>1006</v>
      </c>
      <c r="G729" s="198" t="s">
        <v>1006</v>
      </c>
      <c r="H729" s="198" t="str">
        <f t="shared" si="38"/>
        <v/>
      </c>
      <c r="I729" s="228" t="str">
        <f t="shared" si="39"/>
        <v/>
      </c>
      <c r="J729" s="228" t="str">
        <f t="shared" si="40"/>
        <v/>
      </c>
      <c r="K729" s="229" t="str">
        <f t="shared" si="41"/>
        <v/>
      </c>
    </row>
    <row r="730" spans="6:11">
      <c r="F730" s="198" t="s">
        <v>1006</v>
      </c>
      <c r="G730" s="198" t="s">
        <v>1006</v>
      </c>
      <c r="H730" s="198" t="str">
        <f t="shared" si="38"/>
        <v/>
      </c>
      <c r="I730" s="228" t="str">
        <f t="shared" si="39"/>
        <v/>
      </c>
      <c r="J730" s="228" t="str">
        <f t="shared" si="40"/>
        <v/>
      </c>
      <c r="K730" s="229" t="str">
        <f t="shared" si="41"/>
        <v/>
      </c>
    </row>
    <row r="731" spans="6:11">
      <c r="F731" s="198" t="s">
        <v>1006</v>
      </c>
      <c r="G731" s="198" t="s">
        <v>1006</v>
      </c>
      <c r="H731" s="198" t="str">
        <f t="shared" si="38"/>
        <v/>
      </c>
      <c r="I731" s="228" t="str">
        <f t="shared" si="39"/>
        <v/>
      </c>
      <c r="J731" s="228" t="str">
        <f t="shared" si="40"/>
        <v/>
      </c>
      <c r="K731" s="229" t="str">
        <f t="shared" si="41"/>
        <v/>
      </c>
    </row>
    <row r="732" spans="6:11">
      <c r="F732" s="198" t="s">
        <v>1006</v>
      </c>
      <c r="G732" s="198" t="s">
        <v>1006</v>
      </c>
      <c r="H732" s="198" t="str">
        <f t="shared" si="38"/>
        <v/>
      </c>
      <c r="I732" s="228" t="str">
        <f t="shared" si="39"/>
        <v/>
      </c>
      <c r="J732" s="228" t="str">
        <f t="shared" si="40"/>
        <v/>
      </c>
      <c r="K732" s="229" t="str">
        <f t="shared" si="41"/>
        <v/>
      </c>
    </row>
    <row r="733" spans="6:11">
      <c r="F733" s="198" t="s">
        <v>1006</v>
      </c>
      <c r="G733" s="198" t="s">
        <v>1006</v>
      </c>
      <c r="H733" s="198" t="str">
        <f t="shared" si="38"/>
        <v/>
      </c>
      <c r="I733" s="228" t="str">
        <f t="shared" si="39"/>
        <v/>
      </c>
      <c r="J733" s="228" t="str">
        <f t="shared" si="40"/>
        <v/>
      </c>
      <c r="K733" s="229" t="str">
        <f t="shared" si="41"/>
        <v/>
      </c>
    </row>
    <row r="734" spans="6:11">
      <c r="F734" s="198" t="s">
        <v>1006</v>
      </c>
      <c r="G734" s="198" t="s">
        <v>1006</v>
      </c>
      <c r="H734" s="198" t="str">
        <f t="shared" si="38"/>
        <v/>
      </c>
      <c r="I734" s="228" t="str">
        <f t="shared" si="39"/>
        <v/>
      </c>
      <c r="J734" s="228" t="str">
        <f t="shared" si="40"/>
        <v/>
      </c>
      <c r="K734" s="229" t="str">
        <f t="shared" si="41"/>
        <v/>
      </c>
    </row>
    <row r="735" spans="6:11">
      <c r="F735" s="198" t="s">
        <v>1006</v>
      </c>
      <c r="G735" s="198" t="s">
        <v>1006</v>
      </c>
      <c r="H735" s="198" t="str">
        <f t="shared" si="38"/>
        <v/>
      </c>
      <c r="I735" s="228" t="str">
        <f t="shared" si="39"/>
        <v/>
      </c>
      <c r="J735" s="228" t="str">
        <f t="shared" si="40"/>
        <v/>
      </c>
      <c r="K735" s="229" t="str">
        <f t="shared" si="41"/>
        <v/>
      </c>
    </row>
    <row r="736" spans="6:11">
      <c r="F736" s="198" t="s">
        <v>1006</v>
      </c>
      <c r="G736" s="198" t="s">
        <v>1006</v>
      </c>
      <c r="H736" s="198" t="str">
        <f t="shared" si="38"/>
        <v/>
      </c>
      <c r="I736" s="228" t="str">
        <f t="shared" si="39"/>
        <v/>
      </c>
      <c r="J736" s="228" t="str">
        <f t="shared" si="40"/>
        <v/>
      </c>
      <c r="K736" s="229" t="str">
        <f t="shared" si="41"/>
        <v/>
      </c>
    </row>
    <row r="737" spans="6:11">
      <c r="F737" s="198" t="s">
        <v>1006</v>
      </c>
      <c r="G737" s="198" t="s">
        <v>1006</v>
      </c>
      <c r="H737" s="198" t="str">
        <f t="shared" si="38"/>
        <v/>
      </c>
      <c r="I737" s="228" t="str">
        <f t="shared" si="39"/>
        <v/>
      </c>
      <c r="J737" s="228" t="str">
        <f t="shared" si="40"/>
        <v/>
      </c>
      <c r="K737" s="229" t="str">
        <f t="shared" si="41"/>
        <v/>
      </c>
    </row>
    <row r="738" spans="6:11">
      <c r="F738" s="198" t="s">
        <v>1006</v>
      </c>
      <c r="G738" s="198" t="s">
        <v>1006</v>
      </c>
      <c r="H738" s="198" t="str">
        <f t="shared" si="38"/>
        <v/>
      </c>
      <c r="I738" s="228" t="str">
        <f t="shared" si="39"/>
        <v/>
      </c>
      <c r="J738" s="228" t="str">
        <f t="shared" si="40"/>
        <v/>
      </c>
      <c r="K738" s="229" t="str">
        <f t="shared" si="41"/>
        <v/>
      </c>
    </row>
    <row r="739" spans="6:11">
      <c r="F739" s="198" t="s">
        <v>1006</v>
      </c>
      <c r="G739" s="198" t="s">
        <v>1006</v>
      </c>
      <c r="H739" s="198" t="str">
        <f t="shared" si="38"/>
        <v/>
      </c>
      <c r="I739" s="228" t="str">
        <f t="shared" si="39"/>
        <v/>
      </c>
      <c r="J739" s="228" t="str">
        <f t="shared" si="40"/>
        <v/>
      </c>
      <c r="K739" s="229" t="str">
        <f t="shared" si="41"/>
        <v/>
      </c>
    </row>
    <row r="740" spans="6:11">
      <c r="F740" s="198" t="s">
        <v>1006</v>
      </c>
      <c r="G740" s="198" t="s">
        <v>1006</v>
      </c>
      <c r="H740" s="198" t="str">
        <f t="shared" si="38"/>
        <v/>
      </c>
      <c r="I740" s="228" t="str">
        <f t="shared" si="39"/>
        <v/>
      </c>
      <c r="J740" s="228" t="str">
        <f t="shared" si="40"/>
        <v/>
      </c>
      <c r="K740" s="229" t="str">
        <f t="shared" si="41"/>
        <v/>
      </c>
    </row>
    <row r="741" spans="6:11">
      <c r="F741" s="198" t="s">
        <v>1006</v>
      </c>
      <c r="G741" s="198" t="s">
        <v>1006</v>
      </c>
      <c r="H741" s="198" t="str">
        <f t="shared" si="38"/>
        <v/>
      </c>
      <c r="I741" s="228" t="str">
        <f t="shared" si="39"/>
        <v/>
      </c>
      <c r="J741" s="228" t="str">
        <f t="shared" si="40"/>
        <v/>
      </c>
      <c r="K741" s="229" t="str">
        <f t="shared" si="41"/>
        <v/>
      </c>
    </row>
    <row r="742" spans="6:11">
      <c r="F742" s="198" t="s">
        <v>1006</v>
      </c>
      <c r="G742" s="198" t="s">
        <v>1006</v>
      </c>
      <c r="H742" s="198" t="str">
        <f t="shared" si="38"/>
        <v/>
      </c>
      <c r="I742" s="228" t="str">
        <f t="shared" si="39"/>
        <v/>
      </c>
      <c r="J742" s="228" t="str">
        <f t="shared" si="40"/>
        <v/>
      </c>
      <c r="K742" s="229" t="str">
        <f t="shared" si="41"/>
        <v/>
      </c>
    </row>
    <row r="743" spans="6:11">
      <c r="F743" s="198" t="s">
        <v>1006</v>
      </c>
      <c r="G743" s="198" t="s">
        <v>1006</v>
      </c>
      <c r="H743" s="198" t="str">
        <f t="shared" si="38"/>
        <v/>
      </c>
      <c r="I743" s="228" t="str">
        <f t="shared" si="39"/>
        <v/>
      </c>
      <c r="J743" s="228" t="str">
        <f t="shared" si="40"/>
        <v/>
      </c>
      <c r="K743" s="229" t="str">
        <f t="shared" si="41"/>
        <v/>
      </c>
    </row>
    <row r="744" spans="6:11">
      <c r="F744" s="198" t="s">
        <v>1006</v>
      </c>
      <c r="G744" s="198" t="s">
        <v>1006</v>
      </c>
      <c r="H744" s="198" t="str">
        <f t="shared" si="38"/>
        <v/>
      </c>
      <c r="I744" s="228" t="str">
        <f t="shared" si="39"/>
        <v/>
      </c>
      <c r="J744" s="228" t="str">
        <f t="shared" si="40"/>
        <v/>
      </c>
      <c r="K744" s="229" t="str">
        <f t="shared" si="41"/>
        <v/>
      </c>
    </row>
    <row r="745" spans="6:11">
      <c r="F745" s="198" t="s">
        <v>1006</v>
      </c>
      <c r="G745" s="198" t="s">
        <v>1006</v>
      </c>
      <c r="H745" s="198" t="str">
        <f t="shared" si="38"/>
        <v/>
      </c>
      <c r="I745" s="228" t="str">
        <f t="shared" si="39"/>
        <v/>
      </c>
      <c r="J745" s="228" t="str">
        <f t="shared" si="40"/>
        <v/>
      </c>
      <c r="K745" s="229" t="str">
        <f t="shared" si="41"/>
        <v/>
      </c>
    </row>
    <row r="746" spans="6:11">
      <c r="F746" s="198" t="s">
        <v>1006</v>
      </c>
      <c r="G746" s="198" t="s">
        <v>1006</v>
      </c>
      <c r="H746" s="198" t="str">
        <f t="shared" si="38"/>
        <v/>
      </c>
      <c r="I746" s="228" t="str">
        <f t="shared" si="39"/>
        <v/>
      </c>
      <c r="J746" s="228" t="str">
        <f t="shared" si="40"/>
        <v/>
      </c>
      <c r="K746" s="229" t="str">
        <f t="shared" si="41"/>
        <v/>
      </c>
    </row>
    <row r="747" spans="6:11">
      <c r="F747" s="198" t="s">
        <v>1006</v>
      </c>
      <c r="G747" s="198" t="s">
        <v>1006</v>
      </c>
      <c r="H747" s="198" t="str">
        <f t="shared" si="38"/>
        <v/>
      </c>
      <c r="I747" s="228" t="str">
        <f t="shared" si="39"/>
        <v/>
      </c>
      <c r="J747" s="228" t="str">
        <f t="shared" si="40"/>
        <v/>
      </c>
      <c r="K747" s="229" t="str">
        <f t="shared" si="41"/>
        <v/>
      </c>
    </row>
    <row r="748" spans="6:11">
      <c r="F748" s="198" t="s">
        <v>1006</v>
      </c>
      <c r="G748" s="198" t="s">
        <v>1006</v>
      </c>
      <c r="H748" s="198" t="str">
        <f t="shared" si="38"/>
        <v/>
      </c>
      <c r="I748" s="228" t="str">
        <f t="shared" si="39"/>
        <v/>
      </c>
      <c r="J748" s="228" t="str">
        <f t="shared" si="40"/>
        <v/>
      </c>
      <c r="K748" s="229" t="str">
        <f t="shared" si="41"/>
        <v/>
      </c>
    </row>
    <row r="749" spans="6:11">
      <c r="F749" s="198" t="s">
        <v>1006</v>
      </c>
      <c r="G749" s="198" t="s">
        <v>1006</v>
      </c>
      <c r="H749" s="198" t="str">
        <f t="shared" si="38"/>
        <v/>
      </c>
      <c r="I749" s="228" t="str">
        <f t="shared" si="39"/>
        <v/>
      </c>
      <c r="J749" s="228" t="str">
        <f t="shared" si="40"/>
        <v/>
      </c>
      <c r="K749" s="229" t="str">
        <f t="shared" si="41"/>
        <v/>
      </c>
    </row>
    <row r="750" spans="6:11">
      <c r="F750" s="198" t="s">
        <v>1006</v>
      </c>
      <c r="G750" s="198" t="s">
        <v>1006</v>
      </c>
      <c r="H750" s="198" t="str">
        <f t="shared" si="38"/>
        <v/>
      </c>
      <c r="I750" s="228" t="str">
        <f t="shared" si="39"/>
        <v/>
      </c>
      <c r="J750" s="228" t="str">
        <f t="shared" si="40"/>
        <v/>
      </c>
      <c r="K750" s="229" t="str">
        <f t="shared" si="41"/>
        <v/>
      </c>
    </row>
    <row r="751" spans="6:11">
      <c r="F751" s="198" t="s">
        <v>1006</v>
      </c>
      <c r="G751" s="198" t="s">
        <v>1006</v>
      </c>
      <c r="H751" s="198" t="str">
        <f t="shared" si="38"/>
        <v/>
      </c>
      <c r="I751" s="228" t="str">
        <f t="shared" si="39"/>
        <v/>
      </c>
      <c r="J751" s="228" t="str">
        <f t="shared" si="40"/>
        <v/>
      </c>
      <c r="K751" s="229" t="str">
        <f t="shared" si="41"/>
        <v/>
      </c>
    </row>
    <row r="752" spans="6:11">
      <c r="F752" s="198" t="s">
        <v>1006</v>
      </c>
      <c r="G752" s="198" t="s">
        <v>1006</v>
      </c>
      <c r="H752" s="198" t="str">
        <f t="shared" si="38"/>
        <v/>
      </c>
      <c r="I752" s="228" t="str">
        <f t="shared" si="39"/>
        <v/>
      </c>
      <c r="J752" s="228" t="str">
        <f t="shared" si="40"/>
        <v/>
      </c>
      <c r="K752" s="229" t="str">
        <f t="shared" si="41"/>
        <v/>
      </c>
    </row>
    <row r="753" spans="6:11">
      <c r="F753" s="198" t="s">
        <v>1006</v>
      </c>
      <c r="G753" s="198" t="s">
        <v>1006</v>
      </c>
      <c r="H753" s="198" t="str">
        <f t="shared" si="38"/>
        <v/>
      </c>
      <c r="I753" s="228" t="str">
        <f t="shared" si="39"/>
        <v/>
      </c>
      <c r="J753" s="228" t="str">
        <f t="shared" si="40"/>
        <v/>
      </c>
      <c r="K753" s="229" t="str">
        <f t="shared" si="41"/>
        <v/>
      </c>
    </row>
    <row r="754" spans="6:11">
      <c r="F754" s="198" t="s">
        <v>1006</v>
      </c>
      <c r="G754" s="198" t="s">
        <v>1006</v>
      </c>
      <c r="H754" s="198" t="str">
        <f t="shared" si="38"/>
        <v/>
      </c>
      <c r="I754" s="228" t="str">
        <f t="shared" si="39"/>
        <v/>
      </c>
      <c r="J754" s="228" t="str">
        <f t="shared" si="40"/>
        <v/>
      </c>
      <c r="K754" s="229" t="str">
        <f t="shared" si="41"/>
        <v/>
      </c>
    </row>
    <row r="755" spans="6:11">
      <c r="F755" s="198" t="s">
        <v>1006</v>
      </c>
      <c r="G755" s="198" t="s">
        <v>1006</v>
      </c>
      <c r="H755" s="198" t="str">
        <f t="shared" si="38"/>
        <v/>
      </c>
      <c r="I755" s="228" t="str">
        <f t="shared" si="39"/>
        <v/>
      </c>
      <c r="J755" s="228" t="str">
        <f t="shared" si="40"/>
        <v/>
      </c>
      <c r="K755" s="229" t="str">
        <f t="shared" si="41"/>
        <v/>
      </c>
    </row>
    <row r="756" spans="6:11">
      <c r="F756" s="198" t="s">
        <v>1006</v>
      </c>
      <c r="G756" s="198" t="s">
        <v>1006</v>
      </c>
      <c r="H756" s="198" t="str">
        <f t="shared" si="38"/>
        <v/>
      </c>
      <c r="I756" s="228" t="str">
        <f t="shared" si="39"/>
        <v/>
      </c>
      <c r="J756" s="228" t="str">
        <f t="shared" si="40"/>
        <v/>
      </c>
      <c r="K756" s="229" t="str">
        <f t="shared" si="41"/>
        <v/>
      </c>
    </row>
    <row r="757" spans="6:11">
      <c r="F757" s="198" t="s">
        <v>1006</v>
      </c>
      <c r="G757" s="198" t="s">
        <v>1006</v>
      </c>
      <c r="H757" s="198" t="str">
        <f t="shared" si="38"/>
        <v/>
      </c>
      <c r="I757" s="228" t="str">
        <f t="shared" si="39"/>
        <v/>
      </c>
      <c r="J757" s="228" t="str">
        <f t="shared" si="40"/>
        <v/>
      </c>
      <c r="K757" s="229" t="str">
        <f t="shared" si="41"/>
        <v/>
      </c>
    </row>
    <row r="758" spans="6:11">
      <c r="F758" s="198" t="s">
        <v>1006</v>
      </c>
      <c r="G758" s="198" t="s">
        <v>1006</v>
      </c>
      <c r="H758" s="198" t="str">
        <f t="shared" si="38"/>
        <v/>
      </c>
      <c r="I758" s="228" t="str">
        <f t="shared" si="39"/>
        <v/>
      </c>
      <c r="J758" s="228" t="str">
        <f t="shared" si="40"/>
        <v/>
      </c>
      <c r="K758" s="229" t="str">
        <f t="shared" si="41"/>
        <v/>
      </c>
    </row>
    <row r="759" spans="6:11">
      <c r="F759" s="198" t="s">
        <v>1006</v>
      </c>
      <c r="G759" s="198" t="s">
        <v>1006</v>
      </c>
      <c r="H759" s="198" t="str">
        <f t="shared" si="38"/>
        <v/>
      </c>
      <c r="I759" s="228" t="str">
        <f t="shared" si="39"/>
        <v/>
      </c>
      <c r="J759" s="228" t="str">
        <f t="shared" si="40"/>
        <v/>
      </c>
      <c r="K759" s="229" t="str">
        <f t="shared" si="41"/>
        <v/>
      </c>
    </row>
    <row r="760" spans="6:11">
      <c r="F760" s="198" t="s">
        <v>1006</v>
      </c>
      <c r="G760" s="198" t="s">
        <v>1006</v>
      </c>
      <c r="H760" s="198" t="str">
        <f t="shared" si="38"/>
        <v/>
      </c>
      <c r="I760" s="228" t="str">
        <f t="shared" si="39"/>
        <v/>
      </c>
      <c r="J760" s="228" t="str">
        <f t="shared" si="40"/>
        <v/>
      </c>
      <c r="K760" s="229" t="str">
        <f t="shared" si="41"/>
        <v/>
      </c>
    </row>
    <row r="761" spans="6:11">
      <c r="F761" s="198" t="s">
        <v>1006</v>
      </c>
      <c r="G761" s="198" t="s">
        <v>1006</v>
      </c>
      <c r="H761" s="198" t="str">
        <f t="shared" si="38"/>
        <v/>
      </c>
      <c r="I761" s="228" t="str">
        <f t="shared" si="39"/>
        <v/>
      </c>
      <c r="J761" s="228" t="str">
        <f t="shared" si="40"/>
        <v/>
      </c>
      <c r="K761" s="229" t="str">
        <f t="shared" si="41"/>
        <v/>
      </c>
    </row>
    <row r="762" spans="6:11">
      <c r="F762" s="198" t="s">
        <v>1006</v>
      </c>
      <c r="G762" s="198" t="s">
        <v>1006</v>
      </c>
      <c r="H762" s="198" t="str">
        <f t="shared" si="38"/>
        <v/>
      </c>
      <c r="I762" s="228" t="str">
        <f t="shared" si="39"/>
        <v/>
      </c>
      <c r="J762" s="228" t="str">
        <f t="shared" si="40"/>
        <v/>
      </c>
      <c r="K762" s="229" t="str">
        <f t="shared" si="41"/>
        <v/>
      </c>
    </row>
    <row r="763" spans="6:11">
      <c r="F763" s="198" t="s">
        <v>1006</v>
      </c>
      <c r="G763" s="198" t="s">
        <v>1006</v>
      </c>
      <c r="H763" s="198" t="str">
        <f t="shared" si="38"/>
        <v/>
      </c>
      <c r="I763" s="228" t="str">
        <f t="shared" si="39"/>
        <v/>
      </c>
      <c r="J763" s="228" t="str">
        <f t="shared" si="40"/>
        <v/>
      </c>
      <c r="K763" s="229" t="str">
        <f t="shared" si="41"/>
        <v/>
      </c>
    </row>
    <row r="764" spans="6:11">
      <c r="F764" s="198" t="s">
        <v>1006</v>
      </c>
      <c r="G764" s="198" t="s">
        <v>1006</v>
      </c>
      <c r="H764" s="198" t="str">
        <f t="shared" si="38"/>
        <v/>
      </c>
      <c r="I764" s="228" t="str">
        <f t="shared" si="39"/>
        <v/>
      </c>
      <c r="J764" s="228" t="str">
        <f t="shared" si="40"/>
        <v/>
      </c>
      <c r="K764" s="229" t="str">
        <f t="shared" si="41"/>
        <v/>
      </c>
    </row>
    <row r="765" spans="6:11">
      <c r="F765" s="198" t="s">
        <v>1006</v>
      </c>
      <c r="G765" s="198" t="s">
        <v>1006</v>
      </c>
      <c r="H765" s="198" t="str">
        <f t="shared" si="38"/>
        <v/>
      </c>
      <c r="I765" s="228" t="str">
        <f t="shared" si="39"/>
        <v/>
      </c>
      <c r="J765" s="228" t="str">
        <f t="shared" si="40"/>
        <v/>
      </c>
      <c r="K765" s="229" t="str">
        <f t="shared" si="41"/>
        <v/>
      </c>
    </row>
    <row r="766" spans="6:11">
      <c r="F766" s="198" t="s">
        <v>1006</v>
      </c>
      <c r="G766" s="198" t="s">
        <v>1006</v>
      </c>
      <c r="H766" s="198" t="str">
        <f t="shared" si="38"/>
        <v/>
      </c>
      <c r="I766" s="228" t="str">
        <f t="shared" si="39"/>
        <v/>
      </c>
      <c r="J766" s="228" t="str">
        <f t="shared" si="40"/>
        <v/>
      </c>
      <c r="K766" s="229" t="str">
        <f t="shared" si="41"/>
        <v/>
      </c>
    </row>
    <row r="767" spans="6:11">
      <c r="F767" s="198" t="s">
        <v>1006</v>
      </c>
      <c r="G767" s="198" t="s">
        <v>1006</v>
      </c>
      <c r="H767" s="198" t="str">
        <f t="shared" si="38"/>
        <v/>
      </c>
      <c r="I767" s="228" t="str">
        <f t="shared" si="39"/>
        <v/>
      </c>
      <c r="J767" s="228" t="str">
        <f t="shared" si="40"/>
        <v/>
      </c>
      <c r="K767" s="229" t="str">
        <f t="shared" si="41"/>
        <v/>
      </c>
    </row>
    <row r="768" spans="6:11">
      <c r="F768" s="198" t="s">
        <v>1006</v>
      </c>
      <c r="G768" s="198" t="s">
        <v>1006</v>
      </c>
      <c r="H768" s="198" t="str">
        <f t="shared" si="38"/>
        <v/>
      </c>
      <c r="I768" s="228" t="str">
        <f t="shared" si="39"/>
        <v/>
      </c>
      <c r="J768" s="228" t="str">
        <f t="shared" si="40"/>
        <v/>
      </c>
      <c r="K768" s="229" t="str">
        <f t="shared" si="41"/>
        <v/>
      </c>
    </row>
    <row r="769" spans="6:11">
      <c r="F769" s="198" t="s">
        <v>1006</v>
      </c>
      <c r="G769" s="198" t="s">
        <v>1006</v>
      </c>
      <c r="H769" s="198" t="str">
        <f t="shared" si="38"/>
        <v/>
      </c>
      <c r="I769" s="228" t="str">
        <f t="shared" si="39"/>
        <v/>
      </c>
      <c r="J769" s="228" t="str">
        <f t="shared" si="40"/>
        <v/>
      </c>
      <c r="K769" s="229" t="str">
        <f t="shared" si="41"/>
        <v/>
      </c>
    </row>
    <row r="770" spans="6:11">
      <c r="F770" s="198" t="s">
        <v>1006</v>
      </c>
      <c r="G770" s="198" t="s">
        <v>1006</v>
      </c>
      <c r="H770" s="198" t="str">
        <f t="shared" si="38"/>
        <v/>
      </c>
      <c r="I770" s="228" t="str">
        <f t="shared" si="39"/>
        <v/>
      </c>
      <c r="J770" s="228" t="str">
        <f t="shared" si="40"/>
        <v/>
      </c>
      <c r="K770" s="229" t="str">
        <f t="shared" si="41"/>
        <v/>
      </c>
    </row>
    <row r="771" spans="6:11">
      <c r="F771" s="198" t="s">
        <v>1006</v>
      </c>
      <c r="G771" s="198" t="s">
        <v>1006</v>
      </c>
      <c r="H771" s="198" t="str">
        <f t="shared" si="38"/>
        <v/>
      </c>
      <c r="I771" s="228" t="str">
        <f t="shared" si="39"/>
        <v/>
      </c>
      <c r="J771" s="228" t="str">
        <f t="shared" si="40"/>
        <v/>
      </c>
      <c r="K771" s="229" t="str">
        <f t="shared" si="41"/>
        <v/>
      </c>
    </row>
    <row r="772" spans="6:11">
      <c r="F772" s="198" t="s">
        <v>1006</v>
      </c>
      <c r="G772" s="198" t="s">
        <v>1006</v>
      </c>
      <c r="H772" s="198" t="str">
        <f t="shared" ref="H772:H835" si="42">IF(F772&lt;G772,F772,G772)</f>
        <v/>
      </c>
      <c r="I772" s="228" t="str">
        <f t="shared" ref="I772:I835" si="43">IF(DAY(B772)=1,600,"")</f>
        <v/>
      </c>
      <c r="J772" s="228" t="str">
        <f t="shared" ref="J772:J835" si="44">IF(DAY(B772)=15,MID(A772,1,1),"")</f>
        <v/>
      </c>
      <c r="K772" s="229" t="str">
        <f t="shared" si="41"/>
        <v/>
      </c>
    </row>
    <row r="773" spans="6:11">
      <c r="F773" s="198" t="s">
        <v>1006</v>
      </c>
      <c r="G773" s="198" t="s">
        <v>1006</v>
      </c>
      <c r="H773" s="198" t="str">
        <f t="shared" si="42"/>
        <v/>
      </c>
      <c r="I773" s="228" t="str">
        <f t="shared" si="43"/>
        <v/>
      </c>
      <c r="J773" s="228" t="str">
        <f t="shared" si="44"/>
        <v/>
      </c>
      <c r="K773" s="229" t="str">
        <f t="shared" si="41"/>
        <v/>
      </c>
    </row>
    <row r="774" spans="6:11">
      <c r="F774" s="198" t="s">
        <v>1006</v>
      </c>
      <c r="G774" s="198" t="s">
        <v>1006</v>
      </c>
      <c r="H774" s="198" t="str">
        <f t="shared" si="42"/>
        <v/>
      </c>
      <c r="I774" s="228" t="str">
        <f t="shared" si="43"/>
        <v/>
      </c>
      <c r="J774" s="228" t="str">
        <f t="shared" si="44"/>
        <v/>
      </c>
      <c r="K774" s="229" t="str">
        <f t="shared" si="41"/>
        <v/>
      </c>
    </row>
    <row r="775" spans="6:11">
      <c r="F775" s="198" t="s">
        <v>1006</v>
      </c>
      <c r="G775" s="198" t="s">
        <v>1006</v>
      </c>
      <c r="H775" s="198" t="str">
        <f t="shared" si="42"/>
        <v/>
      </c>
      <c r="I775" s="228" t="str">
        <f t="shared" si="43"/>
        <v/>
      </c>
      <c r="J775" s="228" t="str">
        <f t="shared" si="44"/>
        <v/>
      </c>
      <c r="K775" s="229" t="str">
        <f t="shared" si="41"/>
        <v/>
      </c>
    </row>
    <row r="776" spans="6:11">
      <c r="F776" s="198" t="s">
        <v>1006</v>
      </c>
      <c r="G776" s="198" t="s">
        <v>1006</v>
      </c>
      <c r="H776" s="198" t="str">
        <f t="shared" si="42"/>
        <v/>
      </c>
      <c r="I776" s="228" t="str">
        <f t="shared" si="43"/>
        <v/>
      </c>
      <c r="J776" s="228" t="str">
        <f t="shared" si="44"/>
        <v/>
      </c>
      <c r="K776" s="229" t="str">
        <f t="shared" si="41"/>
        <v/>
      </c>
    </row>
    <row r="777" spans="6:11">
      <c r="F777" s="198" t="s">
        <v>1006</v>
      </c>
      <c r="G777" s="198" t="s">
        <v>1006</v>
      </c>
      <c r="H777" s="198" t="str">
        <f t="shared" si="42"/>
        <v/>
      </c>
      <c r="I777" s="228" t="str">
        <f t="shared" si="43"/>
        <v/>
      </c>
      <c r="J777" s="228" t="str">
        <f t="shared" si="44"/>
        <v/>
      </c>
      <c r="K777" s="229" t="str">
        <f t="shared" si="41"/>
        <v/>
      </c>
    </row>
    <row r="778" spans="6:11">
      <c r="F778" s="198" t="s">
        <v>1006</v>
      </c>
      <c r="G778" s="198" t="s">
        <v>1006</v>
      </c>
      <c r="H778" s="198" t="str">
        <f t="shared" si="42"/>
        <v/>
      </c>
      <c r="I778" s="228" t="str">
        <f t="shared" si="43"/>
        <v/>
      </c>
      <c r="J778" s="228" t="str">
        <f t="shared" si="44"/>
        <v/>
      </c>
      <c r="K778" s="229" t="str">
        <f t="shared" si="41"/>
        <v/>
      </c>
    </row>
    <row r="779" spans="6:11">
      <c r="F779" s="198" t="s">
        <v>1006</v>
      </c>
      <c r="G779" s="198" t="s">
        <v>1006</v>
      </c>
      <c r="H779" s="198" t="str">
        <f t="shared" si="42"/>
        <v/>
      </c>
      <c r="I779" s="228" t="str">
        <f t="shared" si="43"/>
        <v/>
      </c>
      <c r="J779" s="228" t="str">
        <f t="shared" si="44"/>
        <v/>
      </c>
      <c r="K779" s="229" t="str">
        <f t="shared" si="41"/>
        <v/>
      </c>
    </row>
    <row r="780" spans="6:11">
      <c r="F780" s="198" t="s">
        <v>1006</v>
      </c>
      <c r="G780" s="198" t="s">
        <v>1006</v>
      </c>
      <c r="H780" s="198" t="str">
        <f t="shared" si="42"/>
        <v/>
      </c>
      <c r="I780" s="228" t="str">
        <f t="shared" si="43"/>
        <v/>
      </c>
      <c r="J780" s="228" t="str">
        <f t="shared" si="44"/>
        <v/>
      </c>
      <c r="K780" s="229" t="str">
        <f t="shared" si="41"/>
        <v/>
      </c>
    </row>
    <row r="781" spans="6:11">
      <c r="F781" s="198" t="s">
        <v>1006</v>
      </c>
      <c r="G781" s="198" t="s">
        <v>1006</v>
      </c>
      <c r="H781" s="198" t="str">
        <f t="shared" si="42"/>
        <v/>
      </c>
      <c r="I781" s="228" t="str">
        <f t="shared" si="43"/>
        <v/>
      </c>
      <c r="J781" s="228" t="str">
        <f t="shared" si="44"/>
        <v/>
      </c>
      <c r="K781" s="229" t="str">
        <f t="shared" si="41"/>
        <v/>
      </c>
    </row>
    <row r="782" spans="6:11">
      <c r="F782" s="198" t="s">
        <v>1006</v>
      </c>
      <c r="G782" s="198" t="s">
        <v>1006</v>
      </c>
      <c r="H782" s="198" t="str">
        <f t="shared" si="42"/>
        <v/>
      </c>
      <c r="I782" s="228" t="str">
        <f t="shared" si="43"/>
        <v/>
      </c>
      <c r="J782" s="228" t="str">
        <f t="shared" si="44"/>
        <v/>
      </c>
      <c r="K782" s="229" t="str">
        <f t="shared" si="41"/>
        <v/>
      </c>
    </row>
    <row r="783" spans="6:11">
      <c r="F783" s="198" t="s">
        <v>1006</v>
      </c>
      <c r="G783" s="198" t="s">
        <v>1006</v>
      </c>
      <c r="H783" s="198" t="str">
        <f t="shared" si="42"/>
        <v/>
      </c>
      <c r="I783" s="228" t="str">
        <f t="shared" si="43"/>
        <v/>
      </c>
      <c r="J783" s="228" t="str">
        <f t="shared" si="44"/>
        <v/>
      </c>
      <c r="K783" s="229" t="str">
        <f t="shared" si="41"/>
        <v/>
      </c>
    </row>
    <row r="784" spans="6:11">
      <c r="F784" s="198" t="s">
        <v>1006</v>
      </c>
      <c r="G784" s="198" t="s">
        <v>1006</v>
      </c>
      <c r="H784" s="198" t="str">
        <f t="shared" si="42"/>
        <v/>
      </c>
      <c r="I784" s="228" t="str">
        <f t="shared" si="43"/>
        <v/>
      </c>
      <c r="J784" s="228" t="str">
        <f t="shared" si="44"/>
        <v/>
      </c>
      <c r="K784" s="229" t="str">
        <f t="shared" si="41"/>
        <v/>
      </c>
    </row>
    <row r="785" spans="6:11">
      <c r="F785" s="198" t="s">
        <v>1006</v>
      </c>
      <c r="G785" s="198" t="s">
        <v>1006</v>
      </c>
      <c r="H785" s="198" t="str">
        <f t="shared" si="42"/>
        <v/>
      </c>
      <c r="I785" s="228" t="str">
        <f t="shared" si="43"/>
        <v/>
      </c>
      <c r="J785" s="228" t="str">
        <f t="shared" si="44"/>
        <v/>
      </c>
      <c r="K785" s="229" t="str">
        <f t="shared" si="41"/>
        <v/>
      </c>
    </row>
    <row r="786" spans="6:11">
      <c r="F786" s="198" t="s">
        <v>1006</v>
      </c>
      <c r="G786" s="198" t="s">
        <v>1006</v>
      </c>
      <c r="H786" s="198" t="str">
        <f t="shared" si="42"/>
        <v/>
      </c>
      <c r="I786" s="228" t="str">
        <f t="shared" si="43"/>
        <v/>
      </c>
      <c r="J786" s="228" t="str">
        <f t="shared" si="44"/>
        <v/>
      </c>
      <c r="K786" s="229" t="str">
        <f t="shared" si="41"/>
        <v/>
      </c>
    </row>
    <row r="787" spans="6:11">
      <c r="F787" s="198" t="s">
        <v>1006</v>
      </c>
      <c r="G787" s="198" t="s">
        <v>1006</v>
      </c>
      <c r="H787" s="198" t="str">
        <f t="shared" si="42"/>
        <v/>
      </c>
      <c r="I787" s="228" t="str">
        <f t="shared" si="43"/>
        <v/>
      </c>
      <c r="J787" s="228" t="str">
        <f t="shared" si="44"/>
        <v/>
      </c>
      <c r="K787" s="229" t="str">
        <f t="shared" si="41"/>
        <v/>
      </c>
    </row>
    <row r="788" spans="6:11">
      <c r="F788" s="198" t="s">
        <v>1006</v>
      </c>
      <c r="G788" s="198" t="s">
        <v>1006</v>
      </c>
      <c r="H788" s="198" t="str">
        <f t="shared" si="42"/>
        <v/>
      </c>
      <c r="I788" s="228" t="str">
        <f t="shared" si="43"/>
        <v/>
      </c>
      <c r="J788" s="228" t="str">
        <f t="shared" si="44"/>
        <v/>
      </c>
      <c r="K788" s="229" t="str">
        <f t="shared" ref="K788:K851" si="45">IF(DAY(B788)=15,G788,"")</f>
        <v/>
      </c>
    </row>
    <row r="789" spans="6:11">
      <c r="F789" s="198" t="s">
        <v>1006</v>
      </c>
      <c r="G789" s="198" t="s">
        <v>1006</v>
      </c>
      <c r="H789" s="198" t="str">
        <f t="shared" si="42"/>
        <v/>
      </c>
      <c r="I789" s="228" t="str">
        <f t="shared" si="43"/>
        <v/>
      </c>
      <c r="J789" s="228" t="str">
        <f t="shared" si="44"/>
        <v/>
      </c>
      <c r="K789" s="229" t="str">
        <f t="shared" si="45"/>
        <v/>
      </c>
    </row>
    <row r="790" spans="6:11">
      <c r="F790" s="198" t="s">
        <v>1006</v>
      </c>
      <c r="G790" s="198" t="s">
        <v>1006</v>
      </c>
      <c r="H790" s="198" t="str">
        <f t="shared" si="42"/>
        <v/>
      </c>
      <c r="I790" s="228" t="str">
        <f t="shared" si="43"/>
        <v/>
      </c>
      <c r="J790" s="228" t="str">
        <f t="shared" si="44"/>
        <v/>
      </c>
      <c r="K790" s="229" t="str">
        <f t="shared" si="45"/>
        <v/>
      </c>
    </row>
    <row r="791" spans="6:11">
      <c r="F791" s="198" t="s">
        <v>1006</v>
      </c>
      <c r="G791" s="198" t="s">
        <v>1006</v>
      </c>
      <c r="H791" s="198" t="str">
        <f t="shared" si="42"/>
        <v/>
      </c>
      <c r="I791" s="228" t="str">
        <f t="shared" si="43"/>
        <v/>
      </c>
      <c r="J791" s="228" t="str">
        <f t="shared" si="44"/>
        <v/>
      </c>
      <c r="K791" s="229" t="str">
        <f t="shared" si="45"/>
        <v/>
      </c>
    </row>
    <row r="792" spans="6:11">
      <c r="F792" s="198" t="s">
        <v>1006</v>
      </c>
      <c r="G792" s="198" t="s">
        <v>1006</v>
      </c>
      <c r="H792" s="198" t="str">
        <f t="shared" si="42"/>
        <v/>
      </c>
      <c r="I792" s="228" t="str">
        <f t="shared" si="43"/>
        <v/>
      </c>
      <c r="J792" s="228" t="str">
        <f t="shared" si="44"/>
        <v/>
      </c>
      <c r="K792" s="229" t="str">
        <f t="shared" si="45"/>
        <v/>
      </c>
    </row>
    <row r="793" spans="6:11">
      <c r="F793" s="198" t="s">
        <v>1006</v>
      </c>
      <c r="G793" s="198" t="s">
        <v>1006</v>
      </c>
      <c r="H793" s="198" t="str">
        <f t="shared" si="42"/>
        <v/>
      </c>
      <c r="I793" s="228" t="str">
        <f t="shared" si="43"/>
        <v/>
      </c>
      <c r="J793" s="228" t="str">
        <f t="shared" si="44"/>
        <v/>
      </c>
      <c r="K793" s="229" t="str">
        <f t="shared" si="45"/>
        <v/>
      </c>
    </row>
    <row r="794" spans="6:11">
      <c r="F794" s="198" t="s">
        <v>1006</v>
      </c>
      <c r="G794" s="198" t="s">
        <v>1006</v>
      </c>
      <c r="H794" s="198" t="str">
        <f t="shared" si="42"/>
        <v/>
      </c>
      <c r="I794" s="228" t="str">
        <f t="shared" si="43"/>
        <v/>
      </c>
      <c r="J794" s="228" t="str">
        <f t="shared" si="44"/>
        <v/>
      </c>
      <c r="K794" s="229" t="str">
        <f t="shared" si="45"/>
        <v/>
      </c>
    </row>
    <row r="795" spans="6:11">
      <c r="F795" s="198" t="s">
        <v>1006</v>
      </c>
      <c r="G795" s="198" t="s">
        <v>1006</v>
      </c>
      <c r="H795" s="198" t="str">
        <f t="shared" si="42"/>
        <v/>
      </c>
      <c r="I795" s="228" t="str">
        <f t="shared" si="43"/>
        <v/>
      </c>
      <c r="J795" s="228" t="str">
        <f t="shared" si="44"/>
        <v/>
      </c>
      <c r="K795" s="229" t="str">
        <f t="shared" si="45"/>
        <v/>
      </c>
    </row>
    <row r="796" spans="6:11">
      <c r="F796" s="198" t="s">
        <v>1006</v>
      </c>
      <c r="G796" s="198" t="s">
        <v>1006</v>
      </c>
      <c r="H796" s="198" t="str">
        <f t="shared" si="42"/>
        <v/>
      </c>
      <c r="I796" s="228" t="str">
        <f t="shared" si="43"/>
        <v/>
      </c>
      <c r="J796" s="228" t="str">
        <f t="shared" si="44"/>
        <v/>
      </c>
      <c r="K796" s="229" t="str">
        <f t="shared" si="45"/>
        <v/>
      </c>
    </row>
    <row r="797" spans="6:11">
      <c r="F797" s="198" t="s">
        <v>1006</v>
      </c>
      <c r="G797" s="198" t="s">
        <v>1006</v>
      </c>
      <c r="H797" s="198" t="str">
        <f t="shared" si="42"/>
        <v/>
      </c>
      <c r="I797" s="228" t="str">
        <f t="shared" si="43"/>
        <v/>
      </c>
      <c r="J797" s="228" t="str">
        <f t="shared" si="44"/>
        <v/>
      </c>
      <c r="K797" s="229" t="str">
        <f t="shared" si="45"/>
        <v/>
      </c>
    </row>
    <row r="798" spans="6:11">
      <c r="F798" s="198" t="s">
        <v>1006</v>
      </c>
      <c r="G798" s="198" t="s">
        <v>1006</v>
      </c>
      <c r="H798" s="198" t="str">
        <f t="shared" si="42"/>
        <v/>
      </c>
      <c r="I798" s="228" t="str">
        <f t="shared" si="43"/>
        <v/>
      </c>
      <c r="J798" s="228" t="str">
        <f t="shared" si="44"/>
        <v/>
      </c>
      <c r="K798" s="229" t="str">
        <f t="shared" si="45"/>
        <v/>
      </c>
    </row>
    <row r="799" spans="6:11">
      <c r="F799" s="198" t="s">
        <v>1006</v>
      </c>
      <c r="G799" s="198" t="s">
        <v>1006</v>
      </c>
      <c r="H799" s="198" t="str">
        <f t="shared" si="42"/>
        <v/>
      </c>
      <c r="I799" s="228" t="str">
        <f t="shared" si="43"/>
        <v/>
      </c>
      <c r="J799" s="228" t="str">
        <f t="shared" si="44"/>
        <v/>
      </c>
      <c r="K799" s="229" t="str">
        <f t="shared" si="45"/>
        <v/>
      </c>
    </row>
    <row r="800" spans="6:11">
      <c r="F800" s="198" t="s">
        <v>1006</v>
      </c>
      <c r="G800" s="198" t="s">
        <v>1006</v>
      </c>
      <c r="H800" s="198" t="str">
        <f t="shared" si="42"/>
        <v/>
      </c>
      <c r="I800" s="228" t="str">
        <f t="shared" si="43"/>
        <v/>
      </c>
      <c r="J800" s="228" t="str">
        <f t="shared" si="44"/>
        <v/>
      </c>
      <c r="K800" s="229" t="str">
        <f t="shared" si="45"/>
        <v/>
      </c>
    </row>
    <row r="801" spans="6:11">
      <c r="F801" s="198" t="s">
        <v>1006</v>
      </c>
      <c r="G801" s="198" t="s">
        <v>1006</v>
      </c>
      <c r="H801" s="198" t="str">
        <f t="shared" si="42"/>
        <v/>
      </c>
      <c r="I801" s="228" t="str">
        <f t="shared" si="43"/>
        <v/>
      </c>
      <c r="J801" s="228" t="str">
        <f t="shared" si="44"/>
        <v/>
      </c>
      <c r="K801" s="229" t="str">
        <f t="shared" si="45"/>
        <v/>
      </c>
    </row>
    <row r="802" spans="6:11">
      <c r="F802" s="198" t="s">
        <v>1006</v>
      </c>
      <c r="G802" s="198" t="s">
        <v>1006</v>
      </c>
      <c r="H802" s="198" t="str">
        <f t="shared" si="42"/>
        <v/>
      </c>
      <c r="I802" s="228" t="str">
        <f t="shared" si="43"/>
        <v/>
      </c>
      <c r="J802" s="228" t="str">
        <f t="shared" si="44"/>
        <v/>
      </c>
      <c r="K802" s="229" t="str">
        <f t="shared" si="45"/>
        <v/>
      </c>
    </row>
    <row r="803" spans="6:11">
      <c r="F803" s="198" t="s">
        <v>1006</v>
      </c>
      <c r="G803" s="198" t="s">
        <v>1006</v>
      </c>
      <c r="H803" s="198" t="str">
        <f t="shared" si="42"/>
        <v/>
      </c>
      <c r="I803" s="228" t="str">
        <f t="shared" si="43"/>
        <v/>
      </c>
      <c r="J803" s="228" t="str">
        <f t="shared" si="44"/>
        <v/>
      </c>
      <c r="K803" s="229" t="str">
        <f t="shared" si="45"/>
        <v/>
      </c>
    </row>
    <row r="804" spans="6:11">
      <c r="F804" s="198" t="s">
        <v>1006</v>
      </c>
      <c r="G804" s="198" t="s">
        <v>1006</v>
      </c>
      <c r="H804" s="198" t="str">
        <f t="shared" si="42"/>
        <v/>
      </c>
      <c r="I804" s="228" t="str">
        <f t="shared" si="43"/>
        <v/>
      </c>
      <c r="J804" s="228" t="str">
        <f t="shared" si="44"/>
        <v/>
      </c>
      <c r="K804" s="229" t="str">
        <f t="shared" si="45"/>
        <v/>
      </c>
    </row>
    <row r="805" spans="6:11">
      <c r="F805" s="198" t="s">
        <v>1006</v>
      </c>
      <c r="G805" s="198" t="s">
        <v>1006</v>
      </c>
      <c r="H805" s="198" t="str">
        <f t="shared" si="42"/>
        <v/>
      </c>
      <c r="I805" s="228" t="str">
        <f t="shared" si="43"/>
        <v/>
      </c>
      <c r="J805" s="228" t="str">
        <f t="shared" si="44"/>
        <v/>
      </c>
      <c r="K805" s="229" t="str">
        <f t="shared" si="45"/>
        <v/>
      </c>
    </row>
    <row r="806" spans="6:11">
      <c r="F806" s="198" t="s">
        <v>1006</v>
      </c>
      <c r="G806" s="198" t="s">
        <v>1006</v>
      </c>
      <c r="H806" s="198" t="str">
        <f t="shared" si="42"/>
        <v/>
      </c>
      <c r="I806" s="228" t="str">
        <f t="shared" si="43"/>
        <v/>
      </c>
      <c r="J806" s="228" t="str">
        <f t="shared" si="44"/>
        <v/>
      </c>
      <c r="K806" s="229" t="str">
        <f t="shared" si="45"/>
        <v/>
      </c>
    </row>
    <row r="807" spans="6:11">
      <c r="F807" s="198" t="s">
        <v>1006</v>
      </c>
      <c r="G807" s="198" t="s">
        <v>1006</v>
      </c>
      <c r="H807" s="198" t="str">
        <f t="shared" si="42"/>
        <v/>
      </c>
      <c r="I807" s="228" t="str">
        <f t="shared" si="43"/>
        <v/>
      </c>
      <c r="J807" s="228" t="str">
        <f t="shared" si="44"/>
        <v/>
      </c>
      <c r="K807" s="229" t="str">
        <f t="shared" si="45"/>
        <v/>
      </c>
    </row>
    <row r="808" spans="6:11">
      <c r="F808" s="198" t="s">
        <v>1006</v>
      </c>
      <c r="G808" s="198" t="s">
        <v>1006</v>
      </c>
      <c r="H808" s="198" t="str">
        <f t="shared" si="42"/>
        <v/>
      </c>
      <c r="I808" s="228" t="str">
        <f t="shared" si="43"/>
        <v/>
      </c>
      <c r="J808" s="228" t="str">
        <f t="shared" si="44"/>
        <v/>
      </c>
      <c r="K808" s="229" t="str">
        <f t="shared" si="45"/>
        <v/>
      </c>
    </row>
    <row r="809" spans="6:11">
      <c r="F809" s="198" t="s">
        <v>1006</v>
      </c>
      <c r="G809" s="198" t="s">
        <v>1006</v>
      </c>
      <c r="H809" s="198" t="str">
        <f t="shared" si="42"/>
        <v/>
      </c>
      <c r="I809" s="228" t="str">
        <f t="shared" si="43"/>
        <v/>
      </c>
      <c r="J809" s="228" t="str">
        <f t="shared" si="44"/>
        <v/>
      </c>
      <c r="K809" s="229" t="str">
        <f t="shared" si="45"/>
        <v/>
      </c>
    </row>
    <row r="810" spans="6:11">
      <c r="F810" s="198" t="s">
        <v>1006</v>
      </c>
      <c r="G810" s="198" t="s">
        <v>1006</v>
      </c>
      <c r="H810" s="198" t="str">
        <f t="shared" si="42"/>
        <v/>
      </c>
      <c r="I810" s="228" t="str">
        <f t="shared" si="43"/>
        <v/>
      </c>
      <c r="J810" s="228" t="str">
        <f t="shared" si="44"/>
        <v/>
      </c>
      <c r="K810" s="229" t="str">
        <f t="shared" si="45"/>
        <v/>
      </c>
    </row>
    <row r="811" spans="6:11">
      <c r="F811" s="198" t="s">
        <v>1006</v>
      </c>
      <c r="G811" s="198" t="s">
        <v>1006</v>
      </c>
      <c r="H811" s="198" t="str">
        <f t="shared" si="42"/>
        <v/>
      </c>
      <c r="I811" s="228" t="str">
        <f t="shared" si="43"/>
        <v/>
      </c>
      <c r="J811" s="228" t="str">
        <f t="shared" si="44"/>
        <v/>
      </c>
      <c r="K811" s="229" t="str">
        <f t="shared" si="45"/>
        <v/>
      </c>
    </row>
    <row r="812" spans="6:11">
      <c r="F812" s="198" t="s">
        <v>1006</v>
      </c>
      <c r="G812" s="198" t="s">
        <v>1006</v>
      </c>
      <c r="H812" s="198" t="str">
        <f t="shared" si="42"/>
        <v/>
      </c>
      <c r="I812" s="228" t="str">
        <f t="shared" si="43"/>
        <v/>
      </c>
      <c r="J812" s="228" t="str">
        <f t="shared" si="44"/>
        <v/>
      </c>
      <c r="K812" s="229" t="str">
        <f t="shared" si="45"/>
        <v/>
      </c>
    </row>
    <row r="813" spans="6:11">
      <c r="F813" s="198" t="s">
        <v>1006</v>
      </c>
      <c r="G813" s="198" t="s">
        <v>1006</v>
      </c>
      <c r="H813" s="198" t="str">
        <f t="shared" si="42"/>
        <v/>
      </c>
      <c r="I813" s="228" t="str">
        <f t="shared" si="43"/>
        <v/>
      </c>
      <c r="J813" s="228" t="str">
        <f t="shared" si="44"/>
        <v/>
      </c>
      <c r="K813" s="229" t="str">
        <f t="shared" si="45"/>
        <v/>
      </c>
    </row>
    <row r="814" spans="6:11">
      <c r="F814" s="198" t="s">
        <v>1006</v>
      </c>
      <c r="G814" s="198" t="s">
        <v>1006</v>
      </c>
      <c r="H814" s="198" t="str">
        <f t="shared" si="42"/>
        <v/>
      </c>
      <c r="I814" s="228" t="str">
        <f t="shared" si="43"/>
        <v/>
      </c>
      <c r="J814" s="228" t="str">
        <f t="shared" si="44"/>
        <v/>
      </c>
      <c r="K814" s="229" t="str">
        <f t="shared" si="45"/>
        <v/>
      </c>
    </row>
    <row r="815" spans="6:11">
      <c r="F815" s="198" t="s">
        <v>1006</v>
      </c>
      <c r="G815" s="198" t="s">
        <v>1006</v>
      </c>
      <c r="H815" s="198" t="str">
        <f t="shared" si="42"/>
        <v/>
      </c>
      <c r="I815" s="228" t="str">
        <f t="shared" si="43"/>
        <v/>
      </c>
      <c r="J815" s="228" t="str">
        <f t="shared" si="44"/>
        <v/>
      </c>
      <c r="K815" s="229" t="str">
        <f t="shared" si="45"/>
        <v/>
      </c>
    </row>
    <row r="816" spans="6:11">
      <c r="F816" s="198" t="s">
        <v>1006</v>
      </c>
      <c r="G816" s="198" t="s">
        <v>1006</v>
      </c>
      <c r="H816" s="198" t="str">
        <f t="shared" si="42"/>
        <v/>
      </c>
      <c r="I816" s="228" t="str">
        <f t="shared" si="43"/>
        <v/>
      </c>
      <c r="J816" s="228" t="str">
        <f t="shared" si="44"/>
        <v/>
      </c>
      <c r="K816" s="229" t="str">
        <f t="shared" si="45"/>
        <v/>
      </c>
    </row>
    <row r="817" spans="6:11">
      <c r="F817" s="198" t="s">
        <v>1006</v>
      </c>
      <c r="G817" s="198" t="s">
        <v>1006</v>
      </c>
      <c r="H817" s="198" t="str">
        <f t="shared" si="42"/>
        <v/>
      </c>
      <c r="I817" s="228" t="str">
        <f t="shared" si="43"/>
        <v/>
      </c>
      <c r="J817" s="228" t="str">
        <f t="shared" si="44"/>
        <v/>
      </c>
      <c r="K817" s="229" t="str">
        <f t="shared" si="45"/>
        <v/>
      </c>
    </row>
    <row r="818" spans="6:11">
      <c r="F818" s="198" t="s">
        <v>1006</v>
      </c>
      <c r="G818" s="198" t="s">
        <v>1006</v>
      </c>
      <c r="H818" s="198" t="str">
        <f t="shared" si="42"/>
        <v/>
      </c>
      <c r="I818" s="228" t="str">
        <f t="shared" si="43"/>
        <v/>
      </c>
      <c r="J818" s="228" t="str">
        <f t="shared" si="44"/>
        <v/>
      </c>
      <c r="K818" s="229" t="str">
        <f t="shared" si="45"/>
        <v/>
      </c>
    </row>
    <row r="819" spans="6:11">
      <c r="F819" s="198" t="s">
        <v>1006</v>
      </c>
      <c r="G819" s="198" t="s">
        <v>1006</v>
      </c>
      <c r="H819" s="198" t="str">
        <f t="shared" si="42"/>
        <v/>
      </c>
      <c r="I819" s="228" t="str">
        <f t="shared" si="43"/>
        <v/>
      </c>
      <c r="J819" s="228" t="str">
        <f t="shared" si="44"/>
        <v/>
      </c>
      <c r="K819" s="229" t="str">
        <f t="shared" si="45"/>
        <v/>
      </c>
    </row>
    <row r="820" spans="6:11">
      <c r="F820" s="198" t="s">
        <v>1006</v>
      </c>
      <c r="G820" s="198" t="s">
        <v>1006</v>
      </c>
      <c r="H820" s="198" t="str">
        <f t="shared" si="42"/>
        <v/>
      </c>
      <c r="I820" s="228" t="str">
        <f t="shared" si="43"/>
        <v/>
      </c>
      <c r="J820" s="228" t="str">
        <f t="shared" si="44"/>
        <v/>
      </c>
      <c r="K820" s="229" t="str">
        <f t="shared" si="45"/>
        <v/>
      </c>
    </row>
    <row r="821" spans="6:11">
      <c r="F821" s="198" t="s">
        <v>1006</v>
      </c>
      <c r="G821" s="198" t="s">
        <v>1006</v>
      </c>
      <c r="H821" s="198" t="str">
        <f t="shared" si="42"/>
        <v/>
      </c>
      <c r="I821" s="228" t="str">
        <f t="shared" si="43"/>
        <v/>
      </c>
      <c r="J821" s="228" t="str">
        <f t="shared" si="44"/>
        <v/>
      </c>
      <c r="K821" s="229" t="str">
        <f t="shared" si="45"/>
        <v/>
      </c>
    </row>
    <row r="822" spans="6:11">
      <c r="F822" s="198" t="s">
        <v>1006</v>
      </c>
      <c r="G822" s="198" t="s">
        <v>1006</v>
      </c>
      <c r="H822" s="198" t="str">
        <f t="shared" si="42"/>
        <v/>
      </c>
      <c r="I822" s="228" t="str">
        <f t="shared" si="43"/>
        <v/>
      </c>
      <c r="J822" s="228" t="str">
        <f t="shared" si="44"/>
        <v/>
      </c>
      <c r="K822" s="229" t="str">
        <f t="shared" si="45"/>
        <v/>
      </c>
    </row>
    <row r="823" spans="6:11">
      <c r="F823" s="198" t="s">
        <v>1006</v>
      </c>
      <c r="G823" s="198" t="s">
        <v>1006</v>
      </c>
      <c r="H823" s="198" t="str">
        <f t="shared" si="42"/>
        <v/>
      </c>
      <c r="I823" s="228" t="str">
        <f t="shared" si="43"/>
        <v/>
      </c>
      <c r="J823" s="228" t="str">
        <f t="shared" si="44"/>
        <v/>
      </c>
      <c r="K823" s="229" t="str">
        <f t="shared" si="45"/>
        <v/>
      </c>
    </row>
    <row r="824" spans="6:11">
      <c r="F824" s="198" t="s">
        <v>1006</v>
      </c>
      <c r="G824" s="198" t="s">
        <v>1006</v>
      </c>
      <c r="H824" s="198" t="str">
        <f t="shared" si="42"/>
        <v/>
      </c>
      <c r="I824" s="228" t="str">
        <f t="shared" si="43"/>
        <v/>
      </c>
      <c r="J824" s="228" t="str">
        <f t="shared" si="44"/>
        <v/>
      </c>
      <c r="K824" s="229" t="str">
        <f t="shared" si="45"/>
        <v/>
      </c>
    </row>
    <row r="825" spans="6:11">
      <c r="F825" s="198" t="s">
        <v>1006</v>
      </c>
      <c r="G825" s="198" t="s">
        <v>1006</v>
      </c>
      <c r="H825" s="198" t="str">
        <f t="shared" si="42"/>
        <v/>
      </c>
      <c r="I825" s="228" t="str">
        <f t="shared" si="43"/>
        <v/>
      </c>
      <c r="J825" s="228" t="str">
        <f t="shared" si="44"/>
        <v/>
      </c>
      <c r="K825" s="229" t="str">
        <f t="shared" si="45"/>
        <v/>
      </c>
    </row>
    <row r="826" spans="6:11">
      <c r="F826" s="198" t="s">
        <v>1006</v>
      </c>
      <c r="G826" s="198" t="s">
        <v>1006</v>
      </c>
      <c r="H826" s="198" t="str">
        <f t="shared" si="42"/>
        <v/>
      </c>
      <c r="I826" s="228" t="str">
        <f t="shared" si="43"/>
        <v/>
      </c>
      <c r="J826" s="228" t="str">
        <f t="shared" si="44"/>
        <v/>
      </c>
      <c r="K826" s="229" t="str">
        <f t="shared" si="45"/>
        <v/>
      </c>
    </row>
    <row r="827" spans="6:11">
      <c r="F827" s="198" t="s">
        <v>1006</v>
      </c>
      <c r="G827" s="198" t="s">
        <v>1006</v>
      </c>
      <c r="H827" s="198" t="str">
        <f t="shared" si="42"/>
        <v/>
      </c>
      <c r="I827" s="228" t="str">
        <f t="shared" si="43"/>
        <v/>
      </c>
      <c r="J827" s="228" t="str">
        <f t="shared" si="44"/>
        <v/>
      </c>
      <c r="K827" s="229" t="str">
        <f t="shared" si="45"/>
        <v/>
      </c>
    </row>
    <row r="828" spans="6:11">
      <c r="F828" s="198" t="s">
        <v>1006</v>
      </c>
      <c r="G828" s="198" t="s">
        <v>1006</v>
      </c>
      <c r="H828" s="198" t="str">
        <f t="shared" si="42"/>
        <v/>
      </c>
      <c r="I828" s="228" t="str">
        <f t="shared" si="43"/>
        <v/>
      </c>
      <c r="J828" s="228" t="str">
        <f t="shared" si="44"/>
        <v/>
      </c>
      <c r="K828" s="229" t="str">
        <f t="shared" si="45"/>
        <v/>
      </c>
    </row>
    <row r="829" spans="6:11">
      <c r="F829" s="198" t="s">
        <v>1006</v>
      </c>
      <c r="G829" s="198" t="s">
        <v>1006</v>
      </c>
      <c r="H829" s="198" t="str">
        <f t="shared" si="42"/>
        <v/>
      </c>
      <c r="I829" s="228" t="str">
        <f t="shared" si="43"/>
        <v/>
      </c>
      <c r="J829" s="228" t="str">
        <f t="shared" si="44"/>
        <v/>
      </c>
      <c r="K829" s="229" t="str">
        <f t="shared" si="45"/>
        <v/>
      </c>
    </row>
    <row r="830" spans="6:11">
      <c r="F830" s="198" t="s">
        <v>1006</v>
      </c>
      <c r="G830" s="198" t="s">
        <v>1006</v>
      </c>
      <c r="H830" s="198" t="str">
        <f t="shared" si="42"/>
        <v/>
      </c>
      <c r="I830" s="228" t="str">
        <f t="shared" si="43"/>
        <v/>
      </c>
      <c r="J830" s="228" t="str">
        <f t="shared" si="44"/>
        <v/>
      </c>
      <c r="K830" s="229" t="str">
        <f t="shared" si="45"/>
        <v/>
      </c>
    </row>
    <row r="831" spans="6:11">
      <c r="F831" s="198" t="s">
        <v>1006</v>
      </c>
      <c r="G831" s="198" t="s">
        <v>1006</v>
      </c>
      <c r="H831" s="198" t="str">
        <f t="shared" si="42"/>
        <v/>
      </c>
      <c r="I831" s="228" t="str">
        <f t="shared" si="43"/>
        <v/>
      </c>
      <c r="J831" s="228" t="str">
        <f t="shared" si="44"/>
        <v/>
      </c>
      <c r="K831" s="229" t="str">
        <f t="shared" si="45"/>
        <v/>
      </c>
    </row>
    <row r="832" spans="6:11">
      <c r="F832" s="198" t="s">
        <v>1006</v>
      </c>
      <c r="G832" s="198" t="s">
        <v>1006</v>
      </c>
      <c r="H832" s="198" t="str">
        <f t="shared" si="42"/>
        <v/>
      </c>
      <c r="I832" s="228" t="str">
        <f t="shared" si="43"/>
        <v/>
      </c>
      <c r="J832" s="228" t="str">
        <f t="shared" si="44"/>
        <v/>
      </c>
      <c r="K832" s="229" t="str">
        <f t="shared" si="45"/>
        <v/>
      </c>
    </row>
    <row r="833" spans="6:11">
      <c r="F833" s="198" t="s">
        <v>1006</v>
      </c>
      <c r="G833" s="198" t="s">
        <v>1006</v>
      </c>
      <c r="H833" s="198" t="str">
        <f t="shared" si="42"/>
        <v/>
      </c>
      <c r="I833" s="228" t="str">
        <f t="shared" si="43"/>
        <v/>
      </c>
      <c r="J833" s="228" t="str">
        <f t="shared" si="44"/>
        <v/>
      </c>
      <c r="K833" s="229" t="str">
        <f t="shared" si="45"/>
        <v/>
      </c>
    </row>
    <row r="834" spans="6:11">
      <c r="F834" s="198" t="s">
        <v>1006</v>
      </c>
      <c r="G834" s="198" t="s">
        <v>1006</v>
      </c>
      <c r="H834" s="198" t="str">
        <f t="shared" si="42"/>
        <v/>
      </c>
      <c r="I834" s="228" t="str">
        <f t="shared" si="43"/>
        <v/>
      </c>
      <c r="J834" s="228" t="str">
        <f t="shared" si="44"/>
        <v/>
      </c>
      <c r="K834" s="229" t="str">
        <f t="shared" si="45"/>
        <v/>
      </c>
    </row>
    <row r="835" spans="6:11">
      <c r="F835" s="198" t="s">
        <v>1006</v>
      </c>
      <c r="G835" s="198" t="s">
        <v>1006</v>
      </c>
      <c r="H835" s="198" t="str">
        <f t="shared" si="42"/>
        <v/>
      </c>
      <c r="I835" s="228" t="str">
        <f t="shared" si="43"/>
        <v/>
      </c>
      <c r="J835" s="228" t="str">
        <f t="shared" si="44"/>
        <v/>
      </c>
      <c r="K835" s="229" t="str">
        <f t="shared" si="45"/>
        <v/>
      </c>
    </row>
    <row r="836" spans="6:11">
      <c r="F836" s="198" t="s">
        <v>1006</v>
      </c>
      <c r="G836" s="198" t="s">
        <v>1006</v>
      </c>
      <c r="H836" s="198" t="str">
        <f t="shared" ref="H836:H899" si="46">IF(F836&lt;G836,F836,G836)</f>
        <v/>
      </c>
      <c r="I836" s="228" t="str">
        <f t="shared" ref="I836:I899" si="47">IF(DAY(B836)=1,600,"")</f>
        <v/>
      </c>
      <c r="J836" s="228" t="str">
        <f t="shared" ref="J836:J899" si="48">IF(DAY(B836)=15,MID(A836,1,1),"")</f>
        <v/>
      </c>
      <c r="K836" s="229" t="str">
        <f t="shared" si="45"/>
        <v/>
      </c>
    </row>
    <row r="837" spans="6:11">
      <c r="F837" s="198" t="s">
        <v>1006</v>
      </c>
      <c r="G837" s="198" t="s">
        <v>1006</v>
      </c>
      <c r="H837" s="198" t="str">
        <f t="shared" si="46"/>
        <v/>
      </c>
      <c r="I837" s="228" t="str">
        <f t="shared" si="47"/>
        <v/>
      </c>
      <c r="J837" s="228" t="str">
        <f t="shared" si="48"/>
        <v/>
      </c>
      <c r="K837" s="229" t="str">
        <f t="shared" si="45"/>
        <v/>
      </c>
    </row>
    <row r="838" spans="6:11">
      <c r="F838" s="198" t="s">
        <v>1006</v>
      </c>
      <c r="G838" s="198" t="s">
        <v>1006</v>
      </c>
      <c r="H838" s="198" t="str">
        <f t="shared" si="46"/>
        <v/>
      </c>
      <c r="I838" s="228" t="str">
        <f t="shared" si="47"/>
        <v/>
      </c>
      <c r="J838" s="228" t="str">
        <f t="shared" si="48"/>
        <v/>
      </c>
      <c r="K838" s="229" t="str">
        <f t="shared" si="45"/>
        <v/>
      </c>
    </row>
    <row r="839" spans="6:11">
      <c r="F839" s="198" t="s">
        <v>1006</v>
      </c>
      <c r="G839" s="198" t="s">
        <v>1006</v>
      </c>
      <c r="H839" s="198" t="str">
        <f t="shared" si="46"/>
        <v/>
      </c>
      <c r="I839" s="228" t="str">
        <f t="shared" si="47"/>
        <v/>
      </c>
      <c r="J839" s="228" t="str">
        <f t="shared" si="48"/>
        <v/>
      </c>
      <c r="K839" s="229" t="str">
        <f t="shared" si="45"/>
        <v/>
      </c>
    </row>
    <row r="840" spans="6:11">
      <c r="F840" s="198" t="s">
        <v>1006</v>
      </c>
      <c r="G840" s="198" t="s">
        <v>1006</v>
      </c>
      <c r="H840" s="198" t="str">
        <f t="shared" si="46"/>
        <v/>
      </c>
      <c r="I840" s="228" t="str">
        <f t="shared" si="47"/>
        <v/>
      </c>
      <c r="J840" s="228" t="str">
        <f t="shared" si="48"/>
        <v/>
      </c>
      <c r="K840" s="229" t="str">
        <f t="shared" si="45"/>
        <v/>
      </c>
    </row>
    <row r="841" spans="6:11">
      <c r="F841" s="198" t="s">
        <v>1006</v>
      </c>
      <c r="G841" s="198" t="s">
        <v>1006</v>
      </c>
      <c r="H841" s="198" t="str">
        <f t="shared" si="46"/>
        <v/>
      </c>
      <c r="I841" s="228" t="str">
        <f t="shared" si="47"/>
        <v/>
      </c>
      <c r="J841" s="228" t="str">
        <f t="shared" si="48"/>
        <v/>
      </c>
      <c r="K841" s="229" t="str">
        <f t="shared" si="45"/>
        <v/>
      </c>
    </row>
    <row r="842" spans="6:11">
      <c r="F842" s="198" t="s">
        <v>1006</v>
      </c>
      <c r="G842" s="198" t="s">
        <v>1006</v>
      </c>
      <c r="H842" s="198" t="str">
        <f t="shared" si="46"/>
        <v/>
      </c>
      <c r="I842" s="228" t="str">
        <f t="shared" si="47"/>
        <v/>
      </c>
      <c r="J842" s="228" t="str">
        <f t="shared" si="48"/>
        <v/>
      </c>
      <c r="K842" s="229" t="str">
        <f t="shared" si="45"/>
        <v/>
      </c>
    </row>
    <row r="843" spans="6:11">
      <c r="F843" s="198" t="s">
        <v>1006</v>
      </c>
      <c r="G843" s="198" t="s">
        <v>1006</v>
      </c>
      <c r="H843" s="198" t="str">
        <f t="shared" si="46"/>
        <v/>
      </c>
      <c r="I843" s="228" t="str">
        <f t="shared" si="47"/>
        <v/>
      </c>
      <c r="J843" s="228" t="str">
        <f t="shared" si="48"/>
        <v/>
      </c>
      <c r="K843" s="229" t="str">
        <f t="shared" si="45"/>
        <v/>
      </c>
    </row>
    <row r="844" spans="6:11">
      <c r="F844" s="198" t="s">
        <v>1006</v>
      </c>
      <c r="G844" s="198" t="s">
        <v>1006</v>
      </c>
      <c r="H844" s="198" t="str">
        <f t="shared" si="46"/>
        <v/>
      </c>
      <c r="I844" s="228" t="str">
        <f t="shared" si="47"/>
        <v/>
      </c>
      <c r="J844" s="228" t="str">
        <f t="shared" si="48"/>
        <v/>
      </c>
      <c r="K844" s="229" t="str">
        <f t="shared" si="45"/>
        <v/>
      </c>
    </row>
    <row r="845" spans="6:11">
      <c r="F845" s="198" t="s">
        <v>1006</v>
      </c>
      <c r="G845" s="198" t="s">
        <v>1006</v>
      </c>
      <c r="H845" s="198" t="str">
        <f t="shared" si="46"/>
        <v/>
      </c>
      <c r="I845" s="228" t="str">
        <f t="shared" si="47"/>
        <v/>
      </c>
      <c r="J845" s="228" t="str">
        <f t="shared" si="48"/>
        <v/>
      </c>
      <c r="K845" s="229" t="str">
        <f t="shared" si="45"/>
        <v/>
      </c>
    </row>
    <row r="846" spans="6:11">
      <c r="F846" s="198" t="s">
        <v>1006</v>
      </c>
      <c r="G846" s="198" t="s">
        <v>1006</v>
      </c>
      <c r="H846" s="198" t="str">
        <f t="shared" si="46"/>
        <v/>
      </c>
      <c r="I846" s="228" t="str">
        <f t="shared" si="47"/>
        <v/>
      </c>
      <c r="J846" s="228" t="str">
        <f t="shared" si="48"/>
        <v/>
      </c>
      <c r="K846" s="229" t="str">
        <f t="shared" si="45"/>
        <v/>
      </c>
    </row>
    <row r="847" spans="6:11">
      <c r="F847" s="198" t="s">
        <v>1006</v>
      </c>
      <c r="G847" s="198" t="s">
        <v>1006</v>
      </c>
      <c r="H847" s="198" t="str">
        <f t="shared" si="46"/>
        <v/>
      </c>
      <c r="I847" s="228" t="str">
        <f t="shared" si="47"/>
        <v/>
      </c>
      <c r="J847" s="228" t="str">
        <f t="shared" si="48"/>
        <v/>
      </c>
      <c r="K847" s="229" t="str">
        <f t="shared" si="45"/>
        <v/>
      </c>
    </row>
    <row r="848" spans="6:11">
      <c r="F848" s="198" t="s">
        <v>1006</v>
      </c>
      <c r="G848" s="198" t="s">
        <v>1006</v>
      </c>
      <c r="H848" s="198" t="str">
        <f t="shared" si="46"/>
        <v/>
      </c>
      <c r="I848" s="228" t="str">
        <f t="shared" si="47"/>
        <v/>
      </c>
      <c r="J848" s="228" t="str">
        <f t="shared" si="48"/>
        <v/>
      </c>
      <c r="K848" s="229" t="str">
        <f t="shared" si="45"/>
        <v/>
      </c>
    </row>
    <row r="849" spans="6:11">
      <c r="F849" s="198" t="s">
        <v>1006</v>
      </c>
      <c r="G849" s="198" t="s">
        <v>1006</v>
      </c>
      <c r="H849" s="198" t="str">
        <f t="shared" si="46"/>
        <v/>
      </c>
      <c r="I849" s="228" t="str">
        <f t="shared" si="47"/>
        <v/>
      </c>
      <c r="J849" s="228" t="str">
        <f t="shared" si="48"/>
        <v/>
      </c>
      <c r="K849" s="229" t="str">
        <f t="shared" si="45"/>
        <v/>
      </c>
    </row>
    <row r="850" spans="6:11">
      <c r="F850" s="198" t="s">
        <v>1006</v>
      </c>
      <c r="G850" s="198" t="s">
        <v>1006</v>
      </c>
      <c r="H850" s="198" t="str">
        <f t="shared" si="46"/>
        <v/>
      </c>
      <c r="I850" s="228" t="str">
        <f t="shared" si="47"/>
        <v/>
      </c>
      <c r="J850" s="228" t="str">
        <f t="shared" si="48"/>
        <v/>
      </c>
      <c r="K850" s="229" t="str">
        <f t="shared" si="45"/>
        <v/>
      </c>
    </row>
    <row r="851" spans="6:11">
      <c r="F851" s="198" t="s">
        <v>1006</v>
      </c>
      <c r="G851" s="198" t="s">
        <v>1006</v>
      </c>
      <c r="H851" s="198" t="str">
        <f t="shared" si="46"/>
        <v/>
      </c>
      <c r="I851" s="228" t="str">
        <f t="shared" si="47"/>
        <v/>
      </c>
      <c r="J851" s="228" t="str">
        <f t="shared" si="48"/>
        <v/>
      </c>
      <c r="K851" s="229" t="str">
        <f t="shared" si="45"/>
        <v/>
      </c>
    </row>
    <row r="852" spans="6:11">
      <c r="F852" s="198" t="s">
        <v>1006</v>
      </c>
      <c r="G852" s="198" t="s">
        <v>1006</v>
      </c>
      <c r="H852" s="198" t="str">
        <f t="shared" si="46"/>
        <v/>
      </c>
      <c r="I852" s="228" t="str">
        <f t="shared" si="47"/>
        <v/>
      </c>
      <c r="J852" s="228" t="str">
        <f t="shared" si="48"/>
        <v/>
      </c>
      <c r="K852" s="229" t="str">
        <f t="shared" ref="K852:K915" si="49">IF(DAY(B852)=15,G852,"")</f>
        <v/>
      </c>
    </row>
    <row r="853" spans="6:11">
      <c r="F853" s="198" t="s">
        <v>1006</v>
      </c>
      <c r="G853" s="198" t="s">
        <v>1006</v>
      </c>
      <c r="H853" s="198" t="str">
        <f t="shared" si="46"/>
        <v/>
      </c>
      <c r="I853" s="228" t="str">
        <f t="shared" si="47"/>
        <v/>
      </c>
      <c r="J853" s="228" t="str">
        <f t="shared" si="48"/>
        <v/>
      </c>
      <c r="K853" s="229" t="str">
        <f t="shared" si="49"/>
        <v/>
      </c>
    </row>
    <row r="854" spans="6:11">
      <c r="F854" s="198" t="s">
        <v>1006</v>
      </c>
      <c r="G854" s="198" t="s">
        <v>1006</v>
      </c>
      <c r="H854" s="198" t="str">
        <f t="shared" si="46"/>
        <v/>
      </c>
      <c r="I854" s="228" t="str">
        <f t="shared" si="47"/>
        <v/>
      </c>
      <c r="J854" s="228" t="str">
        <f t="shared" si="48"/>
        <v/>
      </c>
      <c r="K854" s="229" t="str">
        <f t="shared" si="49"/>
        <v/>
      </c>
    </row>
    <row r="855" spans="6:11">
      <c r="F855" s="198" t="s">
        <v>1006</v>
      </c>
      <c r="G855" s="198" t="s">
        <v>1006</v>
      </c>
      <c r="H855" s="198" t="str">
        <f t="shared" si="46"/>
        <v/>
      </c>
      <c r="I855" s="228" t="str">
        <f t="shared" si="47"/>
        <v/>
      </c>
      <c r="J855" s="228" t="str">
        <f t="shared" si="48"/>
        <v/>
      </c>
      <c r="K855" s="229" t="str">
        <f t="shared" si="49"/>
        <v/>
      </c>
    </row>
    <row r="856" spans="6:11">
      <c r="F856" s="198" t="s">
        <v>1006</v>
      </c>
      <c r="G856" s="198" t="s">
        <v>1006</v>
      </c>
      <c r="H856" s="198" t="str">
        <f t="shared" si="46"/>
        <v/>
      </c>
      <c r="I856" s="228" t="str">
        <f t="shared" si="47"/>
        <v/>
      </c>
      <c r="J856" s="228" t="str">
        <f t="shared" si="48"/>
        <v/>
      </c>
      <c r="K856" s="229" t="str">
        <f t="shared" si="49"/>
        <v/>
      </c>
    </row>
    <row r="857" spans="6:11">
      <c r="F857" s="198" t="s">
        <v>1006</v>
      </c>
      <c r="G857" s="198" t="s">
        <v>1006</v>
      </c>
      <c r="H857" s="198" t="str">
        <f t="shared" si="46"/>
        <v/>
      </c>
      <c r="I857" s="228" t="str">
        <f t="shared" si="47"/>
        <v/>
      </c>
      <c r="J857" s="228" t="str">
        <f t="shared" si="48"/>
        <v/>
      </c>
      <c r="K857" s="229" t="str">
        <f t="shared" si="49"/>
        <v/>
      </c>
    </row>
    <row r="858" spans="6:11">
      <c r="F858" s="198" t="s">
        <v>1006</v>
      </c>
      <c r="G858" s="198" t="s">
        <v>1006</v>
      </c>
      <c r="H858" s="198" t="str">
        <f t="shared" si="46"/>
        <v/>
      </c>
      <c r="I858" s="228" t="str">
        <f t="shared" si="47"/>
        <v/>
      </c>
      <c r="J858" s="228" t="str">
        <f t="shared" si="48"/>
        <v/>
      </c>
      <c r="K858" s="229" t="str">
        <f t="shared" si="49"/>
        <v/>
      </c>
    </row>
    <row r="859" spans="6:11">
      <c r="F859" s="198" t="s">
        <v>1006</v>
      </c>
      <c r="G859" s="198" t="s">
        <v>1006</v>
      </c>
      <c r="H859" s="198" t="str">
        <f t="shared" si="46"/>
        <v/>
      </c>
      <c r="I859" s="228" t="str">
        <f t="shared" si="47"/>
        <v/>
      </c>
      <c r="J859" s="228" t="str">
        <f t="shared" si="48"/>
        <v/>
      </c>
      <c r="K859" s="229" t="str">
        <f t="shared" si="49"/>
        <v/>
      </c>
    </row>
    <row r="860" spans="6:11">
      <c r="F860" s="198" t="s">
        <v>1006</v>
      </c>
      <c r="G860" s="198" t="s">
        <v>1006</v>
      </c>
      <c r="H860" s="198" t="str">
        <f t="shared" si="46"/>
        <v/>
      </c>
      <c r="I860" s="228" t="str">
        <f t="shared" si="47"/>
        <v/>
      </c>
      <c r="J860" s="228" t="str">
        <f t="shared" si="48"/>
        <v/>
      </c>
      <c r="K860" s="229" t="str">
        <f t="shared" si="49"/>
        <v/>
      </c>
    </row>
    <row r="861" spans="6:11">
      <c r="F861" s="198" t="s">
        <v>1006</v>
      </c>
      <c r="G861" s="198" t="s">
        <v>1006</v>
      </c>
      <c r="H861" s="198" t="str">
        <f t="shared" si="46"/>
        <v/>
      </c>
      <c r="I861" s="228" t="str">
        <f t="shared" si="47"/>
        <v/>
      </c>
      <c r="J861" s="228" t="str">
        <f t="shared" si="48"/>
        <v/>
      </c>
      <c r="K861" s="229" t="str">
        <f t="shared" si="49"/>
        <v/>
      </c>
    </row>
    <row r="862" spans="6:11">
      <c r="F862" s="198" t="s">
        <v>1006</v>
      </c>
      <c r="G862" s="198" t="s">
        <v>1006</v>
      </c>
      <c r="H862" s="198" t="str">
        <f t="shared" si="46"/>
        <v/>
      </c>
      <c r="I862" s="228" t="str">
        <f t="shared" si="47"/>
        <v/>
      </c>
      <c r="J862" s="228" t="str">
        <f t="shared" si="48"/>
        <v/>
      </c>
      <c r="K862" s="229" t="str">
        <f t="shared" si="49"/>
        <v/>
      </c>
    </row>
    <row r="863" spans="6:11">
      <c r="F863" s="198" t="s">
        <v>1006</v>
      </c>
      <c r="G863" s="198" t="s">
        <v>1006</v>
      </c>
      <c r="H863" s="198" t="str">
        <f t="shared" si="46"/>
        <v/>
      </c>
      <c r="I863" s="228" t="str">
        <f t="shared" si="47"/>
        <v/>
      </c>
      <c r="J863" s="228" t="str">
        <f t="shared" si="48"/>
        <v/>
      </c>
      <c r="K863" s="229" t="str">
        <f t="shared" si="49"/>
        <v/>
      </c>
    </row>
    <row r="864" spans="6:11">
      <c r="F864" s="198" t="s">
        <v>1006</v>
      </c>
      <c r="G864" s="198" t="s">
        <v>1006</v>
      </c>
      <c r="H864" s="198" t="str">
        <f t="shared" si="46"/>
        <v/>
      </c>
      <c r="I864" s="228" t="str">
        <f t="shared" si="47"/>
        <v/>
      </c>
      <c r="J864" s="228" t="str">
        <f t="shared" si="48"/>
        <v/>
      </c>
      <c r="K864" s="229" t="str">
        <f t="shared" si="49"/>
        <v/>
      </c>
    </row>
    <row r="865" spans="6:11">
      <c r="F865" s="198" t="s">
        <v>1006</v>
      </c>
      <c r="G865" s="198" t="s">
        <v>1006</v>
      </c>
      <c r="H865" s="198" t="str">
        <f t="shared" si="46"/>
        <v/>
      </c>
      <c r="I865" s="228" t="str">
        <f t="shared" si="47"/>
        <v/>
      </c>
      <c r="J865" s="228" t="str">
        <f t="shared" si="48"/>
        <v/>
      </c>
      <c r="K865" s="229" t="str">
        <f t="shared" si="49"/>
        <v/>
      </c>
    </row>
    <row r="866" spans="6:11">
      <c r="F866" s="198" t="s">
        <v>1006</v>
      </c>
      <c r="G866" s="198" t="s">
        <v>1006</v>
      </c>
      <c r="H866" s="198" t="str">
        <f t="shared" si="46"/>
        <v/>
      </c>
      <c r="I866" s="228" t="str">
        <f t="shared" si="47"/>
        <v/>
      </c>
      <c r="J866" s="228" t="str">
        <f t="shared" si="48"/>
        <v/>
      </c>
      <c r="K866" s="229" t="str">
        <f t="shared" si="49"/>
        <v/>
      </c>
    </row>
    <row r="867" spans="6:11">
      <c r="F867" s="198" t="s">
        <v>1006</v>
      </c>
      <c r="G867" s="198" t="s">
        <v>1006</v>
      </c>
      <c r="H867" s="198" t="str">
        <f t="shared" si="46"/>
        <v/>
      </c>
      <c r="I867" s="228" t="str">
        <f t="shared" si="47"/>
        <v/>
      </c>
      <c r="J867" s="228" t="str">
        <f t="shared" si="48"/>
        <v/>
      </c>
      <c r="K867" s="229" t="str">
        <f t="shared" si="49"/>
        <v/>
      </c>
    </row>
    <row r="868" spans="6:11">
      <c r="F868" s="198" t="s">
        <v>1006</v>
      </c>
      <c r="G868" s="198" t="s">
        <v>1006</v>
      </c>
      <c r="H868" s="198" t="str">
        <f t="shared" si="46"/>
        <v/>
      </c>
      <c r="I868" s="228" t="str">
        <f t="shared" si="47"/>
        <v/>
      </c>
      <c r="J868" s="228" t="str">
        <f t="shared" si="48"/>
        <v/>
      </c>
      <c r="K868" s="229" t="str">
        <f t="shared" si="49"/>
        <v/>
      </c>
    </row>
    <row r="869" spans="6:11">
      <c r="F869" s="198" t="s">
        <v>1006</v>
      </c>
      <c r="G869" s="198" t="s">
        <v>1006</v>
      </c>
      <c r="H869" s="198" t="str">
        <f t="shared" si="46"/>
        <v/>
      </c>
      <c r="I869" s="228" t="str">
        <f t="shared" si="47"/>
        <v/>
      </c>
      <c r="J869" s="228" t="str">
        <f t="shared" si="48"/>
        <v/>
      </c>
      <c r="K869" s="229" t="str">
        <f t="shared" si="49"/>
        <v/>
      </c>
    </row>
    <row r="870" spans="6:11">
      <c r="F870" s="198" t="s">
        <v>1006</v>
      </c>
      <c r="G870" s="198" t="s">
        <v>1006</v>
      </c>
      <c r="H870" s="198" t="str">
        <f t="shared" si="46"/>
        <v/>
      </c>
      <c r="I870" s="228" t="str">
        <f t="shared" si="47"/>
        <v/>
      </c>
      <c r="J870" s="228" t="str">
        <f t="shared" si="48"/>
        <v/>
      </c>
      <c r="K870" s="229" t="str">
        <f t="shared" si="49"/>
        <v/>
      </c>
    </row>
    <row r="871" spans="6:11">
      <c r="F871" s="198" t="s">
        <v>1006</v>
      </c>
      <c r="G871" s="198" t="s">
        <v>1006</v>
      </c>
      <c r="H871" s="198" t="str">
        <f t="shared" si="46"/>
        <v/>
      </c>
      <c r="I871" s="228" t="str">
        <f t="shared" si="47"/>
        <v/>
      </c>
      <c r="J871" s="228" t="str">
        <f t="shared" si="48"/>
        <v/>
      </c>
      <c r="K871" s="229" t="str">
        <f t="shared" si="49"/>
        <v/>
      </c>
    </row>
    <row r="872" spans="6:11">
      <c r="F872" s="198" t="s">
        <v>1006</v>
      </c>
      <c r="G872" s="198" t="s">
        <v>1006</v>
      </c>
      <c r="H872" s="198" t="str">
        <f t="shared" si="46"/>
        <v/>
      </c>
      <c r="I872" s="228" t="str">
        <f t="shared" si="47"/>
        <v/>
      </c>
      <c r="J872" s="228" t="str">
        <f t="shared" si="48"/>
        <v/>
      </c>
      <c r="K872" s="229" t="str">
        <f t="shared" si="49"/>
        <v/>
      </c>
    </row>
    <row r="873" spans="6:11">
      <c r="F873" s="198" t="s">
        <v>1006</v>
      </c>
      <c r="G873" s="198" t="s">
        <v>1006</v>
      </c>
      <c r="H873" s="198" t="str">
        <f t="shared" si="46"/>
        <v/>
      </c>
      <c r="I873" s="228" t="str">
        <f t="shared" si="47"/>
        <v/>
      </c>
      <c r="J873" s="228" t="str">
        <f t="shared" si="48"/>
        <v/>
      </c>
      <c r="K873" s="229" t="str">
        <f t="shared" si="49"/>
        <v/>
      </c>
    </row>
    <row r="874" spans="6:11">
      <c r="F874" s="198" t="s">
        <v>1006</v>
      </c>
      <c r="G874" s="198" t="s">
        <v>1006</v>
      </c>
      <c r="H874" s="198" t="str">
        <f t="shared" si="46"/>
        <v/>
      </c>
      <c r="I874" s="228" t="str">
        <f t="shared" si="47"/>
        <v/>
      </c>
      <c r="J874" s="228" t="str">
        <f t="shared" si="48"/>
        <v/>
      </c>
      <c r="K874" s="229" t="str">
        <f t="shared" si="49"/>
        <v/>
      </c>
    </row>
    <row r="875" spans="6:11">
      <c r="F875" s="198" t="s">
        <v>1006</v>
      </c>
      <c r="G875" s="198" t="s">
        <v>1006</v>
      </c>
      <c r="H875" s="198" t="str">
        <f t="shared" si="46"/>
        <v/>
      </c>
      <c r="I875" s="228" t="str">
        <f t="shared" si="47"/>
        <v/>
      </c>
      <c r="J875" s="228" t="str">
        <f t="shared" si="48"/>
        <v/>
      </c>
      <c r="K875" s="229" t="str">
        <f t="shared" si="49"/>
        <v/>
      </c>
    </row>
    <row r="876" spans="6:11">
      <c r="F876" s="198" t="s">
        <v>1006</v>
      </c>
      <c r="G876" s="198" t="s">
        <v>1006</v>
      </c>
      <c r="H876" s="198" t="str">
        <f t="shared" si="46"/>
        <v/>
      </c>
      <c r="I876" s="228" t="str">
        <f t="shared" si="47"/>
        <v/>
      </c>
      <c r="J876" s="228" t="str">
        <f t="shared" si="48"/>
        <v/>
      </c>
      <c r="K876" s="229" t="str">
        <f t="shared" si="49"/>
        <v/>
      </c>
    </row>
    <row r="877" spans="6:11">
      <c r="F877" s="198" t="s">
        <v>1006</v>
      </c>
      <c r="G877" s="198" t="s">
        <v>1006</v>
      </c>
      <c r="H877" s="198" t="str">
        <f t="shared" si="46"/>
        <v/>
      </c>
      <c r="I877" s="228" t="str">
        <f t="shared" si="47"/>
        <v/>
      </c>
      <c r="J877" s="228" t="str">
        <f t="shared" si="48"/>
        <v/>
      </c>
      <c r="K877" s="229" t="str">
        <f t="shared" si="49"/>
        <v/>
      </c>
    </row>
    <row r="878" spans="6:11">
      <c r="F878" s="198" t="s">
        <v>1006</v>
      </c>
      <c r="G878" s="198" t="s">
        <v>1006</v>
      </c>
      <c r="H878" s="198" t="str">
        <f t="shared" si="46"/>
        <v/>
      </c>
      <c r="I878" s="228" t="str">
        <f t="shared" si="47"/>
        <v/>
      </c>
      <c r="J878" s="228" t="str">
        <f t="shared" si="48"/>
        <v/>
      </c>
      <c r="K878" s="229" t="str">
        <f t="shared" si="49"/>
        <v/>
      </c>
    </row>
    <row r="879" spans="6:11">
      <c r="F879" s="198" t="s">
        <v>1006</v>
      </c>
      <c r="G879" s="198" t="s">
        <v>1006</v>
      </c>
      <c r="H879" s="198" t="str">
        <f t="shared" si="46"/>
        <v/>
      </c>
      <c r="I879" s="228" t="str">
        <f t="shared" si="47"/>
        <v/>
      </c>
      <c r="J879" s="228" t="str">
        <f t="shared" si="48"/>
        <v/>
      </c>
      <c r="K879" s="229" t="str">
        <f t="shared" si="49"/>
        <v/>
      </c>
    </row>
    <row r="880" spans="6:11">
      <c r="F880" s="198" t="s">
        <v>1006</v>
      </c>
      <c r="G880" s="198" t="s">
        <v>1006</v>
      </c>
      <c r="H880" s="198" t="str">
        <f t="shared" si="46"/>
        <v/>
      </c>
      <c r="I880" s="228" t="str">
        <f t="shared" si="47"/>
        <v/>
      </c>
      <c r="J880" s="228" t="str">
        <f t="shared" si="48"/>
        <v/>
      </c>
      <c r="K880" s="229" t="str">
        <f t="shared" si="49"/>
        <v/>
      </c>
    </row>
    <row r="881" spans="6:11">
      <c r="F881" s="198" t="s">
        <v>1006</v>
      </c>
      <c r="G881" s="198" t="s">
        <v>1006</v>
      </c>
      <c r="H881" s="198" t="str">
        <f t="shared" si="46"/>
        <v/>
      </c>
      <c r="I881" s="228" t="str">
        <f t="shared" si="47"/>
        <v/>
      </c>
      <c r="J881" s="228" t="str">
        <f t="shared" si="48"/>
        <v/>
      </c>
      <c r="K881" s="229" t="str">
        <f t="shared" si="49"/>
        <v/>
      </c>
    </row>
    <row r="882" spans="6:11">
      <c r="F882" s="198" t="s">
        <v>1006</v>
      </c>
      <c r="G882" s="198" t="s">
        <v>1006</v>
      </c>
      <c r="H882" s="198" t="str">
        <f t="shared" si="46"/>
        <v/>
      </c>
      <c r="I882" s="228" t="str">
        <f t="shared" si="47"/>
        <v/>
      </c>
      <c r="J882" s="228" t="str">
        <f t="shared" si="48"/>
        <v/>
      </c>
      <c r="K882" s="229" t="str">
        <f t="shared" si="49"/>
        <v/>
      </c>
    </row>
    <row r="883" spans="6:11">
      <c r="F883" s="198" t="s">
        <v>1006</v>
      </c>
      <c r="G883" s="198" t="s">
        <v>1006</v>
      </c>
      <c r="H883" s="198" t="str">
        <f t="shared" si="46"/>
        <v/>
      </c>
      <c r="I883" s="228" t="str">
        <f t="shared" si="47"/>
        <v/>
      </c>
      <c r="J883" s="228" t="str">
        <f t="shared" si="48"/>
        <v/>
      </c>
      <c r="K883" s="229" t="str">
        <f t="shared" si="49"/>
        <v/>
      </c>
    </row>
    <row r="884" spans="6:11">
      <c r="F884" s="198" t="s">
        <v>1006</v>
      </c>
      <c r="G884" s="198" t="s">
        <v>1006</v>
      </c>
      <c r="H884" s="198" t="str">
        <f t="shared" si="46"/>
        <v/>
      </c>
      <c r="I884" s="228" t="str">
        <f t="shared" si="47"/>
        <v/>
      </c>
      <c r="J884" s="228" t="str">
        <f t="shared" si="48"/>
        <v/>
      </c>
      <c r="K884" s="229" t="str">
        <f t="shared" si="49"/>
        <v/>
      </c>
    </row>
    <row r="885" spans="6:11">
      <c r="F885" s="198" t="s">
        <v>1006</v>
      </c>
      <c r="G885" s="198" t="s">
        <v>1006</v>
      </c>
      <c r="H885" s="198" t="str">
        <f t="shared" si="46"/>
        <v/>
      </c>
      <c r="I885" s="228" t="str">
        <f t="shared" si="47"/>
        <v/>
      </c>
      <c r="J885" s="228" t="str">
        <f t="shared" si="48"/>
        <v/>
      </c>
      <c r="K885" s="229" t="str">
        <f t="shared" si="49"/>
        <v/>
      </c>
    </row>
    <row r="886" spans="6:11">
      <c r="F886" s="198" t="s">
        <v>1006</v>
      </c>
      <c r="G886" s="198" t="s">
        <v>1006</v>
      </c>
      <c r="H886" s="198" t="str">
        <f t="shared" si="46"/>
        <v/>
      </c>
      <c r="I886" s="228" t="str">
        <f t="shared" si="47"/>
        <v/>
      </c>
      <c r="J886" s="228" t="str">
        <f t="shared" si="48"/>
        <v/>
      </c>
      <c r="K886" s="229" t="str">
        <f t="shared" si="49"/>
        <v/>
      </c>
    </row>
    <row r="887" spans="6:11">
      <c r="F887" s="198" t="s">
        <v>1006</v>
      </c>
      <c r="G887" s="198" t="s">
        <v>1006</v>
      </c>
      <c r="H887" s="198" t="str">
        <f t="shared" si="46"/>
        <v/>
      </c>
      <c r="I887" s="228" t="str">
        <f t="shared" si="47"/>
        <v/>
      </c>
      <c r="J887" s="228" t="str">
        <f t="shared" si="48"/>
        <v/>
      </c>
      <c r="K887" s="229" t="str">
        <f t="shared" si="49"/>
        <v/>
      </c>
    </row>
    <row r="888" spans="6:11">
      <c r="F888" s="198" t="s">
        <v>1006</v>
      </c>
      <c r="G888" s="198" t="s">
        <v>1006</v>
      </c>
      <c r="H888" s="198" t="str">
        <f t="shared" si="46"/>
        <v/>
      </c>
      <c r="I888" s="228" t="str">
        <f t="shared" si="47"/>
        <v/>
      </c>
      <c r="J888" s="228" t="str">
        <f t="shared" si="48"/>
        <v/>
      </c>
      <c r="K888" s="229" t="str">
        <f t="shared" si="49"/>
        <v/>
      </c>
    </row>
    <row r="889" spans="6:11">
      <c r="F889" s="198" t="s">
        <v>1006</v>
      </c>
      <c r="G889" s="198" t="s">
        <v>1006</v>
      </c>
      <c r="H889" s="198" t="str">
        <f t="shared" si="46"/>
        <v/>
      </c>
      <c r="I889" s="228" t="str">
        <f t="shared" si="47"/>
        <v/>
      </c>
      <c r="J889" s="228" t="str">
        <f t="shared" si="48"/>
        <v/>
      </c>
      <c r="K889" s="229" t="str">
        <f t="shared" si="49"/>
        <v/>
      </c>
    </row>
    <row r="890" spans="6:11">
      <c r="F890" s="198" t="s">
        <v>1006</v>
      </c>
      <c r="G890" s="198" t="s">
        <v>1006</v>
      </c>
      <c r="H890" s="198" t="str">
        <f t="shared" si="46"/>
        <v/>
      </c>
      <c r="I890" s="228" t="str">
        <f t="shared" si="47"/>
        <v/>
      </c>
      <c r="J890" s="228" t="str">
        <f t="shared" si="48"/>
        <v/>
      </c>
      <c r="K890" s="229" t="str">
        <f t="shared" si="49"/>
        <v/>
      </c>
    </row>
    <row r="891" spans="6:11">
      <c r="F891" s="198" t="s">
        <v>1006</v>
      </c>
      <c r="G891" s="198" t="s">
        <v>1006</v>
      </c>
      <c r="H891" s="198" t="str">
        <f t="shared" si="46"/>
        <v/>
      </c>
      <c r="I891" s="228" t="str">
        <f t="shared" si="47"/>
        <v/>
      </c>
      <c r="J891" s="228" t="str">
        <f t="shared" si="48"/>
        <v/>
      </c>
      <c r="K891" s="229" t="str">
        <f t="shared" si="49"/>
        <v/>
      </c>
    </row>
    <row r="892" spans="6:11">
      <c r="F892" s="198" t="s">
        <v>1006</v>
      </c>
      <c r="G892" s="198" t="s">
        <v>1006</v>
      </c>
      <c r="H892" s="198" t="str">
        <f t="shared" si="46"/>
        <v/>
      </c>
      <c r="I892" s="228" t="str">
        <f t="shared" si="47"/>
        <v/>
      </c>
      <c r="J892" s="228" t="str">
        <f t="shared" si="48"/>
        <v/>
      </c>
      <c r="K892" s="229" t="str">
        <f t="shared" si="49"/>
        <v/>
      </c>
    </row>
    <row r="893" spans="6:11">
      <c r="F893" s="198" t="s">
        <v>1006</v>
      </c>
      <c r="G893" s="198" t="s">
        <v>1006</v>
      </c>
      <c r="H893" s="198" t="str">
        <f t="shared" si="46"/>
        <v/>
      </c>
      <c r="I893" s="228" t="str">
        <f t="shared" si="47"/>
        <v/>
      </c>
      <c r="J893" s="228" t="str">
        <f t="shared" si="48"/>
        <v/>
      </c>
      <c r="K893" s="229" t="str">
        <f t="shared" si="49"/>
        <v/>
      </c>
    </row>
    <row r="894" spans="6:11">
      <c r="F894" s="198" t="s">
        <v>1006</v>
      </c>
      <c r="G894" s="198" t="s">
        <v>1006</v>
      </c>
      <c r="H894" s="198" t="str">
        <f t="shared" si="46"/>
        <v/>
      </c>
      <c r="I894" s="228" t="str">
        <f t="shared" si="47"/>
        <v/>
      </c>
      <c r="J894" s="228" t="str">
        <f t="shared" si="48"/>
        <v/>
      </c>
      <c r="K894" s="229" t="str">
        <f t="shared" si="49"/>
        <v/>
      </c>
    </row>
    <row r="895" spans="6:11">
      <c r="F895" s="198" t="s">
        <v>1006</v>
      </c>
      <c r="G895" s="198" t="s">
        <v>1006</v>
      </c>
      <c r="H895" s="198" t="str">
        <f t="shared" si="46"/>
        <v/>
      </c>
      <c r="I895" s="228" t="str">
        <f t="shared" si="47"/>
        <v/>
      </c>
      <c r="J895" s="228" t="str">
        <f t="shared" si="48"/>
        <v/>
      </c>
      <c r="K895" s="229" t="str">
        <f t="shared" si="49"/>
        <v/>
      </c>
    </row>
    <row r="896" spans="6:11">
      <c r="F896" s="198" t="s">
        <v>1006</v>
      </c>
      <c r="G896" s="198" t="s">
        <v>1006</v>
      </c>
      <c r="H896" s="198" t="str">
        <f t="shared" si="46"/>
        <v/>
      </c>
      <c r="I896" s="228" t="str">
        <f t="shared" si="47"/>
        <v/>
      </c>
      <c r="J896" s="228" t="str">
        <f t="shared" si="48"/>
        <v/>
      </c>
      <c r="K896" s="229" t="str">
        <f t="shared" si="49"/>
        <v/>
      </c>
    </row>
    <row r="897" spans="6:11">
      <c r="F897" s="198" t="s">
        <v>1006</v>
      </c>
      <c r="G897" s="198" t="s">
        <v>1006</v>
      </c>
      <c r="H897" s="198" t="str">
        <f t="shared" si="46"/>
        <v/>
      </c>
      <c r="I897" s="228" t="str">
        <f t="shared" si="47"/>
        <v/>
      </c>
      <c r="J897" s="228" t="str">
        <f t="shared" si="48"/>
        <v/>
      </c>
      <c r="K897" s="229" t="str">
        <f t="shared" si="49"/>
        <v/>
      </c>
    </row>
    <row r="898" spans="6:11">
      <c r="F898" s="198" t="s">
        <v>1006</v>
      </c>
      <c r="G898" s="198" t="s">
        <v>1006</v>
      </c>
      <c r="H898" s="198" t="str">
        <f t="shared" si="46"/>
        <v/>
      </c>
      <c r="I898" s="228" t="str">
        <f t="shared" si="47"/>
        <v/>
      </c>
      <c r="J898" s="228" t="str">
        <f t="shared" si="48"/>
        <v/>
      </c>
      <c r="K898" s="229" t="str">
        <f t="shared" si="49"/>
        <v/>
      </c>
    </row>
    <row r="899" spans="6:11">
      <c r="F899" s="198" t="s">
        <v>1006</v>
      </c>
      <c r="G899" s="198" t="s">
        <v>1006</v>
      </c>
      <c r="H899" s="198" t="str">
        <f t="shared" si="46"/>
        <v/>
      </c>
      <c r="I899" s="228" t="str">
        <f t="shared" si="47"/>
        <v/>
      </c>
      <c r="J899" s="228" t="str">
        <f t="shared" si="48"/>
        <v/>
      </c>
      <c r="K899" s="229" t="str">
        <f t="shared" si="49"/>
        <v/>
      </c>
    </row>
    <row r="900" spans="6:11">
      <c r="F900" s="198" t="s">
        <v>1006</v>
      </c>
      <c r="G900" s="198" t="s">
        <v>1006</v>
      </c>
      <c r="H900" s="198" t="str">
        <f t="shared" ref="H900:H963" si="50">IF(F900&lt;G900,F900,G900)</f>
        <v/>
      </c>
      <c r="I900" s="228" t="str">
        <f t="shared" ref="I900:I944" si="51">IF(DAY(B900)=1,600,"")</f>
        <v/>
      </c>
      <c r="J900" s="228" t="str">
        <f t="shared" ref="J900:J963" si="52">IF(DAY(B900)=15,MID(A900,1,1),"")</f>
        <v/>
      </c>
      <c r="K900" s="229" t="str">
        <f t="shared" si="49"/>
        <v/>
      </c>
    </row>
    <row r="901" spans="6:11">
      <c r="F901" s="198" t="s">
        <v>1006</v>
      </c>
      <c r="G901" s="198" t="s">
        <v>1006</v>
      </c>
      <c r="H901" s="198" t="str">
        <f t="shared" si="50"/>
        <v/>
      </c>
      <c r="I901" s="228" t="str">
        <f t="shared" si="51"/>
        <v/>
      </c>
      <c r="J901" s="228" t="str">
        <f t="shared" si="52"/>
        <v/>
      </c>
      <c r="K901" s="229" t="str">
        <f t="shared" si="49"/>
        <v/>
      </c>
    </row>
    <row r="902" spans="6:11">
      <c r="F902" s="198" t="s">
        <v>1006</v>
      </c>
      <c r="G902" s="198" t="s">
        <v>1006</v>
      </c>
      <c r="H902" s="198" t="str">
        <f t="shared" si="50"/>
        <v/>
      </c>
      <c r="I902" s="228" t="str">
        <f t="shared" si="51"/>
        <v/>
      </c>
      <c r="J902" s="228" t="str">
        <f t="shared" si="52"/>
        <v/>
      </c>
      <c r="K902" s="229" t="str">
        <f t="shared" si="49"/>
        <v/>
      </c>
    </row>
    <row r="903" spans="6:11">
      <c r="F903" s="198" t="s">
        <v>1006</v>
      </c>
      <c r="G903" s="198" t="s">
        <v>1006</v>
      </c>
      <c r="H903" s="198" t="str">
        <f t="shared" si="50"/>
        <v/>
      </c>
      <c r="I903" s="228" t="str">
        <f t="shared" si="51"/>
        <v/>
      </c>
      <c r="J903" s="228" t="str">
        <f t="shared" si="52"/>
        <v/>
      </c>
      <c r="K903" s="229" t="str">
        <f t="shared" si="49"/>
        <v/>
      </c>
    </row>
    <row r="904" spans="6:11">
      <c r="F904" s="198" t="s">
        <v>1006</v>
      </c>
      <c r="G904" s="198" t="s">
        <v>1006</v>
      </c>
      <c r="H904" s="198" t="str">
        <f t="shared" si="50"/>
        <v/>
      </c>
      <c r="I904" s="228" t="str">
        <f t="shared" si="51"/>
        <v/>
      </c>
      <c r="J904" s="228" t="str">
        <f t="shared" si="52"/>
        <v/>
      </c>
      <c r="K904" s="229" t="str">
        <f t="shared" si="49"/>
        <v/>
      </c>
    </row>
    <row r="905" spans="6:11">
      <c r="F905" s="198" t="s">
        <v>1006</v>
      </c>
      <c r="G905" s="198" t="s">
        <v>1006</v>
      </c>
      <c r="H905" s="198" t="str">
        <f t="shared" si="50"/>
        <v/>
      </c>
      <c r="I905" s="228" t="str">
        <f t="shared" si="51"/>
        <v/>
      </c>
      <c r="J905" s="228" t="str">
        <f t="shared" si="52"/>
        <v/>
      </c>
      <c r="K905" s="229" t="str">
        <f t="shared" si="49"/>
        <v/>
      </c>
    </row>
    <row r="906" spans="6:11">
      <c r="F906" s="198" t="s">
        <v>1006</v>
      </c>
      <c r="G906" s="198" t="s">
        <v>1006</v>
      </c>
      <c r="H906" s="198" t="str">
        <f t="shared" si="50"/>
        <v/>
      </c>
      <c r="I906" s="228" t="str">
        <f t="shared" si="51"/>
        <v/>
      </c>
      <c r="J906" s="228" t="str">
        <f t="shared" si="52"/>
        <v/>
      </c>
      <c r="K906" s="229" t="str">
        <f t="shared" si="49"/>
        <v/>
      </c>
    </row>
    <row r="907" spans="6:11">
      <c r="F907" s="198" t="s">
        <v>1006</v>
      </c>
      <c r="G907" s="198" t="s">
        <v>1006</v>
      </c>
      <c r="H907" s="198" t="str">
        <f t="shared" si="50"/>
        <v/>
      </c>
      <c r="I907" s="228" t="str">
        <f t="shared" si="51"/>
        <v/>
      </c>
      <c r="J907" s="228" t="str">
        <f t="shared" si="52"/>
        <v/>
      </c>
      <c r="K907" s="229" t="str">
        <f t="shared" si="49"/>
        <v/>
      </c>
    </row>
    <row r="908" spans="6:11">
      <c r="F908" s="198" t="s">
        <v>1006</v>
      </c>
      <c r="G908" s="198" t="s">
        <v>1006</v>
      </c>
      <c r="H908" s="198" t="str">
        <f t="shared" si="50"/>
        <v/>
      </c>
      <c r="I908" s="228" t="str">
        <f t="shared" si="51"/>
        <v/>
      </c>
      <c r="J908" s="228" t="str">
        <f t="shared" si="52"/>
        <v/>
      </c>
      <c r="K908" s="229" t="str">
        <f t="shared" si="49"/>
        <v/>
      </c>
    </row>
    <row r="909" spans="6:11">
      <c r="F909" s="198" t="s">
        <v>1006</v>
      </c>
      <c r="G909" s="198" t="s">
        <v>1006</v>
      </c>
      <c r="H909" s="198" t="str">
        <f t="shared" si="50"/>
        <v/>
      </c>
      <c r="I909" s="228" t="str">
        <f t="shared" si="51"/>
        <v/>
      </c>
      <c r="J909" s="228" t="str">
        <f t="shared" si="52"/>
        <v/>
      </c>
      <c r="K909" s="229" t="str">
        <f t="shared" si="49"/>
        <v/>
      </c>
    </row>
    <row r="910" spans="6:11">
      <c r="F910" s="198" t="s">
        <v>1006</v>
      </c>
      <c r="G910" s="198" t="s">
        <v>1006</v>
      </c>
      <c r="H910" s="198" t="str">
        <f t="shared" si="50"/>
        <v/>
      </c>
      <c r="I910" s="228" t="str">
        <f t="shared" si="51"/>
        <v/>
      </c>
      <c r="J910" s="228" t="str">
        <f t="shared" si="52"/>
        <v/>
      </c>
      <c r="K910" s="229" t="str">
        <f t="shared" si="49"/>
        <v/>
      </c>
    </row>
    <row r="911" spans="6:11">
      <c r="F911" s="198" t="s">
        <v>1006</v>
      </c>
      <c r="G911" s="198" t="s">
        <v>1006</v>
      </c>
      <c r="H911" s="198" t="str">
        <f t="shared" si="50"/>
        <v/>
      </c>
      <c r="I911" s="228" t="str">
        <f t="shared" si="51"/>
        <v/>
      </c>
      <c r="J911" s="228" t="str">
        <f t="shared" si="52"/>
        <v/>
      </c>
      <c r="K911" s="229" t="str">
        <f t="shared" si="49"/>
        <v/>
      </c>
    </row>
    <row r="912" spans="6:11">
      <c r="F912" s="198" t="s">
        <v>1006</v>
      </c>
      <c r="G912" s="198" t="s">
        <v>1006</v>
      </c>
      <c r="H912" s="198" t="str">
        <f t="shared" si="50"/>
        <v/>
      </c>
      <c r="I912" s="228" t="str">
        <f t="shared" si="51"/>
        <v/>
      </c>
      <c r="J912" s="228" t="str">
        <f t="shared" si="52"/>
        <v/>
      </c>
      <c r="K912" s="229" t="str">
        <f t="shared" si="49"/>
        <v/>
      </c>
    </row>
    <row r="913" spans="6:11">
      <c r="F913" s="198" t="s">
        <v>1006</v>
      </c>
      <c r="G913" s="198" t="s">
        <v>1006</v>
      </c>
      <c r="H913" s="198" t="str">
        <f t="shared" si="50"/>
        <v/>
      </c>
      <c r="I913" s="228" t="str">
        <f t="shared" si="51"/>
        <v/>
      </c>
      <c r="J913" s="228" t="str">
        <f t="shared" si="52"/>
        <v/>
      </c>
      <c r="K913" s="229" t="str">
        <f t="shared" si="49"/>
        <v/>
      </c>
    </row>
    <row r="914" spans="6:11">
      <c r="F914" s="198" t="s">
        <v>1006</v>
      </c>
      <c r="G914" s="198" t="s">
        <v>1006</v>
      </c>
      <c r="H914" s="198" t="str">
        <f t="shared" si="50"/>
        <v/>
      </c>
      <c r="I914" s="228" t="str">
        <f t="shared" si="51"/>
        <v/>
      </c>
      <c r="J914" s="228" t="str">
        <f t="shared" si="52"/>
        <v/>
      </c>
      <c r="K914" s="229" t="str">
        <f t="shared" si="49"/>
        <v/>
      </c>
    </row>
    <row r="915" spans="6:11">
      <c r="F915" s="198" t="s">
        <v>1006</v>
      </c>
      <c r="G915" s="198" t="s">
        <v>1006</v>
      </c>
      <c r="H915" s="198" t="str">
        <f t="shared" si="50"/>
        <v/>
      </c>
      <c r="I915" s="228" t="str">
        <f t="shared" si="51"/>
        <v/>
      </c>
      <c r="J915" s="228" t="str">
        <f t="shared" si="52"/>
        <v/>
      </c>
      <c r="K915" s="229" t="str">
        <f t="shared" si="49"/>
        <v/>
      </c>
    </row>
    <row r="916" spans="6:11">
      <c r="F916" s="198" t="s">
        <v>1006</v>
      </c>
      <c r="G916" s="198" t="s">
        <v>1006</v>
      </c>
      <c r="H916" s="198" t="str">
        <f t="shared" si="50"/>
        <v/>
      </c>
      <c r="I916" s="228" t="str">
        <f t="shared" si="51"/>
        <v/>
      </c>
      <c r="J916" s="228" t="str">
        <f t="shared" si="52"/>
        <v/>
      </c>
      <c r="K916" s="229" t="str">
        <f t="shared" ref="K916:K931" si="53">IF(DAY(B916)=15,G916,"")</f>
        <v/>
      </c>
    </row>
    <row r="917" spans="6:11">
      <c r="F917" s="198" t="s">
        <v>1006</v>
      </c>
      <c r="G917" s="198" t="s">
        <v>1006</v>
      </c>
      <c r="H917" s="198" t="str">
        <f t="shared" si="50"/>
        <v/>
      </c>
      <c r="I917" s="228" t="str">
        <f t="shared" si="51"/>
        <v/>
      </c>
      <c r="J917" s="228" t="str">
        <f t="shared" si="52"/>
        <v/>
      </c>
      <c r="K917" s="229" t="str">
        <f t="shared" si="53"/>
        <v/>
      </c>
    </row>
    <row r="918" spans="6:11">
      <c r="F918" s="198" t="s">
        <v>1006</v>
      </c>
      <c r="G918" s="198" t="s">
        <v>1006</v>
      </c>
      <c r="H918" s="198" t="str">
        <f t="shared" si="50"/>
        <v/>
      </c>
      <c r="I918" s="228" t="str">
        <f t="shared" si="51"/>
        <v/>
      </c>
      <c r="J918" s="228" t="str">
        <f t="shared" si="52"/>
        <v/>
      </c>
      <c r="K918" s="229" t="str">
        <f t="shared" si="53"/>
        <v/>
      </c>
    </row>
    <row r="919" spans="6:11">
      <c r="F919" s="198" t="s">
        <v>1006</v>
      </c>
      <c r="G919" s="198" t="s">
        <v>1006</v>
      </c>
      <c r="H919" s="198" t="str">
        <f t="shared" si="50"/>
        <v/>
      </c>
      <c r="I919" s="228" t="str">
        <f t="shared" si="51"/>
        <v/>
      </c>
      <c r="J919" s="228" t="str">
        <f t="shared" si="52"/>
        <v/>
      </c>
      <c r="K919" s="229" t="str">
        <f t="shared" si="53"/>
        <v/>
      </c>
    </row>
    <row r="920" spans="6:11">
      <c r="F920" s="198" t="s">
        <v>1006</v>
      </c>
      <c r="G920" s="198" t="s">
        <v>1006</v>
      </c>
      <c r="H920" s="198" t="str">
        <f t="shared" si="50"/>
        <v/>
      </c>
      <c r="I920" s="228" t="str">
        <f t="shared" si="51"/>
        <v/>
      </c>
      <c r="J920" s="228" t="str">
        <f t="shared" si="52"/>
        <v/>
      </c>
      <c r="K920" s="229" t="str">
        <f t="shared" si="53"/>
        <v/>
      </c>
    </row>
    <row r="921" spans="6:11">
      <c r="F921" s="198" t="s">
        <v>1006</v>
      </c>
      <c r="G921" s="198" t="s">
        <v>1006</v>
      </c>
      <c r="H921" s="198" t="str">
        <f t="shared" si="50"/>
        <v/>
      </c>
      <c r="I921" s="228" t="str">
        <f t="shared" si="51"/>
        <v/>
      </c>
      <c r="J921" s="228" t="str">
        <f t="shared" si="52"/>
        <v/>
      </c>
      <c r="K921" s="229" t="str">
        <f t="shared" si="53"/>
        <v/>
      </c>
    </row>
    <row r="922" spans="6:11">
      <c r="F922" s="198" t="s">
        <v>1006</v>
      </c>
      <c r="G922" s="198" t="s">
        <v>1006</v>
      </c>
      <c r="H922" s="198" t="str">
        <f t="shared" si="50"/>
        <v/>
      </c>
      <c r="I922" s="228" t="str">
        <f t="shared" si="51"/>
        <v/>
      </c>
      <c r="J922" s="228" t="str">
        <f t="shared" si="52"/>
        <v/>
      </c>
      <c r="K922" s="229" t="str">
        <f t="shared" si="53"/>
        <v/>
      </c>
    </row>
    <row r="923" spans="6:11">
      <c r="F923" s="198" t="s">
        <v>1006</v>
      </c>
      <c r="G923" s="198" t="s">
        <v>1006</v>
      </c>
      <c r="H923" s="198" t="str">
        <f t="shared" si="50"/>
        <v/>
      </c>
      <c r="I923" s="228" t="str">
        <f t="shared" si="51"/>
        <v/>
      </c>
      <c r="J923" s="228" t="str">
        <f t="shared" si="52"/>
        <v/>
      </c>
      <c r="K923" s="229" t="str">
        <f t="shared" si="53"/>
        <v/>
      </c>
    </row>
    <row r="924" spans="6:11">
      <c r="F924" s="198" t="s">
        <v>1006</v>
      </c>
      <c r="G924" s="198" t="s">
        <v>1006</v>
      </c>
      <c r="H924" s="198" t="str">
        <f t="shared" si="50"/>
        <v/>
      </c>
      <c r="I924" s="228" t="str">
        <f t="shared" si="51"/>
        <v/>
      </c>
      <c r="J924" s="228" t="str">
        <f t="shared" si="52"/>
        <v/>
      </c>
      <c r="K924" s="229" t="str">
        <f t="shared" si="53"/>
        <v/>
      </c>
    </row>
    <row r="925" spans="6:11">
      <c r="F925" s="198" t="s">
        <v>1006</v>
      </c>
      <c r="G925" s="198" t="s">
        <v>1006</v>
      </c>
      <c r="H925" s="198" t="str">
        <f t="shared" si="50"/>
        <v/>
      </c>
      <c r="I925" s="228" t="str">
        <f t="shared" si="51"/>
        <v/>
      </c>
      <c r="J925" s="228" t="str">
        <f t="shared" si="52"/>
        <v/>
      </c>
      <c r="K925" s="229" t="str">
        <f t="shared" si="53"/>
        <v/>
      </c>
    </row>
    <row r="926" spans="6:11">
      <c r="F926" s="198" t="s">
        <v>1006</v>
      </c>
      <c r="G926" s="198" t="s">
        <v>1006</v>
      </c>
      <c r="H926" s="198" t="str">
        <f t="shared" si="50"/>
        <v/>
      </c>
      <c r="I926" s="228" t="str">
        <f t="shared" si="51"/>
        <v/>
      </c>
      <c r="J926" s="228" t="str">
        <f t="shared" si="52"/>
        <v/>
      </c>
      <c r="K926" s="229" t="str">
        <f t="shared" si="53"/>
        <v/>
      </c>
    </row>
    <row r="927" spans="6:11">
      <c r="F927" s="198" t="s">
        <v>1006</v>
      </c>
      <c r="G927" s="198" t="s">
        <v>1006</v>
      </c>
      <c r="H927" s="198" t="str">
        <f t="shared" si="50"/>
        <v/>
      </c>
      <c r="I927" s="228" t="str">
        <f t="shared" si="51"/>
        <v/>
      </c>
      <c r="J927" s="228" t="str">
        <f t="shared" si="52"/>
        <v/>
      </c>
      <c r="K927" s="229" t="str">
        <f t="shared" si="53"/>
        <v/>
      </c>
    </row>
    <row r="928" spans="6:11">
      <c r="F928" s="198" t="s">
        <v>1006</v>
      </c>
      <c r="G928" s="198" t="s">
        <v>1006</v>
      </c>
      <c r="H928" s="198" t="str">
        <f t="shared" si="50"/>
        <v/>
      </c>
      <c r="I928" s="228" t="str">
        <f t="shared" si="51"/>
        <v/>
      </c>
      <c r="J928" s="228" t="str">
        <f t="shared" si="52"/>
        <v/>
      </c>
      <c r="K928" s="229" t="str">
        <f t="shared" si="53"/>
        <v/>
      </c>
    </row>
    <row r="929" spans="6:11">
      <c r="F929" s="198" t="s">
        <v>1006</v>
      </c>
      <c r="G929" s="198" t="s">
        <v>1006</v>
      </c>
      <c r="H929" s="198" t="str">
        <f t="shared" si="50"/>
        <v/>
      </c>
      <c r="I929" s="228" t="str">
        <f t="shared" si="51"/>
        <v/>
      </c>
      <c r="J929" s="228" t="str">
        <f t="shared" si="52"/>
        <v/>
      </c>
      <c r="K929" s="229" t="str">
        <f t="shared" si="53"/>
        <v/>
      </c>
    </row>
    <row r="930" spans="6:11">
      <c r="F930" s="198" t="s">
        <v>1006</v>
      </c>
      <c r="G930" s="198" t="s">
        <v>1006</v>
      </c>
      <c r="H930" s="198" t="str">
        <f t="shared" si="50"/>
        <v/>
      </c>
      <c r="I930" s="228" t="str">
        <f t="shared" si="51"/>
        <v/>
      </c>
      <c r="J930" s="228" t="str">
        <f t="shared" si="52"/>
        <v/>
      </c>
      <c r="K930" s="229" t="str">
        <f t="shared" si="53"/>
        <v/>
      </c>
    </row>
    <row r="931" spans="6:11">
      <c r="F931" s="198" t="s">
        <v>1006</v>
      </c>
      <c r="G931" s="198" t="s">
        <v>1006</v>
      </c>
      <c r="H931" s="198" t="str">
        <f t="shared" si="50"/>
        <v/>
      </c>
      <c r="I931" s="228" t="str">
        <f t="shared" si="51"/>
        <v/>
      </c>
      <c r="J931" s="228" t="str">
        <f t="shared" si="52"/>
        <v/>
      </c>
      <c r="K931" s="229" t="str">
        <f t="shared" si="53"/>
        <v/>
      </c>
    </row>
    <row r="932" spans="6:11">
      <c r="F932" s="198" t="s">
        <v>1006</v>
      </c>
      <c r="G932" s="198" t="s">
        <v>1006</v>
      </c>
      <c r="H932" s="198" t="str">
        <f t="shared" si="50"/>
        <v/>
      </c>
      <c r="I932" s="228" t="str">
        <f t="shared" si="51"/>
        <v/>
      </c>
      <c r="J932" s="228" t="str">
        <f t="shared" si="52"/>
        <v/>
      </c>
    </row>
    <row r="933" spans="6:11">
      <c r="F933" s="198" t="s">
        <v>1006</v>
      </c>
      <c r="G933" s="198" t="s">
        <v>1006</v>
      </c>
      <c r="H933" s="198" t="str">
        <f t="shared" si="50"/>
        <v/>
      </c>
      <c r="I933" s="228" t="str">
        <f t="shared" si="51"/>
        <v/>
      </c>
      <c r="J933" s="228" t="str">
        <f t="shared" si="52"/>
        <v/>
      </c>
    </row>
    <row r="934" spans="6:11">
      <c r="F934" s="198" t="s">
        <v>1006</v>
      </c>
      <c r="G934" s="198" t="s">
        <v>1006</v>
      </c>
      <c r="H934" s="198" t="str">
        <f t="shared" si="50"/>
        <v/>
      </c>
      <c r="I934" s="228" t="str">
        <f t="shared" si="51"/>
        <v/>
      </c>
      <c r="J934" s="228" t="str">
        <f t="shared" si="52"/>
        <v/>
      </c>
    </row>
    <row r="935" spans="6:11">
      <c r="F935" s="198" t="s">
        <v>1006</v>
      </c>
      <c r="G935" s="198" t="s">
        <v>1006</v>
      </c>
      <c r="H935" s="198" t="str">
        <f t="shared" si="50"/>
        <v/>
      </c>
      <c r="I935" s="228" t="str">
        <f t="shared" si="51"/>
        <v/>
      </c>
      <c r="J935" s="228" t="str">
        <f t="shared" si="52"/>
        <v/>
      </c>
    </row>
    <row r="936" spans="6:11">
      <c r="F936" s="198" t="s">
        <v>1006</v>
      </c>
      <c r="G936" s="198" t="s">
        <v>1006</v>
      </c>
      <c r="H936" s="198" t="str">
        <f t="shared" si="50"/>
        <v/>
      </c>
      <c r="I936" s="228" t="str">
        <f t="shared" si="51"/>
        <v/>
      </c>
      <c r="J936" s="228" t="str">
        <f t="shared" si="52"/>
        <v/>
      </c>
    </row>
    <row r="937" spans="6:11">
      <c r="F937" s="198" t="s">
        <v>1006</v>
      </c>
      <c r="G937" s="198" t="s">
        <v>1006</v>
      </c>
      <c r="H937" s="198" t="str">
        <f t="shared" si="50"/>
        <v/>
      </c>
      <c r="I937" s="228" t="str">
        <f t="shared" si="51"/>
        <v/>
      </c>
      <c r="J937" s="228" t="str">
        <f t="shared" si="52"/>
        <v/>
      </c>
    </row>
    <row r="938" spans="6:11">
      <c r="F938" s="198" t="s">
        <v>1006</v>
      </c>
      <c r="G938" s="198" t="s">
        <v>1006</v>
      </c>
      <c r="H938" s="198" t="str">
        <f t="shared" si="50"/>
        <v/>
      </c>
      <c r="I938" s="228" t="str">
        <f t="shared" si="51"/>
        <v/>
      </c>
      <c r="J938" s="228" t="str">
        <f t="shared" si="52"/>
        <v/>
      </c>
    </row>
    <row r="939" spans="6:11">
      <c r="F939" s="198" t="s">
        <v>1006</v>
      </c>
      <c r="G939" s="198" t="s">
        <v>1006</v>
      </c>
      <c r="H939" s="198" t="str">
        <f t="shared" si="50"/>
        <v/>
      </c>
      <c r="I939" s="228" t="str">
        <f t="shared" si="51"/>
        <v/>
      </c>
      <c r="J939" s="228" t="str">
        <f t="shared" si="52"/>
        <v/>
      </c>
    </row>
    <row r="940" spans="6:11">
      <c r="F940" s="198" t="s">
        <v>1006</v>
      </c>
      <c r="G940" s="198" t="s">
        <v>1006</v>
      </c>
      <c r="H940" s="198" t="str">
        <f t="shared" si="50"/>
        <v/>
      </c>
      <c r="I940" s="228" t="str">
        <f t="shared" si="51"/>
        <v/>
      </c>
      <c r="J940" s="228" t="str">
        <f t="shared" si="52"/>
        <v/>
      </c>
    </row>
    <row r="941" spans="6:11">
      <c r="F941" s="198" t="s">
        <v>1006</v>
      </c>
      <c r="G941" s="198" t="s">
        <v>1006</v>
      </c>
      <c r="H941" s="198" t="str">
        <f t="shared" si="50"/>
        <v/>
      </c>
      <c r="I941" s="228" t="str">
        <f t="shared" si="51"/>
        <v/>
      </c>
      <c r="J941" s="228" t="str">
        <f t="shared" si="52"/>
        <v/>
      </c>
    </row>
    <row r="942" spans="6:11">
      <c r="F942" s="198" t="s">
        <v>1006</v>
      </c>
      <c r="G942" s="198" t="s">
        <v>1006</v>
      </c>
      <c r="H942" s="198" t="str">
        <f t="shared" si="50"/>
        <v/>
      </c>
      <c r="I942" s="228" t="str">
        <f t="shared" si="51"/>
        <v/>
      </c>
      <c r="J942" s="228" t="str">
        <f t="shared" si="52"/>
        <v/>
      </c>
    </row>
    <row r="943" spans="6:11">
      <c r="F943" s="198" t="s">
        <v>1006</v>
      </c>
      <c r="G943" s="198" t="s">
        <v>1006</v>
      </c>
      <c r="H943" s="198" t="str">
        <f t="shared" si="50"/>
        <v/>
      </c>
      <c r="I943" s="228" t="str">
        <f t="shared" si="51"/>
        <v/>
      </c>
      <c r="J943" s="228" t="str">
        <f t="shared" si="52"/>
        <v/>
      </c>
    </row>
    <row r="944" spans="6:11">
      <c r="F944" s="198" t="s">
        <v>1006</v>
      </c>
      <c r="G944" s="198" t="s">
        <v>1006</v>
      </c>
      <c r="H944" s="198" t="str">
        <f t="shared" si="50"/>
        <v/>
      </c>
      <c r="I944" s="228" t="str">
        <f t="shared" si="51"/>
        <v/>
      </c>
      <c r="J944" s="228" t="str">
        <f t="shared" si="52"/>
        <v/>
      </c>
    </row>
    <row r="945" spans="6:10">
      <c r="F945" s="198" t="s">
        <v>1006</v>
      </c>
      <c r="G945" s="198" t="s">
        <v>1006</v>
      </c>
      <c r="H945" s="198" t="str">
        <f t="shared" si="50"/>
        <v/>
      </c>
      <c r="J945" s="228" t="str">
        <f t="shared" si="52"/>
        <v/>
      </c>
    </row>
    <row r="946" spans="6:10">
      <c r="F946" s="198" t="s">
        <v>1006</v>
      </c>
      <c r="G946" s="198" t="s">
        <v>1006</v>
      </c>
      <c r="H946" s="198" t="str">
        <f t="shared" si="50"/>
        <v/>
      </c>
      <c r="J946" s="228" t="str">
        <f t="shared" si="52"/>
        <v/>
      </c>
    </row>
    <row r="947" spans="6:10">
      <c r="F947" s="198" t="s">
        <v>1006</v>
      </c>
      <c r="G947" s="198" t="s">
        <v>1006</v>
      </c>
      <c r="H947" s="198" t="str">
        <f t="shared" si="50"/>
        <v/>
      </c>
      <c r="J947" s="228" t="str">
        <f t="shared" si="52"/>
        <v/>
      </c>
    </row>
    <row r="948" spans="6:10">
      <c r="F948" s="198" t="s">
        <v>1006</v>
      </c>
      <c r="G948" s="198" t="s">
        <v>1006</v>
      </c>
      <c r="H948" s="198" t="str">
        <f t="shared" si="50"/>
        <v/>
      </c>
      <c r="J948" s="228" t="str">
        <f t="shared" si="52"/>
        <v/>
      </c>
    </row>
    <row r="949" spans="6:10">
      <c r="F949" s="198" t="s">
        <v>1006</v>
      </c>
      <c r="G949" s="198" t="s">
        <v>1006</v>
      </c>
      <c r="H949" s="198" t="str">
        <f t="shared" si="50"/>
        <v/>
      </c>
      <c r="J949" s="228" t="str">
        <f t="shared" si="52"/>
        <v/>
      </c>
    </row>
    <row r="950" spans="6:10">
      <c r="F950" s="198" t="s">
        <v>1006</v>
      </c>
      <c r="G950" s="198" t="s">
        <v>1006</v>
      </c>
      <c r="H950" s="198" t="str">
        <f t="shared" si="50"/>
        <v/>
      </c>
      <c r="J950" s="228" t="str">
        <f t="shared" si="52"/>
        <v/>
      </c>
    </row>
    <row r="951" spans="6:10">
      <c r="F951" s="198" t="s">
        <v>1006</v>
      </c>
      <c r="G951" s="198" t="s">
        <v>1006</v>
      </c>
      <c r="H951" s="198" t="str">
        <f t="shared" si="50"/>
        <v/>
      </c>
      <c r="J951" s="228" t="str">
        <f t="shared" si="52"/>
        <v/>
      </c>
    </row>
    <row r="952" spans="6:10">
      <c r="F952" s="198" t="s">
        <v>1006</v>
      </c>
      <c r="G952" s="198" t="s">
        <v>1006</v>
      </c>
      <c r="H952" s="198" t="str">
        <f t="shared" si="50"/>
        <v/>
      </c>
      <c r="J952" s="228" t="str">
        <f t="shared" si="52"/>
        <v/>
      </c>
    </row>
    <row r="953" spans="6:10">
      <c r="F953" s="198" t="s">
        <v>1006</v>
      </c>
      <c r="G953" s="198" t="s">
        <v>1006</v>
      </c>
      <c r="H953" s="198" t="str">
        <f t="shared" si="50"/>
        <v/>
      </c>
      <c r="J953" s="228" t="str">
        <f t="shared" si="52"/>
        <v/>
      </c>
    </row>
    <row r="954" spans="6:10">
      <c r="F954" s="198" t="s">
        <v>1006</v>
      </c>
      <c r="G954" s="198" t="s">
        <v>1006</v>
      </c>
      <c r="H954" s="198" t="str">
        <f t="shared" si="50"/>
        <v/>
      </c>
      <c r="J954" s="228" t="str">
        <f t="shared" si="52"/>
        <v/>
      </c>
    </row>
    <row r="955" spans="6:10">
      <c r="F955" s="198" t="s">
        <v>1006</v>
      </c>
      <c r="G955" s="198" t="s">
        <v>1006</v>
      </c>
      <c r="H955" s="198" t="str">
        <f t="shared" si="50"/>
        <v/>
      </c>
      <c r="J955" s="228" t="str">
        <f t="shared" si="52"/>
        <v/>
      </c>
    </row>
    <row r="956" spans="6:10">
      <c r="F956" s="198" t="s">
        <v>1006</v>
      </c>
      <c r="G956" s="198" t="s">
        <v>1006</v>
      </c>
      <c r="H956" s="198" t="str">
        <f t="shared" si="50"/>
        <v/>
      </c>
      <c r="J956" s="228" t="str">
        <f t="shared" si="52"/>
        <v/>
      </c>
    </row>
    <row r="957" spans="6:10">
      <c r="F957" s="198" t="s">
        <v>1006</v>
      </c>
      <c r="G957" s="198" t="s">
        <v>1006</v>
      </c>
      <c r="H957" s="198" t="str">
        <f t="shared" si="50"/>
        <v/>
      </c>
      <c r="J957" s="228" t="str">
        <f t="shared" si="52"/>
        <v/>
      </c>
    </row>
    <row r="958" spans="6:10">
      <c r="F958" s="198" t="s">
        <v>1006</v>
      </c>
      <c r="G958" s="198" t="s">
        <v>1006</v>
      </c>
      <c r="H958" s="198" t="str">
        <f t="shared" si="50"/>
        <v/>
      </c>
      <c r="J958" s="228" t="str">
        <f t="shared" si="52"/>
        <v/>
      </c>
    </row>
    <row r="959" spans="6:10">
      <c r="F959" s="198" t="s">
        <v>1006</v>
      </c>
      <c r="G959" s="198" t="s">
        <v>1006</v>
      </c>
      <c r="H959" s="198" t="str">
        <f t="shared" si="50"/>
        <v/>
      </c>
      <c r="J959" s="228" t="str">
        <f t="shared" si="52"/>
        <v/>
      </c>
    </row>
    <row r="960" spans="6:10">
      <c r="F960" s="198" t="s">
        <v>1006</v>
      </c>
      <c r="G960" s="198" t="s">
        <v>1006</v>
      </c>
      <c r="H960" s="198" t="str">
        <f t="shared" si="50"/>
        <v/>
      </c>
      <c r="J960" s="228" t="str">
        <f t="shared" si="52"/>
        <v/>
      </c>
    </row>
    <row r="961" spans="6:10">
      <c r="F961" s="198" t="s">
        <v>1006</v>
      </c>
      <c r="G961" s="198" t="s">
        <v>1006</v>
      </c>
      <c r="H961" s="198" t="str">
        <f t="shared" si="50"/>
        <v/>
      </c>
      <c r="J961" s="228" t="str">
        <f t="shared" si="52"/>
        <v/>
      </c>
    </row>
    <row r="962" spans="6:10">
      <c r="F962" s="198" t="s">
        <v>1006</v>
      </c>
      <c r="G962" s="198" t="s">
        <v>1006</v>
      </c>
      <c r="H962" s="198" t="str">
        <f t="shared" si="50"/>
        <v/>
      </c>
      <c r="J962" s="228" t="str">
        <f t="shared" si="52"/>
        <v/>
      </c>
    </row>
    <row r="963" spans="6:10">
      <c r="F963" s="198" t="s">
        <v>1006</v>
      </c>
      <c r="G963" s="198" t="s">
        <v>1006</v>
      </c>
      <c r="H963" s="198" t="str">
        <f t="shared" si="50"/>
        <v/>
      </c>
      <c r="J963" s="228" t="str">
        <f t="shared" si="52"/>
        <v/>
      </c>
    </row>
    <row r="964" spans="6:10">
      <c r="F964" s="198" t="s">
        <v>1006</v>
      </c>
      <c r="G964" s="198" t="s">
        <v>1006</v>
      </c>
      <c r="H964" s="198" t="str">
        <f t="shared" ref="H964:H1027" si="54">IF(F964&lt;G964,F964,G964)</f>
        <v/>
      </c>
      <c r="J964" s="228" t="str">
        <f t="shared" ref="J964:J1027" si="55">IF(DAY(B964)=15,MID(A964,1,1),"")</f>
        <v/>
      </c>
    </row>
    <row r="965" spans="6:10">
      <c r="F965" s="198" t="s">
        <v>1006</v>
      </c>
      <c r="G965" s="198" t="s">
        <v>1006</v>
      </c>
      <c r="H965" s="198" t="str">
        <f t="shared" si="54"/>
        <v/>
      </c>
      <c r="J965" s="228" t="str">
        <f t="shared" si="55"/>
        <v/>
      </c>
    </row>
    <row r="966" spans="6:10">
      <c r="F966" s="198" t="s">
        <v>1006</v>
      </c>
      <c r="G966" s="198" t="s">
        <v>1006</v>
      </c>
      <c r="H966" s="198" t="str">
        <f t="shared" si="54"/>
        <v/>
      </c>
      <c r="J966" s="228" t="str">
        <f t="shared" si="55"/>
        <v/>
      </c>
    </row>
    <row r="967" spans="6:10">
      <c r="F967" s="198" t="s">
        <v>1006</v>
      </c>
      <c r="G967" s="198" t="s">
        <v>1006</v>
      </c>
      <c r="H967" s="198" t="str">
        <f t="shared" si="54"/>
        <v/>
      </c>
      <c r="J967" s="228" t="str">
        <f t="shared" si="55"/>
        <v/>
      </c>
    </row>
    <row r="968" spans="6:10">
      <c r="F968" s="198" t="s">
        <v>1006</v>
      </c>
      <c r="G968" s="198" t="s">
        <v>1006</v>
      </c>
      <c r="H968" s="198" t="str">
        <f t="shared" si="54"/>
        <v/>
      </c>
      <c r="J968" s="228" t="str">
        <f t="shared" si="55"/>
        <v/>
      </c>
    </row>
    <row r="969" spans="6:10">
      <c r="F969" s="198" t="s">
        <v>1006</v>
      </c>
      <c r="G969" s="198" t="s">
        <v>1006</v>
      </c>
      <c r="H969" s="198" t="str">
        <f t="shared" si="54"/>
        <v/>
      </c>
      <c r="J969" s="228" t="str">
        <f t="shared" si="55"/>
        <v/>
      </c>
    </row>
    <row r="970" spans="6:10">
      <c r="F970" s="198" t="s">
        <v>1006</v>
      </c>
      <c r="G970" s="198" t="s">
        <v>1006</v>
      </c>
      <c r="H970" s="198" t="str">
        <f t="shared" si="54"/>
        <v/>
      </c>
      <c r="J970" s="228" t="str">
        <f t="shared" si="55"/>
        <v/>
      </c>
    </row>
    <row r="971" spans="6:10">
      <c r="F971" s="198" t="s">
        <v>1006</v>
      </c>
      <c r="G971" s="198" t="s">
        <v>1006</v>
      </c>
      <c r="H971" s="198" t="str">
        <f t="shared" si="54"/>
        <v/>
      </c>
      <c r="J971" s="228" t="str">
        <f t="shared" si="55"/>
        <v/>
      </c>
    </row>
    <row r="972" spans="6:10">
      <c r="F972" s="198" t="s">
        <v>1006</v>
      </c>
      <c r="G972" s="198" t="s">
        <v>1006</v>
      </c>
      <c r="H972" s="198" t="str">
        <f t="shared" si="54"/>
        <v/>
      </c>
      <c r="J972" s="228" t="str">
        <f t="shared" si="55"/>
        <v/>
      </c>
    </row>
    <row r="973" spans="6:10">
      <c r="F973" s="198" t="s">
        <v>1006</v>
      </c>
      <c r="G973" s="198" t="s">
        <v>1006</v>
      </c>
      <c r="H973" s="198" t="str">
        <f t="shared" si="54"/>
        <v/>
      </c>
      <c r="J973" s="228" t="str">
        <f t="shared" si="55"/>
        <v/>
      </c>
    </row>
    <row r="974" spans="6:10">
      <c r="F974" s="198" t="s">
        <v>1006</v>
      </c>
      <c r="G974" s="198" t="s">
        <v>1006</v>
      </c>
      <c r="H974" s="198" t="str">
        <f t="shared" si="54"/>
        <v/>
      </c>
      <c r="J974" s="228" t="str">
        <f t="shared" si="55"/>
        <v/>
      </c>
    </row>
    <row r="975" spans="6:10">
      <c r="F975" s="198" t="s">
        <v>1006</v>
      </c>
      <c r="G975" s="198" t="s">
        <v>1006</v>
      </c>
      <c r="H975" s="198" t="str">
        <f t="shared" si="54"/>
        <v/>
      </c>
      <c r="J975" s="228" t="str">
        <f t="shared" si="55"/>
        <v/>
      </c>
    </row>
    <row r="976" spans="6:10">
      <c r="F976" s="198" t="s">
        <v>1006</v>
      </c>
      <c r="G976" s="198" t="s">
        <v>1006</v>
      </c>
      <c r="H976" s="198" t="str">
        <f t="shared" si="54"/>
        <v/>
      </c>
      <c r="J976" s="228" t="str">
        <f t="shared" si="55"/>
        <v/>
      </c>
    </row>
    <row r="977" spans="6:10">
      <c r="F977" s="198" t="s">
        <v>1006</v>
      </c>
      <c r="G977" s="198" t="s">
        <v>1006</v>
      </c>
      <c r="H977" s="198" t="str">
        <f t="shared" si="54"/>
        <v/>
      </c>
      <c r="J977" s="228" t="str">
        <f t="shared" si="55"/>
        <v/>
      </c>
    </row>
    <row r="978" spans="6:10">
      <c r="F978" s="198" t="s">
        <v>1006</v>
      </c>
      <c r="G978" s="198" t="s">
        <v>1006</v>
      </c>
      <c r="H978" s="198" t="str">
        <f t="shared" si="54"/>
        <v/>
      </c>
      <c r="J978" s="228" t="str">
        <f t="shared" si="55"/>
        <v/>
      </c>
    </row>
    <row r="979" spans="6:10">
      <c r="F979" s="198" t="s">
        <v>1006</v>
      </c>
      <c r="G979" s="198" t="s">
        <v>1006</v>
      </c>
      <c r="H979" s="198" t="str">
        <f t="shared" si="54"/>
        <v/>
      </c>
      <c r="J979" s="228" t="str">
        <f t="shared" si="55"/>
        <v/>
      </c>
    </row>
    <row r="980" spans="6:10">
      <c r="F980" s="198" t="s">
        <v>1006</v>
      </c>
      <c r="G980" s="198" t="s">
        <v>1006</v>
      </c>
      <c r="H980" s="198" t="str">
        <f t="shared" si="54"/>
        <v/>
      </c>
      <c r="J980" s="228" t="str">
        <f t="shared" si="55"/>
        <v/>
      </c>
    </row>
    <row r="981" spans="6:10">
      <c r="F981" s="198" t="s">
        <v>1006</v>
      </c>
      <c r="G981" s="198" t="s">
        <v>1006</v>
      </c>
      <c r="H981" s="198" t="str">
        <f t="shared" si="54"/>
        <v/>
      </c>
      <c r="J981" s="228" t="str">
        <f t="shared" si="55"/>
        <v/>
      </c>
    </row>
    <row r="982" spans="6:10">
      <c r="F982" s="198" t="s">
        <v>1006</v>
      </c>
      <c r="G982" s="198" t="s">
        <v>1006</v>
      </c>
      <c r="H982" s="198" t="str">
        <f t="shared" si="54"/>
        <v/>
      </c>
      <c r="J982" s="228" t="str">
        <f t="shared" si="55"/>
        <v/>
      </c>
    </row>
    <row r="983" spans="6:10">
      <c r="F983" s="198" t="s">
        <v>1006</v>
      </c>
      <c r="G983" s="198" t="s">
        <v>1006</v>
      </c>
      <c r="H983" s="198" t="str">
        <f t="shared" si="54"/>
        <v/>
      </c>
      <c r="J983" s="228" t="str">
        <f t="shared" si="55"/>
        <v/>
      </c>
    </row>
    <row r="984" spans="6:10">
      <c r="F984" s="198" t="s">
        <v>1006</v>
      </c>
      <c r="G984" s="198" t="s">
        <v>1006</v>
      </c>
      <c r="H984" s="198" t="str">
        <f t="shared" si="54"/>
        <v/>
      </c>
      <c r="J984" s="228" t="str">
        <f t="shared" si="55"/>
        <v/>
      </c>
    </row>
    <row r="985" spans="6:10">
      <c r="F985" s="198" t="s">
        <v>1006</v>
      </c>
      <c r="G985" s="198" t="s">
        <v>1006</v>
      </c>
      <c r="H985" s="198" t="str">
        <f t="shared" si="54"/>
        <v/>
      </c>
      <c r="J985" s="228" t="str">
        <f t="shared" si="55"/>
        <v/>
      </c>
    </row>
    <row r="986" spans="6:10">
      <c r="F986" s="198" t="s">
        <v>1006</v>
      </c>
      <c r="G986" s="198" t="s">
        <v>1006</v>
      </c>
      <c r="H986" s="198" t="str">
        <f t="shared" si="54"/>
        <v/>
      </c>
      <c r="J986" s="228" t="str">
        <f t="shared" si="55"/>
        <v/>
      </c>
    </row>
    <row r="987" spans="6:10">
      <c r="F987" s="198" t="s">
        <v>1006</v>
      </c>
      <c r="G987" s="198" t="s">
        <v>1006</v>
      </c>
      <c r="H987" s="198" t="str">
        <f t="shared" si="54"/>
        <v/>
      </c>
      <c r="J987" s="228" t="str">
        <f t="shared" si="55"/>
        <v/>
      </c>
    </row>
    <row r="988" spans="6:10">
      <c r="F988" s="198" t="s">
        <v>1006</v>
      </c>
      <c r="G988" s="198" t="s">
        <v>1006</v>
      </c>
      <c r="H988" s="198" t="str">
        <f t="shared" si="54"/>
        <v/>
      </c>
      <c r="J988" s="228" t="str">
        <f t="shared" si="55"/>
        <v/>
      </c>
    </row>
    <row r="989" spans="6:10">
      <c r="F989" s="198" t="s">
        <v>1006</v>
      </c>
      <c r="G989" s="198" t="s">
        <v>1006</v>
      </c>
      <c r="H989" s="198" t="str">
        <f t="shared" si="54"/>
        <v/>
      </c>
      <c r="J989" s="228" t="str">
        <f t="shared" si="55"/>
        <v/>
      </c>
    </row>
    <row r="990" spans="6:10">
      <c r="F990" s="198" t="s">
        <v>1006</v>
      </c>
      <c r="G990" s="198" t="s">
        <v>1006</v>
      </c>
      <c r="H990" s="198" t="str">
        <f t="shared" si="54"/>
        <v/>
      </c>
      <c r="J990" s="228" t="str">
        <f t="shared" si="55"/>
        <v/>
      </c>
    </row>
    <row r="991" spans="6:10">
      <c r="F991" s="198" t="s">
        <v>1006</v>
      </c>
      <c r="G991" s="198" t="s">
        <v>1006</v>
      </c>
      <c r="H991" s="198" t="str">
        <f t="shared" si="54"/>
        <v/>
      </c>
      <c r="J991" s="228" t="str">
        <f t="shared" si="55"/>
        <v/>
      </c>
    </row>
    <row r="992" spans="6:10">
      <c r="F992" s="198" t="s">
        <v>1006</v>
      </c>
      <c r="G992" s="198" t="s">
        <v>1006</v>
      </c>
      <c r="H992" s="198" t="str">
        <f t="shared" si="54"/>
        <v/>
      </c>
      <c r="J992" s="228" t="str">
        <f t="shared" si="55"/>
        <v/>
      </c>
    </row>
    <row r="993" spans="6:10">
      <c r="F993" s="198" t="s">
        <v>1006</v>
      </c>
      <c r="G993" s="198" t="s">
        <v>1006</v>
      </c>
      <c r="H993" s="198" t="str">
        <f t="shared" si="54"/>
        <v/>
      </c>
      <c r="J993" s="228" t="str">
        <f t="shared" si="55"/>
        <v/>
      </c>
    </row>
    <row r="994" spans="6:10">
      <c r="F994" s="198" t="s">
        <v>1006</v>
      </c>
      <c r="G994" s="198" t="s">
        <v>1006</v>
      </c>
      <c r="H994" s="198" t="str">
        <f t="shared" si="54"/>
        <v/>
      </c>
      <c r="J994" s="228" t="str">
        <f t="shared" si="55"/>
        <v/>
      </c>
    </row>
    <row r="995" spans="6:10">
      <c r="F995" s="198" t="s">
        <v>1006</v>
      </c>
      <c r="G995" s="198" t="s">
        <v>1006</v>
      </c>
      <c r="H995" s="198" t="str">
        <f t="shared" si="54"/>
        <v/>
      </c>
      <c r="J995" s="228" t="str">
        <f t="shared" si="55"/>
        <v/>
      </c>
    </row>
    <row r="996" spans="6:10">
      <c r="F996" s="198" t="s">
        <v>1006</v>
      </c>
      <c r="G996" s="198" t="s">
        <v>1006</v>
      </c>
      <c r="H996" s="198" t="str">
        <f t="shared" si="54"/>
        <v/>
      </c>
      <c r="J996" s="228" t="str">
        <f t="shared" si="55"/>
        <v/>
      </c>
    </row>
    <row r="997" spans="6:10">
      <c r="F997" s="198" t="s">
        <v>1006</v>
      </c>
      <c r="G997" s="198" t="s">
        <v>1006</v>
      </c>
      <c r="H997" s="198" t="str">
        <f t="shared" si="54"/>
        <v/>
      </c>
      <c r="J997" s="228" t="str">
        <f t="shared" si="55"/>
        <v/>
      </c>
    </row>
    <row r="998" spans="6:10">
      <c r="F998" s="198" t="s">
        <v>1006</v>
      </c>
      <c r="G998" s="198" t="s">
        <v>1006</v>
      </c>
      <c r="H998" s="198" t="str">
        <f t="shared" si="54"/>
        <v/>
      </c>
      <c r="J998" s="228" t="str">
        <f t="shared" si="55"/>
        <v/>
      </c>
    </row>
    <row r="999" spans="6:10">
      <c r="F999" s="198" t="s">
        <v>1006</v>
      </c>
      <c r="G999" s="198" t="s">
        <v>1006</v>
      </c>
      <c r="H999" s="198" t="str">
        <f t="shared" si="54"/>
        <v/>
      </c>
      <c r="J999" s="228" t="str">
        <f t="shared" si="55"/>
        <v/>
      </c>
    </row>
    <row r="1000" spans="6:10">
      <c r="F1000" s="198" t="s">
        <v>1006</v>
      </c>
      <c r="G1000" s="198" t="s">
        <v>1006</v>
      </c>
      <c r="H1000" s="198" t="str">
        <f t="shared" si="54"/>
        <v/>
      </c>
      <c r="J1000" s="228" t="str">
        <f t="shared" si="55"/>
        <v/>
      </c>
    </row>
    <row r="1001" spans="6:10">
      <c r="F1001" s="198" t="s">
        <v>1006</v>
      </c>
      <c r="G1001" s="198" t="s">
        <v>1006</v>
      </c>
      <c r="H1001" s="198" t="str">
        <f t="shared" si="54"/>
        <v/>
      </c>
      <c r="J1001" s="228" t="str">
        <f t="shared" si="55"/>
        <v/>
      </c>
    </row>
    <row r="1002" spans="6:10">
      <c r="F1002" s="198" t="s">
        <v>1006</v>
      </c>
      <c r="G1002" s="198" t="s">
        <v>1006</v>
      </c>
      <c r="H1002" s="198" t="str">
        <f t="shared" si="54"/>
        <v/>
      </c>
      <c r="J1002" s="228" t="str">
        <f t="shared" si="55"/>
        <v/>
      </c>
    </row>
    <row r="1003" spans="6:10">
      <c r="F1003" s="198" t="s">
        <v>1006</v>
      </c>
      <c r="G1003" s="198" t="s">
        <v>1006</v>
      </c>
      <c r="H1003" s="198" t="str">
        <f t="shared" si="54"/>
        <v/>
      </c>
      <c r="J1003" s="228" t="str">
        <f t="shared" si="55"/>
        <v/>
      </c>
    </row>
    <row r="1004" spans="6:10">
      <c r="F1004" s="198" t="s">
        <v>1006</v>
      </c>
      <c r="G1004" s="198" t="s">
        <v>1006</v>
      </c>
      <c r="H1004" s="198" t="str">
        <f t="shared" si="54"/>
        <v/>
      </c>
      <c r="J1004" s="228" t="str">
        <f t="shared" si="55"/>
        <v/>
      </c>
    </row>
    <row r="1005" spans="6:10">
      <c r="F1005" s="198" t="s">
        <v>1006</v>
      </c>
      <c r="G1005" s="198" t="s">
        <v>1006</v>
      </c>
      <c r="H1005" s="198" t="str">
        <f t="shared" si="54"/>
        <v/>
      </c>
      <c r="J1005" s="228" t="str">
        <f t="shared" si="55"/>
        <v/>
      </c>
    </row>
    <row r="1006" spans="6:10">
      <c r="F1006" s="198" t="s">
        <v>1006</v>
      </c>
      <c r="G1006" s="198" t="s">
        <v>1006</v>
      </c>
      <c r="H1006" s="198" t="str">
        <f t="shared" si="54"/>
        <v/>
      </c>
      <c r="J1006" s="228" t="str">
        <f t="shared" si="55"/>
        <v/>
      </c>
    </row>
    <row r="1007" spans="6:10">
      <c r="F1007" s="198" t="s">
        <v>1006</v>
      </c>
      <c r="G1007" s="198" t="s">
        <v>1006</v>
      </c>
      <c r="H1007" s="198" t="str">
        <f t="shared" si="54"/>
        <v/>
      </c>
      <c r="J1007" s="228" t="str">
        <f t="shared" si="55"/>
        <v/>
      </c>
    </row>
    <row r="1008" spans="6:10">
      <c r="F1008" s="198" t="s">
        <v>1006</v>
      </c>
      <c r="G1008" s="198" t="s">
        <v>1006</v>
      </c>
      <c r="H1008" s="198" t="str">
        <f t="shared" si="54"/>
        <v/>
      </c>
      <c r="J1008" s="228" t="str">
        <f t="shared" si="55"/>
        <v/>
      </c>
    </row>
    <row r="1009" spans="6:10">
      <c r="F1009" s="198" t="s">
        <v>1006</v>
      </c>
      <c r="G1009" s="198" t="s">
        <v>1006</v>
      </c>
      <c r="H1009" s="198" t="str">
        <f t="shared" si="54"/>
        <v/>
      </c>
      <c r="J1009" s="228" t="str">
        <f t="shared" si="55"/>
        <v/>
      </c>
    </row>
    <row r="1010" spans="6:10">
      <c r="F1010" s="198" t="s">
        <v>1006</v>
      </c>
      <c r="G1010" s="198" t="s">
        <v>1006</v>
      </c>
      <c r="H1010" s="198" t="str">
        <f t="shared" si="54"/>
        <v/>
      </c>
      <c r="J1010" s="228" t="str">
        <f t="shared" si="55"/>
        <v/>
      </c>
    </row>
    <row r="1011" spans="6:10">
      <c r="F1011" s="198" t="s">
        <v>1006</v>
      </c>
      <c r="G1011" s="198" t="s">
        <v>1006</v>
      </c>
      <c r="H1011" s="198" t="str">
        <f t="shared" si="54"/>
        <v/>
      </c>
      <c r="J1011" s="228" t="str">
        <f t="shared" si="55"/>
        <v/>
      </c>
    </row>
    <row r="1012" spans="6:10">
      <c r="F1012" s="198" t="s">
        <v>1006</v>
      </c>
      <c r="G1012" s="198" t="s">
        <v>1006</v>
      </c>
      <c r="H1012" s="198" t="str">
        <f t="shared" si="54"/>
        <v/>
      </c>
      <c r="J1012" s="228" t="str">
        <f t="shared" si="55"/>
        <v/>
      </c>
    </row>
    <row r="1013" spans="6:10">
      <c r="F1013" s="198" t="s">
        <v>1006</v>
      </c>
      <c r="G1013" s="198" t="s">
        <v>1006</v>
      </c>
      <c r="H1013" s="198" t="str">
        <f t="shared" si="54"/>
        <v/>
      </c>
      <c r="J1013" s="228" t="str">
        <f t="shared" si="55"/>
        <v/>
      </c>
    </row>
    <row r="1014" spans="6:10">
      <c r="F1014" s="198" t="s">
        <v>1006</v>
      </c>
      <c r="G1014" s="198" t="s">
        <v>1006</v>
      </c>
      <c r="H1014" s="198" t="str">
        <f t="shared" si="54"/>
        <v/>
      </c>
      <c r="J1014" s="228" t="str">
        <f t="shared" si="55"/>
        <v/>
      </c>
    </row>
    <row r="1015" spans="6:10">
      <c r="F1015" s="198" t="s">
        <v>1006</v>
      </c>
      <c r="G1015" s="198" t="s">
        <v>1006</v>
      </c>
      <c r="H1015" s="198" t="str">
        <f t="shared" si="54"/>
        <v/>
      </c>
      <c r="J1015" s="228" t="str">
        <f t="shared" si="55"/>
        <v/>
      </c>
    </row>
    <row r="1016" spans="6:10">
      <c r="F1016" s="198" t="s">
        <v>1006</v>
      </c>
      <c r="G1016" s="198" t="s">
        <v>1006</v>
      </c>
      <c r="H1016" s="198" t="str">
        <f t="shared" si="54"/>
        <v/>
      </c>
      <c r="J1016" s="228" t="str">
        <f t="shared" si="55"/>
        <v/>
      </c>
    </row>
    <row r="1017" spans="6:10">
      <c r="F1017" s="198" t="s">
        <v>1006</v>
      </c>
      <c r="G1017" s="198" t="s">
        <v>1006</v>
      </c>
      <c r="H1017" s="198" t="str">
        <f t="shared" si="54"/>
        <v/>
      </c>
      <c r="J1017" s="228" t="str">
        <f t="shared" si="55"/>
        <v/>
      </c>
    </row>
    <row r="1018" spans="6:10">
      <c r="F1018" s="198" t="s">
        <v>1006</v>
      </c>
      <c r="G1018" s="198" t="s">
        <v>1006</v>
      </c>
      <c r="H1018" s="198" t="str">
        <f t="shared" si="54"/>
        <v/>
      </c>
      <c r="J1018" s="228" t="str">
        <f t="shared" si="55"/>
        <v/>
      </c>
    </row>
    <row r="1019" spans="6:10">
      <c r="F1019" s="198" t="s">
        <v>1006</v>
      </c>
      <c r="G1019" s="198" t="s">
        <v>1006</v>
      </c>
      <c r="H1019" s="198" t="str">
        <f t="shared" si="54"/>
        <v/>
      </c>
      <c r="J1019" s="228" t="str">
        <f t="shared" si="55"/>
        <v/>
      </c>
    </row>
    <row r="1020" spans="6:10">
      <c r="F1020" s="198" t="s">
        <v>1006</v>
      </c>
      <c r="G1020" s="198" t="s">
        <v>1006</v>
      </c>
      <c r="H1020" s="198" t="str">
        <f t="shared" si="54"/>
        <v/>
      </c>
      <c r="J1020" s="228" t="str">
        <f t="shared" si="55"/>
        <v/>
      </c>
    </row>
    <row r="1021" spans="6:10">
      <c r="F1021" s="198" t="s">
        <v>1006</v>
      </c>
      <c r="G1021" s="198" t="s">
        <v>1006</v>
      </c>
      <c r="H1021" s="198" t="str">
        <f t="shared" si="54"/>
        <v/>
      </c>
      <c r="J1021" s="228" t="str">
        <f t="shared" si="55"/>
        <v/>
      </c>
    </row>
    <row r="1022" spans="6:10">
      <c r="F1022" s="198" t="s">
        <v>1006</v>
      </c>
      <c r="G1022" s="198" t="s">
        <v>1006</v>
      </c>
      <c r="H1022" s="198" t="str">
        <f t="shared" si="54"/>
        <v/>
      </c>
      <c r="J1022" s="228" t="str">
        <f t="shared" si="55"/>
        <v/>
      </c>
    </row>
    <row r="1023" spans="6:10">
      <c r="F1023" s="198" t="s">
        <v>1006</v>
      </c>
      <c r="G1023" s="198" t="s">
        <v>1006</v>
      </c>
      <c r="H1023" s="198" t="str">
        <f t="shared" si="54"/>
        <v/>
      </c>
      <c r="J1023" s="228" t="str">
        <f t="shared" si="55"/>
        <v/>
      </c>
    </row>
    <row r="1024" spans="6:10">
      <c r="F1024" s="198" t="s">
        <v>1006</v>
      </c>
      <c r="G1024" s="198" t="s">
        <v>1006</v>
      </c>
      <c r="H1024" s="198" t="str">
        <f t="shared" si="54"/>
        <v/>
      </c>
      <c r="J1024" s="228" t="str">
        <f t="shared" si="55"/>
        <v/>
      </c>
    </row>
    <row r="1025" spans="6:10">
      <c r="F1025" s="198" t="s">
        <v>1006</v>
      </c>
      <c r="G1025" s="198" t="s">
        <v>1006</v>
      </c>
      <c r="H1025" s="198" t="str">
        <f t="shared" si="54"/>
        <v/>
      </c>
      <c r="J1025" s="228" t="str">
        <f t="shared" si="55"/>
        <v/>
      </c>
    </row>
    <row r="1026" spans="6:10">
      <c r="F1026" s="198" t="s">
        <v>1006</v>
      </c>
      <c r="G1026" s="198" t="s">
        <v>1006</v>
      </c>
      <c r="H1026" s="198" t="str">
        <f t="shared" si="54"/>
        <v/>
      </c>
      <c r="J1026" s="228" t="str">
        <f t="shared" si="55"/>
        <v/>
      </c>
    </row>
    <row r="1027" spans="6:10">
      <c r="F1027" s="198" t="s">
        <v>1006</v>
      </c>
      <c r="G1027" s="198" t="s">
        <v>1006</v>
      </c>
      <c r="H1027" s="198" t="str">
        <f t="shared" si="54"/>
        <v/>
      </c>
      <c r="J1027" s="228" t="str">
        <f t="shared" si="55"/>
        <v/>
      </c>
    </row>
    <row r="1028" spans="6:10">
      <c r="F1028" s="198" t="s">
        <v>1006</v>
      </c>
      <c r="G1028" s="198" t="s">
        <v>1006</v>
      </c>
      <c r="H1028" s="198" t="str">
        <f t="shared" ref="H1028:H1091" si="56">IF(F1028&lt;G1028,F1028,G1028)</f>
        <v/>
      </c>
      <c r="J1028" s="228" t="str">
        <f t="shared" ref="J1028:J1091" si="57">IF(DAY(B1028)=15,MID(A1028,1,1),"")</f>
        <v/>
      </c>
    </row>
    <row r="1029" spans="6:10">
      <c r="F1029" s="198" t="s">
        <v>1006</v>
      </c>
      <c r="G1029" s="198" t="s">
        <v>1006</v>
      </c>
      <c r="H1029" s="198" t="str">
        <f t="shared" si="56"/>
        <v/>
      </c>
      <c r="J1029" s="228" t="str">
        <f t="shared" si="57"/>
        <v/>
      </c>
    </row>
    <row r="1030" spans="6:10">
      <c r="F1030" s="198" t="s">
        <v>1006</v>
      </c>
      <c r="G1030" s="198" t="s">
        <v>1006</v>
      </c>
      <c r="H1030" s="198" t="str">
        <f t="shared" si="56"/>
        <v/>
      </c>
      <c r="J1030" s="228" t="str">
        <f t="shared" si="57"/>
        <v/>
      </c>
    </row>
    <row r="1031" spans="6:10">
      <c r="F1031" s="198" t="s">
        <v>1006</v>
      </c>
      <c r="G1031" s="198" t="s">
        <v>1006</v>
      </c>
      <c r="H1031" s="198" t="str">
        <f t="shared" si="56"/>
        <v/>
      </c>
      <c r="J1031" s="228" t="str">
        <f t="shared" si="57"/>
        <v/>
      </c>
    </row>
    <row r="1032" spans="6:10">
      <c r="F1032" s="198" t="s">
        <v>1006</v>
      </c>
      <c r="G1032" s="198" t="s">
        <v>1006</v>
      </c>
      <c r="H1032" s="198" t="str">
        <f t="shared" si="56"/>
        <v/>
      </c>
      <c r="J1032" s="228" t="str">
        <f t="shared" si="57"/>
        <v/>
      </c>
    </row>
    <row r="1033" spans="6:10">
      <c r="F1033" s="198" t="s">
        <v>1006</v>
      </c>
      <c r="G1033" s="198" t="s">
        <v>1006</v>
      </c>
      <c r="H1033" s="198" t="str">
        <f t="shared" si="56"/>
        <v/>
      </c>
      <c r="J1033" s="228" t="str">
        <f t="shared" si="57"/>
        <v/>
      </c>
    </row>
    <row r="1034" spans="6:10">
      <c r="F1034" s="198" t="s">
        <v>1006</v>
      </c>
      <c r="G1034" s="198" t="s">
        <v>1006</v>
      </c>
      <c r="H1034" s="198" t="str">
        <f t="shared" si="56"/>
        <v/>
      </c>
      <c r="J1034" s="228" t="str">
        <f t="shared" si="57"/>
        <v/>
      </c>
    </row>
    <row r="1035" spans="6:10">
      <c r="F1035" s="198" t="s">
        <v>1006</v>
      </c>
      <c r="G1035" s="198" t="s">
        <v>1006</v>
      </c>
      <c r="H1035" s="198" t="str">
        <f t="shared" si="56"/>
        <v/>
      </c>
      <c r="J1035" s="228" t="str">
        <f t="shared" si="57"/>
        <v/>
      </c>
    </row>
    <row r="1036" spans="6:10">
      <c r="F1036" s="198" t="s">
        <v>1006</v>
      </c>
      <c r="G1036" s="198" t="s">
        <v>1006</v>
      </c>
      <c r="H1036" s="198" t="str">
        <f t="shared" si="56"/>
        <v/>
      </c>
      <c r="J1036" s="228" t="str">
        <f t="shared" si="57"/>
        <v/>
      </c>
    </row>
    <row r="1037" spans="6:10">
      <c r="F1037" s="198" t="s">
        <v>1006</v>
      </c>
      <c r="G1037" s="198" t="s">
        <v>1006</v>
      </c>
      <c r="H1037" s="198" t="str">
        <f t="shared" si="56"/>
        <v/>
      </c>
      <c r="J1037" s="228" t="str">
        <f t="shared" si="57"/>
        <v/>
      </c>
    </row>
    <row r="1038" spans="6:10">
      <c r="F1038" s="198" t="s">
        <v>1006</v>
      </c>
      <c r="G1038" s="198" t="s">
        <v>1006</v>
      </c>
      <c r="H1038" s="198" t="str">
        <f t="shared" si="56"/>
        <v/>
      </c>
      <c r="J1038" s="228" t="str">
        <f t="shared" si="57"/>
        <v/>
      </c>
    </row>
    <row r="1039" spans="6:10">
      <c r="F1039" s="198" t="s">
        <v>1006</v>
      </c>
      <c r="G1039" s="198" t="s">
        <v>1006</v>
      </c>
      <c r="H1039" s="198" t="str">
        <f t="shared" si="56"/>
        <v/>
      </c>
      <c r="J1039" s="228" t="str">
        <f t="shared" si="57"/>
        <v/>
      </c>
    </row>
    <row r="1040" spans="6:10">
      <c r="F1040" s="198" t="s">
        <v>1006</v>
      </c>
      <c r="G1040" s="198" t="s">
        <v>1006</v>
      </c>
      <c r="H1040" s="198" t="str">
        <f t="shared" si="56"/>
        <v/>
      </c>
      <c r="J1040" s="228" t="str">
        <f t="shared" si="57"/>
        <v/>
      </c>
    </row>
    <row r="1041" spans="6:10">
      <c r="F1041" s="198" t="s">
        <v>1006</v>
      </c>
      <c r="G1041" s="198" t="s">
        <v>1006</v>
      </c>
      <c r="H1041" s="198" t="str">
        <f t="shared" si="56"/>
        <v/>
      </c>
      <c r="J1041" s="228" t="str">
        <f t="shared" si="57"/>
        <v/>
      </c>
    </row>
    <row r="1042" spans="6:10">
      <c r="F1042" s="198" t="s">
        <v>1006</v>
      </c>
      <c r="G1042" s="198" t="s">
        <v>1006</v>
      </c>
      <c r="H1042" s="198" t="str">
        <f t="shared" si="56"/>
        <v/>
      </c>
      <c r="J1042" s="228" t="str">
        <f t="shared" si="57"/>
        <v/>
      </c>
    </row>
    <row r="1043" spans="6:10">
      <c r="F1043" s="198" t="s">
        <v>1006</v>
      </c>
      <c r="G1043" s="198" t="s">
        <v>1006</v>
      </c>
      <c r="H1043" s="198" t="str">
        <f t="shared" si="56"/>
        <v/>
      </c>
      <c r="J1043" s="228" t="str">
        <f t="shared" si="57"/>
        <v/>
      </c>
    </row>
    <row r="1044" spans="6:10">
      <c r="F1044" s="198" t="s">
        <v>1006</v>
      </c>
      <c r="G1044" s="198" t="s">
        <v>1006</v>
      </c>
      <c r="H1044" s="198" t="str">
        <f t="shared" si="56"/>
        <v/>
      </c>
      <c r="J1044" s="228" t="str">
        <f t="shared" si="57"/>
        <v/>
      </c>
    </row>
    <row r="1045" spans="6:10">
      <c r="F1045" s="198" t="s">
        <v>1006</v>
      </c>
      <c r="G1045" s="198" t="s">
        <v>1006</v>
      </c>
      <c r="H1045" s="198" t="str">
        <f t="shared" si="56"/>
        <v/>
      </c>
      <c r="J1045" s="228" t="str">
        <f t="shared" si="57"/>
        <v/>
      </c>
    </row>
    <row r="1046" spans="6:10">
      <c r="F1046" s="198" t="s">
        <v>1006</v>
      </c>
      <c r="G1046" s="198" t="s">
        <v>1006</v>
      </c>
      <c r="H1046" s="198" t="str">
        <f t="shared" si="56"/>
        <v/>
      </c>
      <c r="J1046" s="228" t="str">
        <f t="shared" si="57"/>
        <v/>
      </c>
    </row>
    <row r="1047" spans="6:10">
      <c r="F1047" s="198" t="s">
        <v>1006</v>
      </c>
      <c r="G1047" s="198" t="s">
        <v>1006</v>
      </c>
      <c r="H1047" s="198" t="str">
        <f t="shared" si="56"/>
        <v/>
      </c>
      <c r="J1047" s="228" t="str">
        <f t="shared" si="57"/>
        <v/>
      </c>
    </row>
    <row r="1048" spans="6:10">
      <c r="F1048" s="198" t="s">
        <v>1006</v>
      </c>
      <c r="G1048" s="198" t="s">
        <v>1006</v>
      </c>
      <c r="H1048" s="198" t="str">
        <f t="shared" si="56"/>
        <v/>
      </c>
      <c r="J1048" s="228" t="str">
        <f t="shared" si="57"/>
        <v/>
      </c>
    </row>
    <row r="1049" spans="6:10">
      <c r="F1049" s="198" t="s">
        <v>1006</v>
      </c>
      <c r="G1049" s="198" t="s">
        <v>1006</v>
      </c>
      <c r="H1049" s="198" t="str">
        <f t="shared" si="56"/>
        <v/>
      </c>
      <c r="J1049" s="228" t="str">
        <f t="shared" si="57"/>
        <v/>
      </c>
    </row>
    <row r="1050" spans="6:10">
      <c r="F1050" s="198" t="s">
        <v>1006</v>
      </c>
      <c r="G1050" s="198" t="s">
        <v>1006</v>
      </c>
      <c r="H1050" s="198" t="str">
        <f t="shared" si="56"/>
        <v/>
      </c>
      <c r="J1050" s="228" t="str">
        <f t="shared" si="57"/>
        <v/>
      </c>
    </row>
    <row r="1051" spans="6:10">
      <c r="F1051" s="198" t="s">
        <v>1006</v>
      </c>
      <c r="G1051" s="198" t="s">
        <v>1006</v>
      </c>
      <c r="H1051" s="198" t="str">
        <f t="shared" si="56"/>
        <v/>
      </c>
      <c r="J1051" s="228" t="str">
        <f t="shared" si="57"/>
        <v/>
      </c>
    </row>
    <row r="1052" spans="6:10">
      <c r="F1052" s="198" t="s">
        <v>1006</v>
      </c>
      <c r="G1052" s="198" t="s">
        <v>1006</v>
      </c>
      <c r="H1052" s="198" t="str">
        <f t="shared" si="56"/>
        <v/>
      </c>
      <c r="J1052" s="228" t="str">
        <f t="shared" si="57"/>
        <v/>
      </c>
    </row>
    <row r="1053" spans="6:10">
      <c r="F1053" s="198" t="s">
        <v>1006</v>
      </c>
      <c r="G1053" s="198" t="s">
        <v>1006</v>
      </c>
      <c r="H1053" s="198" t="str">
        <f t="shared" si="56"/>
        <v/>
      </c>
      <c r="J1053" s="228" t="str">
        <f t="shared" si="57"/>
        <v/>
      </c>
    </row>
    <row r="1054" spans="6:10">
      <c r="F1054" s="198" t="s">
        <v>1006</v>
      </c>
      <c r="G1054" s="198" t="s">
        <v>1006</v>
      </c>
      <c r="H1054" s="198" t="str">
        <f t="shared" si="56"/>
        <v/>
      </c>
      <c r="J1054" s="228" t="str">
        <f t="shared" si="57"/>
        <v/>
      </c>
    </row>
    <row r="1055" spans="6:10">
      <c r="F1055" s="198" t="s">
        <v>1006</v>
      </c>
      <c r="G1055" s="198" t="s">
        <v>1006</v>
      </c>
      <c r="H1055" s="198" t="str">
        <f t="shared" si="56"/>
        <v/>
      </c>
      <c r="J1055" s="228" t="str">
        <f t="shared" si="57"/>
        <v/>
      </c>
    </row>
    <row r="1056" spans="6:10">
      <c r="F1056" s="198" t="s">
        <v>1006</v>
      </c>
      <c r="G1056" s="198" t="s">
        <v>1006</v>
      </c>
      <c r="H1056" s="198" t="str">
        <f t="shared" si="56"/>
        <v/>
      </c>
      <c r="J1056" s="228" t="str">
        <f t="shared" si="57"/>
        <v/>
      </c>
    </row>
    <row r="1057" spans="6:10">
      <c r="F1057" s="198" t="s">
        <v>1006</v>
      </c>
      <c r="G1057" s="198" t="s">
        <v>1006</v>
      </c>
      <c r="H1057" s="198" t="str">
        <f t="shared" si="56"/>
        <v/>
      </c>
      <c r="J1057" s="228" t="str">
        <f t="shared" si="57"/>
        <v/>
      </c>
    </row>
    <row r="1058" spans="6:10">
      <c r="F1058" s="198" t="s">
        <v>1006</v>
      </c>
      <c r="G1058" s="198" t="s">
        <v>1006</v>
      </c>
      <c r="H1058" s="198" t="str">
        <f t="shared" si="56"/>
        <v/>
      </c>
      <c r="J1058" s="228" t="str">
        <f t="shared" si="57"/>
        <v/>
      </c>
    </row>
    <row r="1059" spans="6:10">
      <c r="F1059" s="198" t="s">
        <v>1006</v>
      </c>
      <c r="G1059" s="198" t="s">
        <v>1006</v>
      </c>
      <c r="H1059" s="198" t="str">
        <f t="shared" si="56"/>
        <v/>
      </c>
      <c r="J1059" s="228" t="str">
        <f t="shared" si="57"/>
        <v/>
      </c>
    </row>
    <row r="1060" spans="6:10">
      <c r="F1060" s="198" t="s">
        <v>1006</v>
      </c>
      <c r="G1060" s="198" t="s">
        <v>1006</v>
      </c>
      <c r="H1060" s="198" t="str">
        <f t="shared" si="56"/>
        <v/>
      </c>
      <c r="J1060" s="228" t="str">
        <f t="shared" si="57"/>
        <v/>
      </c>
    </row>
    <row r="1061" spans="6:10">
      <c r="F1061" s="198" t="s">
        <v>1006</v>
      </c>
      <c r="G1061" s="198" t="s">
        <v>1006</v>
      </c>
      <c r="H1061" s="198" t="str">
        <f t="shared" si="56"/>
        <v/>
      </c>
      <c r="J1061" s="228" t="str">
        <f t="shared" si="57"/>
        <v/>
      </c>
    </row>
    <row r="1062" spans="6:10">
      <c r="F1062" s="198" t="s">
        <v>1006</v>
      </c>
      <c r="G1062" s="198" t="s">
        <v>1006</v>
      </c>
      <c r="H1062" s="198" t="str">
        <f t="shared" si="56"/>
        <v/>
      </c>
      <c r="J1062" s="228" t="str">
        <f t="shared" si="57"/>
        <v/>
      </c>
    </row>
    <row r="1063" spans="6:10">
      <c r="F1063" s="198" t="s">
        <v>1006</v>
      </c>
      <c r="G1063" s="198" t="s">
        <v>1006</v>
      </c>
      <c r="H1063" s="198" t="str">
        <f t="shared" si="56"/>
        <v/>
      </c>
      <c r="J1063" s="228" t="str">
        <f t="shared" si="57"/>
        <v/>
      </c>
    </row>
    <row r="1064" spans="6:10">
      <c r="F1064" s="198" t="s">
        <v>1006</v>
      </c>
      <c r="G1064" s="198" t="s">
        <v>1006</v>
      </c>
      <c r="H1064" s="198" t="str">
        <f t="shared" si="56"/>
        <v/>
      </c>
      <c r="J1064" s="228" t="str">
        <f t="shared" si="57"/>
        <v/>
      </c>
    </row>
    <row r="1065" spans="6:10">
      <c r="F1065" s="198" t="s">
        <v>1006</v>
      </c>
      <c r="G1065" s="198" t="s">
        <v>1006</v>
      </c>
      <c r="H1065" s="198" t="str">
        <f t="shared" si="56"/>
        <v/>
      </c>
      <c r="J1065" s="228" t="str">
        <f t="shared" si="57"/>
        <v/>
      </c>
    </row>
    <row r="1066" spans="6:10">
      <c r="F1066" s="198" t="s">
        <v>1006</v>
      </c>
      <c r="G1066" s="198" t="s">
        <v>1006</v>
      </c>
      <c r="H1066" s="198" t="str">
        <f t="shared" si="56"/>
        <v/>
      </c>
      <c r="J1066" s="228" t="str">
        <f t="shared" si="57"/>
        <v/>
      </c>
    </row>
    <row r="1067" spans="6:10">
      <c r="F1067" s="198" t="s">
        <v>1006</v>
      </c>
      <c r="G1067" s="198" t="s">
        <v>1006</v>
      </c>
      <c r="H1067" s="198" t="str">
        <f t="shared" si="56"/>
        <v/>
      </c>
      <c r="J1067" s="228" t="str">
        <f t="shared" si="57"/>
        <v/>
      </c>
    </row>
    <row r="1068" spans="6:10">
      <c r="F1068" s="198" t="s">
        <v>1006</v>
      </c>
      <c r="G1068" s="198" t="s">
        <v>1006</v>
      </c>
      <c r="H1068" s="198" t="str">
        <f t="shared" si="56"/>
        <v/>
      </c>
      <c r="J1068" s="228" t="str">
        <f t="shared" si="57"/>
        <v/>
      </c>
    </row>
    <row r="1069" spans="6:10">
      <c r="F1069" s="198" t="s">
        <v>1006</v>
      </c>
      <c r="G1069" s="198" t="s">
        <v>1006</v>
      </c>
      <c r="H1069" s="198" t="str">
        <f t="shared" si="56"/>
        <v/>
      </c>
      <c r="J1069" s="228" t="str">
        <f t="shared" si="57"/>
        <v/>
      </c>
    </row>
    <row r="1070" spans="6:10">
      <c r="F1070" s="198" t="s">
        <v>1006</v>
      </c>
      <c r="G1070" s="198" t="s">
        <v>1006</v>
      </c>
      <c r="H1070" s="198" t="str">
        <f t="shared" si="56"/>
        <v/>
      </c>
      <c r="J1070" s="228" t="str">
        <f t="shared" si="57"/>
        <v/>
      </c>
    </row>
    <row r="1071" spans="6:10">
      <c r="F1071" s="198" t="s">
        <v>1006</v>
      </c>
      <c r="G1071" s="198" t="s">
        <v>1006</v>
      </c>
      <c r="H1071" s="198" t="str">
        <f t="shared" si="56"/>
        <v/>
      </c>
      <c r="J1071" s="228" t="str">
        <f t="shared" si="57"/>
        <v/>
      </c>
    </row>
    <row r="1072" spans="6:10">
      <c r="F1072" s="198" t="s">
        <v>1006</v>
      </c>
      <c r="G1072" s="198" t="s">
        <v>1006</v>
      </c>
      <c r="H1072" s="198" t="str">
        <f t="shared" si="56"/>
        <v/>
      </c>
      <c r="J1072" s="228" t="str">
        <f t="shared" si="57"/>
        <v/>
      </c>
    </row>
    <row r="1073" spans="6:10">
      <c r="F1073" s="198" t="s">
        <v>1006</v>
      </c>
      <c r="G1073" s="198" t="s">
        <v>1006</v>
      </c>
      <c r="H1073" s="198" t="str">
        <f t="shared" si="56"/>
        <v/>
      </c>
      <c r="J1073" s="228" t="str">
        <f t="shared" si="57"/>
        <v/>
      </c>
    </row>
    <row r="1074" spans="6:10">
      <c r="F1074" s="198" t="s">
        <v>1006</v>
      </c>
      <c r="G1074" s="198" t="s">
        <v>1006</v>
      </c>
      <c r="H1074" s="198" t="str">
        <f t="shared" si="56"/>
        <v/>
      </c>
      <c r="J1074" s="228" t="str">
        <f t="shared" si="57"/>
        <v/>
      </c>
    </row>
    <row r="1075" spans="6:10">
      <c r="F1075" s="198" t="s">
        <v>1006</v>
      </c>
      <c r="G1075" s="198" t="s">
        <v>1006</v>
      </c>
      <c r="H1075" s="198" t="str">
        <f t="shared" si="56"/>
        <v/>
      </c>
      <c r="J1075" s="228" t="str">
        <f t="shared" si="57"/>
        <v/>
      </c>
    </row>
    <row r="1076" spans="6:10">
      <c r="F1076" s="198" t="s">
        <v>1006</v>
      </c>
      <c r="G1076" s="198" t="s">
        <v>1006</v>
      </c>
      <c r="H1076" s="198" t="str">
        <f t="shared" si="56"/>
        <v/>
      </c>
      <c r="J1076" s="228" t="str">
        <f t="shared" si="57"/>
        <v/>
      </c>
    </row>
    <row r="1077" spans="6:10">
      <c r="F1077" s="198" t="s">
        <v>1006</v>
      </c>
      <c r="G1077" s="198" t="s">
        <v>1006</v>
      </c>
      <c r="H1077" s="198" t="str">
        <f t="shared" si="56"/>
        <v/>
      </c>
      <c r="J1077" s="228" t="str">
        <f t="shared" si="57"/>
        <v/>
      </c>
    </row>
    <row r="1078" spans="6:10">
      <c r="F1078" s="198" t="s">
        <v>1006</v>
      </c>
      <c r="G1078" s="198" t="s">
        <v>1006</v>
      </c>
      <c r="H1078" s="198" t="str">
        <f t="shared" si="56"/>
        <v/>
      </c>
      <c r="J1078" s="228" t="str">
        <f t="shared" si="57"/>
        <v/>
      </c>
    </row>
    <row r="1079" spans="6:10">
      <c r="F1079" s="198" t="s">
        <v>1006</v>
      </c>
      <c r="G1079" s="198" t="s">
        <v>1006</v>
      </c>
      <c r="H1079" s="198" t="str">
        <f t="shared" si="56"/>
        <v/>
      </c>
      <c r="J1079" s="228" t="str">
        <f t="shared" si="57"/>
        <v/>
      </c>
    </row>
    <row r="1080" spans="6:10">
      <c r="F1080" s="198" t="s">
        <v>1006</v>
      </c>
      <c r="G1080" s="198" t="s">
        <v>1006</v>
      </c>
      <c r="H1080" s="198" t="str">
        <f t="shared" si="56"/>
        <v/>
      </c>
      <c r="J1080" s="228" t="str">
        <f t="shared" si="57"/>
        <v/>
      </c>
    </row>
    <row r="1081" spans="6:10">
      <c r="F1081" s="198" t="s">
        <v>1006</v>
      </c>
      <c r="G1081" s="198" t="s">
        <v>1006</v>
      </c>
      <c r="H1081" s="198" t="str">
        <f t="shared" si="56"/>
        <v/>
      </c>
      <c r="J1081" s="228" t="str">
        <f t="shared" si="57"/>
        <v/>
      </c>
    </row>
    <row r="1082" spans="6:10">
      <c r="F1082" s="198" t="s">
        <v>1006</v>
      </c>
      <c r="G1082" s="198" t="s">
        <v>1006</v>
      </c>
      <c r="H1082" s="198" t="str">
        <f t="shared" si="56"/>
        <v/>
      </c>
      <c r="J1082" s="228" t="str">
        <f t="shared" si="57"/>
        <v/>
      </c>
    </row>
    <row r="1083" spans="6:10">
      <c r="F1083" s="198" t="s">
        <v>1006</v>
      </c>
      <c r="G1083" s="198" t="s">
        <v>1006</v>
      </c>
      <c r="H1083" s="198" t="str">
        <f t="shared" si="56"/>
        <v/>
      </c>
      <c r="J1083" s="228" t="str">
        <f t="shared" si="57"/>
        <v/>
      </c>
    </row>
    <row r="1084" spans="6:10">
      <c r="F1084" s="198" t="s">
        <v>1006</v>
      </c>
      <c r="G1084" s="198" t="s">
        <v>1006</v>
      </c>
      <c r="H1084" s="198" t="str">
        <f t="shared" si="56"/>
        <v/>
      </c>
      <c r="J1084" s="228" t="str">
        <f t="shared" si="57"/>
        <v/>
      </c>
    </row>
    <row r="1085" spans="6:10">
      <c r="F1085" s="198" t="s">
        <v>1006</v>
      </c>
      <c r="G1085" s="198" t="s">
        <v>1006</v>
      </c>
      <c r="H1085" s="198" t="str">
        <f t="shared" si="56"/>
        <v/>
      </c>
      <c r="J1085" s="228" t="str">
        <f t="shared" si="57"/>
        <v/>
      </c>
    </row>
    <row r="1086" spans="6:10">
      <c r="F1086" s="198" t="s">
        <v>1006</v>
      </c>
      <c r="G1086" s="198" t="s">
        <v>1006</v>
      </c>
      <c r="H1086" s="198" t="str">
        <f t="shared" si="56"/>
        <v/>
      </c>
      <c r="J1086" s="228" t="str">
        <f t="shared" si="57"/>
        <v/>
      </c>
    </row>
    <row r="1087" spans="6:10">
      <c r="F1087" s="198" t="s">
        <v>1006</v>
      </c>
      <c r="G1087" s="198" t="s">
        <v>1006</v>
      </c>
      <c r="H1087" s="198" t="str">
        <f t="shared" si="56"/>
        <v/>
      </c>
      <c r="J1087" s="228" t="str">
        <f t="shared" si="57"/>
        <v/>
      </c>
    </row>
    <row r="1088" spans="6:10">
      <c r="F1088" s="198" t="s">
        <v>1006</v>
      </c>
      <c r="G1088" s="198" t="s">
        <v>1006</v>
      </c>
      <c r="H1088" s="198" t="str">
        <f t="shared" si="56"/>
        <v/>
      </c>
      <c r="J1088" s="228" t="str">
        <f t="shared" si="57"/>
        <v/>
      </c>
    </row>
    <row r="1089" spans="6:10">
      <c r="F1089" s="198" t="s">
        <v>1006</v>
      </c>
      <c r="G1089" s="198" t="s">
        <v>1006</v>
      </c>
      <c r="H1089" s="198" t="str">
        <f t="shared" si="56"/>
        <v/>
      </c>
      <c r="J1089" s="228" t="str">
        <f t="shared" si="57"/>
        <v/>
      </c>
    </row>
    <row r="1090" spans="6:10">
      <c r="F1090" s="198" t="s">
        <v>1006</v>
      </c>
      <c r="G1090" s="198" t="s">
        <v>1006</v>
      </c>
      <c r="H1090" s="198" t="str">
        <f t="shared" si="56"/>
        <v/>
      </c>
      <c r="J1090" s="228" t="str">
        <f t="shared" si="57"/>
        <v/>
      </c>
    </row>
    <row r="1091" spans="6:10">
      <c r="F1091" s="198" t="s">
        <v>1006</v>
      </c>
      <c r="G1091" s="198" t="s">
        <v>1006</v>
      </c>
      <c r="H1091" s="198" t="str">
        <f t="shared" si="56"/>
        <v/>
      </c>
      <c r="J1091" s="228" t="str">
        <f t="shared" si="57"/>
        <v/>
      </c>
    </row>
    <row r="1092" spans="6:10">
      <c r="F1092" s="198" t="s">
        <v>1006</v>
      </c>
      <c r="G1092" s="198" t="s">
        <v>1006</v>
      </c>
      <c r="H1092" s="198" t="str">
        <f t="shared" ref="H1092:H1155" si="58">IF(F1092&lt;G1092,F1092,G1092)</f>
        <v/>
      </c>
      <c r="J1092" s="228" t="str">
        <f t="shared" ref="J1092:J1155" si="59">IF(DAY(B1092)=15,MID(A1092,1,1),"")</f>
        <v/>
      </c>
    </row>
    <row r="1093" spans="6:10">
      <c r="F1093" s="198" t="s">
        <v>1006</v>
      </c>
      <c r="G1093" s="198" t="s">
        <v>1006</v>
      </c>
      <c r="H1093" s="198" t="str">
        <f t="shared" si="58"/>
        <v/>
      </c>
      <c r="J1093" s="228" t="str">
        <f t="shared" si="59"/>
        <v/>
      </c>
    </row>
    <row r="1094" spans="6:10">
      <c r="F1094" s="198" t="s">
        <v>1006</v>
      </c>
      <c r="G1094" s="198" t="s">
        <v>1006</v>
      </c>
      <c r="H1094" s="198" t="str">
        <f t="shared" si="58"/>
        <v/>
      </c>
      <c r="J1094" s="228" t="str">
        <f t="shared" si="59"/>
        <v/>
      </c>
    </row>
    <row r="1095" spans="6:10">
      <c r="F1095" s="198" t="s">
        <v>1006</v>
      </c>
      <c r="G1095" s="198" t="s">
        <v>1006</v>
      </c>
      <c r="H1095" s="198" t="str">
        <f t="shared" si="58"/>
        <v/>
      </c>
      <c r="J1095" s="228" t="str">
        <f t="shared" si="59"/>
        <v/>
      </c>
    </row>
    <row r="1096" spans="6:10">
      <c r="F1096" s="198" t="s">
        <v>1006</v>
      </c>
      <c r="G1096" s="198" t="s">
        <v>1006</v>
      </c>
      <c r="H1096" s="198" t="str">
        <f t="shared" si="58"/>
        <v/>
      </c>
      <c r="J1096" s="228" t="str">
        <f t="shared" si="59"/>
        <v/>
      </c>
    </row>
    <row r="1097" spans="6:10">
      <c r="F1097" s="198" t="s">
        <v>1006</v>
      </c>
      <c r="G1097" s="198" t="s">
        <v>1006</v>
      </c>
      <c r="H1097" s="198" t="str">
        <f t="shared" si="58"/>
        <v/>
      </c>
      <c r="J1097" s="228" t="str">
        <f t="shared" si="59"/>
        <v/>
      </c>
    </row>
    <row r="1098" spans="6:10">
      <c r="F1098" s="198" t="s">
        <v>1006</v>
      </c>
      <c r="G1098" s="198" t="s">
        <v>1006</v>
      </c>
      <c r="H1098" s="198" t="str">
        <f t="shared" si="58"/>
        <v/>
      </c>
      <c r="J1098" s="228" t="str">
        <f t="shared" si="59"/>
        <v/>
      </c>
    </row>
    <row r="1099" spans="6:10">
      <c r="F1099" s="198" t="s">
        <v>1006</v>
      </c>
      <c r="G1099" s="198" t="s">
        <v>1006</v>
      </c>
      <c r="H1099" s="198" t="str">
        <f t="shared" si="58"/>
        <v/>
      </c>
      <c r="J1099" s="228" t="str">
        <f t="shared" si="59"/>
        <v/>
      </c>
    </row>
    <row r="1100" spans="6:10">
      <c r="F1100" s="198" t="s">
        <v>1006</v>
      </c>
      <c r="G1100" s="198" t="s">
        <v>1006</v>
      </c>
      <c r="H1100" s="198" t="str">
        <f t="shared" si="58"/>
        <v/>
      </c>
      <c r="J1100" s="228" t="str">
        <f t="shared" si="59"/>
        <v/>
      </c>
    </row>
    <row r="1101" spans="6:10">
      <c r="F1101" s="198" t="s">
        <v>1006</v>
      </c>
      <c r="G1101" s="198" t="s">
        <v>1006</v>
      </c>
      <c r="H1101" s="198" t="str">
        <f t="shared" si="58"/>
        <v/>
      </c>
      <c r="J1101" s="228" t="str">
        <f t="shared" si="59"/>
        <v/>
      </c>
    </row>
    <row r="1102" spans="6:10">
      <c r="F1102" s="198" t="s">
        <v>1006</v>
      </c>
      <c r="G1102" s="198" t="s">
        <v>1006</v>
      </c>
      <c r="H1102" s="198" t="str">
        <f t="shared" si="58"/>
        <v/>
      </c>
      <c r="J1102" s="228" t="str">
        <f t="shared" si="59"/>
        <v/>
      </c>
    </row>
    <row r="1103" spans="6:10">
      <c r="F1103" s="198" t="s">
        <v>1006</v>
      </c>
      <c r="G1103" s="198" t="s">
        <v>1006</v>
      </c>
      <c r="H1103" s="198" t="str">
        <f t="shared" si="58"/>
        <v/>
      </c>
      <c r="J1103" s="228" t="str">
        <f t="shared" si="59"/>
        <v/>
      </c>
    </row>
    <row r="1104" spans="6:10">
      <c r="F1104" s="198" t="s">
        <v>1006</v>
      </c>
      <c r="G1104" s="198" t="s">
        <v>1006</v>
      </c>
      <c r="H1104" s="198" t="str">
        <f t="shared" si="58"/>
        <v/>
      </c>
      <c r="J1104" s="228" t="str">
        <f t="shared" si="59"/>
        <v/>
      </c>
    </row>
    <row r="1105" spans="6:10">
      <c r="F1105" s="198" t="s">
        <v>1006</v>
      </c>
      <c r="G1105" s="198" t="s">
        <v>1006</v>
      </c>
      <c r="H1105" s="198" t="str">
        <f t="shared" si="58"/>
        <v/>
      </c>
      <c r="J1105" s="228" t="str">
        <f t="shared" si="59"/>
        <v/>
      </c>
    </row>
    <row r="1106" spans="6:10">
      <c r="F1106" s="198" t="s">
        <v>1006</v>
      </c>
      <c r="G1106" s="198" t="s">
        <v>1006</v>
      </c>
      <c r="H1106" s="198" t="str">
        <f t="shared" si="58"/>
        <v/>
      </c>
      <c r="J1106" s="228" t="str">
        <f t="shared" si="59"/>
        <v/>
      </c>
    </row>
    <row r="1107" spans="6:10">
      <c r="F1107" s="198" t="s">
        <v>1006</v>
      </c>
      <c r="G1107" s="198" t="s">
        <v>1006</v>
      </c>
      <c r="H1107" s="198" t="str">
        <f t="shared" si="58"/>
        <v/>
      </c>
      <c r="J1107" s="228" t="str">
        <f t="shared" si="59"/>
        <v/>
      </c>
    </row>
    <row r="1108" spans="6:10">
      <c r="F1108" s="198" t="s">
        <v>1006</v>
      </c>
      <c r="G1108" s="198" t="s">
        <v>1006</v>
      </c>
      <c r="H1108" s="198" t="str">
        <f t="shared" si="58"/>
        <v/>
      </c>
      <c r="J1108" s="228" t="str">
        <f t="shared" si="59"/>
        <v/>
      </c>
    </row>
    <row r="1109" spans="6:10">
      <c r="F1109" s="198" t="s">
        <v>1006</v>
      </c>
      <c r="G1109" s="198" t="s">
        <v>1006</v>
      </c>
      <c r="H1109" s="198" t="str">
        <f t="shared" si="58"/>
        <v/>
      </c>
      <c r="J1109" s="228" t="str">
        <f t="shared" si="59"/>
        <v/>
      </c>
    </row>
    <row r="1110" spans="6:10">
      <c r="F1110" s="198" t="s">
        <v>1006</v>
      </c>
      <c r="G1110" s="198" t="s">
        <v>1006</v>
      </c>
      <c r="H1110" s="198" t="str">
        <f t="shared" si="58"/>
        <v/>
      </c>
      <c r="J1110" s="228" t="str">
        <f t="shared" si="59"/>
        <v/>
      </c>
    </row>
    <row r="1111" spans="6:10">
      <c r="F1111" s="198" t="s">
        <v>1006</v>
      </c>
      <c r="G1111" s="198" t="s">
        <v>1006</v>
      </c>
      <c r="H1111" s="198" t="str">
        <f t="shared" si="58"/>
        <v/>
      </c>
      <c r="J1111" s="228" t="str">
        <f t="shared" si="59"/>
        <v/>
      </c>
    </row>
    <row r="1112" spans="6:10">
      <c r="F1112" s="198" t="s">
        <v>1006</v>
      </c>
      <c r="G1112" s="198" t="s">
        <v>1006</v>
      </c>
      <c r="H1112" s="198" t="str">
        <f t="shared" si="58"/>
        <v/>
      </c>
      <c r="J1112" s="228" t="str">
        <f t="shared" si="59"/>
        <v/>
      </c>
    </row>
    <row r="1113" spans="6:10">
      <c r="F1113" s="198" t="s">
        <v>1006</v>
      </c>
      <c r="G1113" s="198" t="s">
        <v>1006</v>
      </c>
      <c r="H1113" s="198" t="str">
        <f t="shared" si="58"/>
        <v/>
      </c>
      <c r="J1113" s="228" t="str">
        <f t="shared" si="59"/>
        <v/>
      </c>
    </row>
    <row r="1114" spans="6:10">
      <c r="F1114" s="198" t="s">
        <v>1006</v>
      </c>
      <c r="G1114" s="198" t="s">
        <v>1006</v>
      </c>
      <c r="H1114" s="198" t="str">
        <f t="shared" si="58"/>
        <v/>
      </c>
      <c r="J1114" s="228" t="str">
        <f t="shared" si="59"/>
        <v/>
      </c>
    </row>
    <row r="1115" spans="6:10">
      <c r="F1115" s="198" t="s">
        <v>1006</v>
      </c>
      <c r="G1115" s="198" t="s">
        <v>1006</v>
      </c>
      <c r="H1115" s="198" t="str">
        <f t="shared" si="58"/>
        <v/>
      </c>
      <c r="J1115" s="228" t="str">
        <f t="shared" si="59"/>
        <v/>
      </c>
    </row>
    <row r="1116" spans="6:10">
      <c r="F1116" s="198" t="s">
        <v>1006</v>
      </c>
      <c r="G1116" s="198" t="s">
        <v>1006</v>
      </c>
      <c r="H1116" s="198" t="str">
        <f t="shared" si="58"/>
        <v/>
      </c>
      <c r="J1116" s="228" t="str">
        <f t="shared" si="59"/>
        <v/>
      </c>
    </row>
    <row r="1117" spans="6:10">
      <c r="F1117" s="198" t="s">
        <v>1006</v>
      </c>
      <c r="G1117" s="198" t="s">
        <v>1006</v>
      </c>
      <c r="H1117" s="198" t="str">
        <f t="shared" si="58"/>
        <v/>
      </c>
      <c r="J1117" s="228" t="str">
        <f t="shared" si="59"/>
        <v/>
      </c>
    </row>
    <row r="1118" spans="6:10">
      <c r="F1118" s="198" t="s">
        <v>1006</v>
      </c>
      <c r="G1118" s="198" t="s">
        <v>1006</v>
      </c>
      <c r="H1118" s="198" t="str">
        <f t="shared" si="58"/>
        <v/>
      </c>
      <c r="J1118" s="228" t="str">
        <f t="shared" si="59"/>
        <v/>
      </c>
    </row>
    <row r="1119" spans="6:10">
      <c r="F1119" s="198" t="s">
        <v>1006</v>
      </c>
      <c r="G1119" s="198" t="s">
        <v>1006</v>
      </c>
      <c r="H1119" s="198" t="str">
        <f t="shared" si="58"/>
        <v/>
      </c>
      <c r="J1119" s="228" t="str">
        <f t="shared" si="59"/>
        <v/>
      </c>
    </row>
    <row r="1120" spans="6:10">
      <c r="F1120" s="198" t="s">
        <v>1006</v>
      </c>
      <c r="G1120" s="198" t="s">
        <v>1006</v>
      </c>
      <c r="H1120" s="198" t="str">
        <f t="shared" si="58"/>
        <v/>
      </c>
      <c r="J1120" s="228" t="str">
        <f t="shared" si="59"/>
        <v/>
      </c>
    </row>
    <row r="1121" spans="6:10">
      <c r="F1121" s="198" t="s">
        <v>1006</v>
      </c>
      <c r="G1121" s="198" t="s">
        <v>1006</v>
      </c>
      <c r="H1121" s="198" t="str">
        <f t="shared" si="58"/>
        <v/>
      </c>
      <c r="J1121" s="228" t="str">
        <f t="shared" si="59"/>
        <v/>
      </c>
    </row>
    <row r="1122" spans="6:10">
      <c r="F1122" s="198" t="s">
        <v>1006</v>
      </c>
      <c r="G1122" s="198" t="s">
        <v>1006</v>
      </c>
      <c r="H1122" s="198" t="str">
        <f t="shared" si="58"/>
        <v/>
      </c>
      <c r="J1122" s="228" t="str">
        <f t="shared" si="59"/>
        <v/>
      </c>
    </row>
    <row r="1123" spans="6:10">
      <c r="F1123" s="198" t="s">
        <v>1006</v>
      </c>
      <c r="G1123" s="198" t="s">
        <v>1006</v>
      </c>
      <c r="H1123" s="198" t="str">
        <f t="shared" si="58"/>
        <v/>
      </c>
      <c r="J1123" s="228" t="str">
        <f t="shared" si="59"/>
        <v/>
      </c>
    </row>
    <row r="1124" spans="6:10">
      <c r="F1124" s="198" t="s">
        <v>1006</v>
      </c>
      <c r="G1124" s="198" t="s">
        <v>1006</v>
      </c>
      <c r="H1124" s="198" t="str">
        <f t="shared" si="58"/>
        <v/>
      </c>
      <c r="J1124" s="228" t="str">
        <f t="shared" si="59"/>
        <v/>
      </c>
    </row>
    <row r="1125" spans="6:10">
      <c r="F1125" s="198" t="s">
        <v>1006</v>
      </c>
      <c r="G1125" s="198" t="s">
        <v>1006</v>
      </c>
      <c r="H1125" s="198" t="str">
        <f t="shared" si="58"/>
        <v/>
      </c>
      <c r="J1125" s="228" t="str">
        <f t="shared" si="59"/>
        <v/>
      </c>
    </row>
    <row r="1126" spans="6:10">
      <c r="F1126" s="198" t="s">
        <v>1006</v>
      </c>
      <c r="G1126" s="198" t="s">
        <v>1006</v>
      </c>
      <c r="H1126" s="198" t="str">
        <f t="shared" si="58"/>
        <v/>
      </c>
      <c r="J1126" s="228" t="str">
        <f t="shared" si="59"/>
        <v/>
      </c>
    </row>
    <row r="1127" spans="6:10">
      <c r="F1127" s="198" t="s">
        <v>1006</v>
      </c>
      <c r="G1127" s="198" t="s">
        <v>1006</v>
      </c>
      <c r="H1127" s="198" t="str">
        <f t="shared" si="58"/>
        <v/>
      </c>
      <c r="J1127" s="228" t="str">
        <f t="shared" si="59"/>
        <v/>
      </c>
    </row>
    <row r="1128" spans="6:10">
      <c r="F1128" s="198" t="s">
        <v>1006</v>
      </c>
      <c r="G1128" s="198" t="s">
        <v>1006</v>
      </c>
      <c r="H1128" s="198" t="str">
        <f t="shared" si="58"/>
        <v/>
      </c>
      <c r="J1128" s="228" t="str">
        <f t="shared" si="59"/>
        <v/>
      </c>
    </row>
    <row r="1129" spans="6:10">
      <c r="F1129" s="198" t="s">
        <v>1006</v>
      </c>
      <c r="G1129" s="198" t="s">
        <v>1006</v>
      </c>
      <c r="H1129" s="198" t="str">
        <f t="shared" si="58"/>
        <v/>
      </c>
      <c r="J1129" s="228" t="str">
        <f t="shared" si="59"/>
        <v/>
      </c>
    </row>
    <row r="1130" spans="6:10">
      <c r="F1130" s="198" t="s">
        <v>1006</v>
      </c>
      <c r="G1130" s="198" t="s">
        <v>1006</v>
      </c>
      <c r="H1130" s="198" t="str">
        <f t="shared" si="58"/>
        <v/>
      </c>
      <c r="J1130" s="228" t="str">
        <f t="shared" si="59"/>
        <v/>
      </c>
    </row>
    <row r="1131" spans="6:10">
      <c r="F1131" s="198" t="s">
        <v>1006</v>
      </c>
      <c r="G1131" s="198" t="s">
        <v>1006</v>
      </c>
      <c r="H1131" s="198" t="str">
        <f t="shared" si="58"/>
        <v/>
      </c>
      <c r="J1131" s="228" t="str">
        <f t="shared" si="59"/>
        <v/>
      </c>
    </row>
    <row r="1132" spans="6:10">
      <c r="F1132" s="198" t="s">
        <v>1006</v>
      </c>
      <c r="G1132" s="198" t="s">
        <v>1006</v>
      </c>
      <c r="H1132" s="198" t="str">
        <f t="shared" si="58"/>
        <v/>
      </c>
      <c r="J1132" s="228" t="str">
        <f t="shared" si="59"/>
        <v/>
      </c>
    </row>
    <row r="1133" spans="6:10">
      <c r="F1133" s="198" t="s">
        <v>1006</v>
      </c>
      <c r="G1133" s="198" t="s">
        <v>1006</v>
      </c>
      <c r="H1133" s="198" t="str">
        <f t="shared" si="58"/>
        <v/>
      </c>
      <c r="J1133" s="228" t="str">
        <f t="shared" si="59"/>
        <v/>
      </c>
    </row>
    <row r="1134" spans="6:10">
      <c r="F1134" s="198" t="s">
        <v>1006</v>
      </c>
      <c r="G1134" s="198" t="s">
        <v>1006</v>
      </c>
      <c r="H1134" s="198" t="str">
        <f t="shared" si="58"/>
        <v/>
      </c>
      <c r="J1134" s="228" t="str">
        <f t="shared" si="59"/>
        <v/>
      </c>
    </row>
    <row r="1135" spans="6:10">
      <c r="F1135" s="198" t="s">
        <v>1006</v>
      </c>
      <c r="G1135" s="198" t="s">
        <v>1006</v>
      </c>
      <c r="H1135" s="198" t="str">
        <f t="shared" si="58"/>
        <v/>
      </c>
      <c r="J1135" s="228" t="str">
        <f t="shared" si="59"/>
        <v/>
      </c>
    </row>
    <row r="1136" spans="6:10">
      <c r="F1136" s="198" t="s">
        <v>1006</v>
      </c>
      <c r="G1136" s="198" t="s">
        <v>1006</v>
      </c>
      <c r="H1136" s="198" t="str">
        <f t="shared" si="58"/>
        <v/>
      </c>
      <c r="J1136" s="228" t="str">
        <f t="shared" si="59"/>
        <v/>
      </c>
    </row>
    <row r="1137" spans="6:10">
      <c r="F1137" s="198" t="s">
        <v>1006</v>
      </c>
      <c r="G1137" s="198" t="s">
        <v>1006</v>
      </c>
      <c r="H1137" s="198" t="str">
        <f t="shared" si="58"/>
        <v/>
      </c>
      <c r="J1137" s="228" t="str">
        <f t="shared" si="59"/>
        <v/>
      </c>
    </row>
    <row r="1138" spans="6:10">
      <c r="F1138" s="198" t="s">
        <v>1006</v>
      </c>
      <c r="G1138" s="198" t="s">
        <v>1006</v>
      </c>
      <c r="H1138" s="198" t="str">
        <f t="shared" si="58"/>
        <v/>
      </c>
      <c r="J1138" s="228" t="str">
        <f t="shared" si="59"/>
        <v/>
      </c>
    </row>
    <row r="1139" spans="6:10">
      <c r="F1139" s="198" t="s">
        <v>1006</v>
      </c>
      <c r="G1139" s="198" t="s">
        <v>1006</v>
      </c>
      <c r="H1139" s="198" t="str">
        <f t="shared" si="58"/>
        <v/>
      </c>
      <c r="J1139" s="228" t="str">
        <f t="shared" si="59"/>
        <v/>
      </c>
    </row>
    <row r="1140" spans="6:10">
      <c r="F1140" s="198" t="s">
        <v>1006</v>
      </c>
      <c r="G1140" s="198" t="s">
        <v>1006</v>
      </c>
      <c r="H1140" s="198" t="str">
        <f t="shared" si="58"/>
        <v/>
      </c>
      <c r="J1140" s="228" t="str">
        <f t="shared" si="59"/>
        <v/>
      </c>
    </row>
    <row r="1141" spans="6:10">
      <c r="F1141" s="198" t="s">
        <v>1006</v>
      </c>
      <c r="G1141" s="198" t="s">
        <v>1006</v>
      </c>
      <c r="H1141" s="198" t="str">
        <f t="shared" si="58"/>
        <v/>
      </c>
      <c r="J1141" s="228" t="str">
        <f t="shared" si="59"/>
        <v/>
      </c>
    </row>
    <row r="1142" spans="6:10">
      <c r="F1142" s="198" t="s">
        <v>1006</v>
      </c>
      <c r="G1142" s="198" t="s">
        <v>1006</v>
      </c>
      <c r="H1142" s="198" t="str">
        <f t="shared" si="58"/>
        <v/>
      </c>
      <c r="J1142" s="228" t="str">
        <f t="shared" si="59"/>
        <v/>
      </c>
    </row>
    <row r="1143" spans="6:10">
      <c r="F1143" s="198" t="s">
        <v>1006</v>
      </c>
      <c r="G1143" s="198" t="s">
        <v>1006</v>
      </c>
      <c r="H1143" s="198" t="str">
        <f t="shared" si="58"/>
        <v/>
      </c>
      <c r="J1143" s="228" t="str">
        <f t="shared" si="59"/>
        <v/>
      </c>
    </row>
    <row r="1144" spans="6:10">
      <c r="F1144" s="198" t="s">
        <v>1006</v>
      </c>
      <c r="G1144" s="198" t="s">
        <v>1006</v>
      </c>
      <c r="H1144" s="198" t="str">
        <f t="shared" si="58"/>
        <v/>
      </c>
      <c r="J1144" s="228" t="str">
        <f t="shared" si="59"/>
        <v/>
      </c>
    </row>
    <row r="1145" spans="6:10">
      <c r="F1145" s="198" t="s">
        <v>1006</v>
      </c>
      <c r="G1145" s="198" t="s">
        <v>1006</v>
      </c>
      <c r="H1145" s="198" t="str">
        <f t="shared" si="58"/>
        <v/>
      </c>
      <c r="J1145" s="228" t="str">
        <f t="shared" si="59"/>
        <v/>
      </c>
    </row>
    <row r="1146" spans="6:10">
      <c r="F1146" s="198" t="s">
        <v>1006</v>
      </c>
      <c r="G1146" s="198" t="s">
        <v>1006</v>
      </c>
      <c r="H1146" s="198" t="str">
        <f t="shared" si="58"/>
        <v/>
      </c>
      <c r="J1146" s="228" t="str">
        <f t="shared" si="59"/>
        <v/>
      </c>
    </row>
    <row r="1147" spans="6:10">
      <c r="F1147" s="198" t="s">
        <v>1006</v>
      </c>
      <c r="G1147" s="198" t="s">
        <v>1006</v>
      </c>
      <c r="H1147" s="198" t="str">
        <f t="shared" si="58"/>
        <v/>
      </c>
      <c r="J1147" s="228" t="str">
        <f t="shared" si="59"/>
        <v/>
      </c>
    </row>
    <row r="1148" spans="6:10">
      <c r="F1148" s="198" t="s">
        <v>1006</v>
      </c>
      <c r="G1148" s="198" t="s">
        <v>1006</v>
      </c>
      <c r="H1148" s="198" t="str">
        <f t="shared" si="58"/>
        <v/>
      </c>
      <c r="J1148" s="228" t="str">
        <f t="shared" si="59"/>
        <v/>
      </c>
    </row>
    <row r="1149" spans="6:10">
      <c r="F1149" s="198" t="s">
        <v>1006</v>
      </c>
      <c r="G1149" s="198" t="s">
        <v>1006</v>
      </c>
      <c r="H1149" s="198" t="str">
        <f t="shared" si="58"/>
        <v/>
      </c>
      <c r="J1149" s="228" t="str">
        <f t="shared" si="59"/>
        <v/>
      </c>
    </row>
    <row r="1150" spans="6:10">
      <c r="F1150" s="198" t="s">
        <v>1006</v>
      </c>
      <c r="G1150" s="198" t="s">
        <v>1006</v>
      </c>
      <c r="H1150" s="198" t="str">
        <f t="shared" si="58"/>
        <v/>
      </c>
      <c r="J1150" s="228" t="str">
        <f t="shared" si="59"/>
        <v/>
      </c>
    </row>
    <row r="1151" spans="6:10">
      <c r="F1151" s="198" t="s">
        <v>1006</v>
      </c>
      <c r="G1151" s="198" t="s">
        <v>1006</v>
      </c>
      <c r="H1151" s="198" t="str">
        <f t="shared" si="58"/>
        <v/>
      </c>
      <c r="J1151" s="228" t="str">
        <f t="shared" si="59"/>
        <v/>
      </c>
    </row>
    <row r="1152" spans="6:10">
      <c r="F1152" s="198" t="s">
        <v>1006</v>
      </c>
      <c r="G1152" s="198" t="s">
        <v>1006</v>
      </c>
      <c r="H1152" s="198" t="str">
        <f t="shared" si="58"/>
        <v/>
      </c>
      <c r="J1152" s="228" t="str">
        <f t="shared" si="59"/>
        <v/>
      </c>
    </row>
    <row r="1153" spans="6:10">
      <c r="F1153" s="198" t="s">
        <v>1006</v>
      </c>
      <c r="G1153" s="198" t="s">
        <v>1006</v>
      </c>
      <c r="H1153" s="198" t="str">
        <f t="shared" si="58"/>
        <v/>
      </c>
      <c r="J1153" s="228" t="str">
        <f t="shared" si="59"/>
        <v/>
      </c>
    </row>
    <row r="1154" spans="6:10">
      <c r="F1154" s="198" t="s">
        <v>1006</v>
      </c>
      <c r="G1154" s="198" t="s">
        <v>1006</v>
      </c>
      <c r="H1154" s="198" t="str">
        <f t="shared" si="58"/>
        <v/>
      </c>
      <c r="J1154" s="228" t="str">
        <f t="shared" si="59"/>
        <v/>
      </c>
    </row>
    <row r="1155" spans="6:10">
      <c r="F1155" s="198" t="s">
        <v>1006</v>
      </c>
      <c r="G1155" s="198" t="s">
        <v>1006</v>
      </c>
      <c r="H1155" s="198" t="str">
        <f t="shared" si="58"/>
        <v/>
      </c>
      <c r="J1155" s="228" t="str">
        <f t="shared" si="59"/>
        <v/>
      </c>
    </row>
    <row r="1156" spans="6:10">
      <c r="F1156" s="198" t="s">
        <v>1006</v>
      </c>
      <c r="G1156" s="198" t="s">
        <v>1006</v>
      </c>
      <c r="H1156" s="198" t="str">
        <f t="shared" ref="H1156:H1209" si="60">IF(F1156&lt;G1156,F1156,G1156)</f>
        <v/>
      </c>
      <c r="J1156" s="228" t="str">
        <f t="shared" ref="J1156:J1209" si="61">IF(DAY(B1156)=15,MID(A1156,1,1),"")</f>
        <v/>
      </c>
    </row>
    <row r="1157" spans="6:10">
      <c r="F1157" s="198" t="s">
        <v>1006</v>
      </c>
      <c r="G1157" s="198" t="s">
        <v>1006</v>
      </c>
      <c r="H1157" s="198" t="str">
        <f t="shared" si="60"/>
        <v/>
      </c>
      <c r="J1157" s="228" t="str">
        <f t="shared" si="61"/>
        <v/>
      </c>
    </row>
    <row r="1158" spans="6:10">
      <c r="F1158" s="198" t="s">
        <v>1006</v>
      </c>
      <c r="G1158" s="198" t="s">
        <v>1006</v>
      </c>
      <c r="H1158" s="198" t="str">
        <f t="shared" si="60"/>
        <v/>
      </c>
      <c r="J1158" s="228" t="str">
        <f t="shared" si="61"/>
        <v/>
      </c>
    </row>
    <row r="1159" spans="6:10">
      <c r="F1159" s="198" t="s">
        <v>1006</v>
      </c>
      <c r="G1159" s="198" t="s">
        <v>1006</v>
      </c>
      <c r="H1159" s="198" t="str">
        <f t="shared" si="60"/>
        <v/>
      </c>
      <c r="J1159" s="228" t="str">
        <f t="shared" si="61"/>
        <v/>
      </c>
    </row>
    <row r="1160" spans="6:10">
      <c r="F1160" s="198" t="s">
        <v>1006</v>
      </c>
      <c r="G1160" s="198" t="s">
        <v>1006</v>
      </c>
      <c r="H1160" s="198" t="str">
        <f t="shared" si="60"/>
        <v/>
      </c>
      <c r="J1160" s="228" t="str">
        <f t="shared" si="61"/>
        <v/>
      </c>
    </row>
    <row r="1161" spans="6:10">
      <c r="F1161" s="198" t="s">
        <v>1006</v>
      </c>
      <c r="G1161" s="198" t="s">
        <v>1006</v>
      </c>
      <c r="H1161" s="198" t="str">
        <f t="shared" si="60"/>
        <v/>
      </c>
      <c r="J1161" s="228" t="str">
        <f t="shared" si="61"/>
        <v/>
      </c>
    </row>
    <row r="1162" spans="6:10">
      <c r="F1162" s="198" t="s">
        <v>1006</v>
      </c>
      <c r="G1162" s="198" t="s">
        <v>1006</v>
      </c>
      <c r="H1162" s="198" t="str">
        <f t="shared" si="60"/>
        <v/>
      </c>
      <c r="J1162" s="228" t="str">
        <f t="shared" si="61"/>
        <v/>
      </c>
    </row>
    <row r="1163" spans="6:10">
      <c r="F1163" s="198" t="s">
        <v>1006</v>
      </c>
      <c r="G1163" s="198" t="s">
        <v>1006</v>
      </c>
      <c r="H1163" s="198" t="str">
        <f t="shared" si="60"/>
        <v/>
      </c>
      <c r="J1163" s="228" t="str">
        <f t="shared" si="61"/>
        <v/>
      </c>
    </row>
    <row r="1164" spans="6:10">
      <c r="F1164" s="198" t="s">
        <v>1006</v>
      </c>
      <c r="G1164" s="198" t="s">
        <v>1006</v>
      </c>
      <c r="H1164" s="198" t="str">
        <f t="shared" si="60"/>
        <v/>
      </c>
      <c r="J1164" s="228" t="str">
        <f t="shared" si="61"/>
        <v/>
      </c>
    </row>
    <row r="1165" spans="6:10">
      <c r="F1165" s="198" t="s">
        <v>1006</v>
      </c>
      <c r="G1165" s="198" t="s">
        <v>1006</v>
      </c>
      <c r="H1165" s="198" t="str">
        <f t="shared" si="60"/>
        <v/>
      </c>
      <c r="J1165" s="228" t="str">
        <f t="shared" si="61"/>
        <v/>
      </c>
    </row>
    <row r="1166" spans="6:10">
      <c r="F1166" s="198" t="s">
        <v>1006</v>
      </c>
      <c r="G1166" s="198" t="s">
        <v>1006</v>
      </c>
      <c r="H1166" s="198" t="str">
        <f t="shared" si="60"/>
        <v/>
      </c>
      <c r="J1166" s="228" t="str">
        <f t="shared" si="61"/>
        <v/>
      </c>
    </row>
    <row r="1167" spans="6:10">
      <c r="F1167" s="198" t="s">
        <v>1006</v>
      </c>
      <c r="G1167" s="198" t="s">
        <v>1006</v>
      </c>
      <c r="H1167" s="198" t="str">
        <f t="shared" si="60"/>
        <v/>
      </c>
      <c r="J1167" s="228" t="str">
        <f t="shared" si="61"/>
        <v/>
      </c>
    </row>
    <row r="1168" spans="6:10">
      <c r="F1168" s="198" t="s">
        <v>1006</v>
      </c>
      <c r="G1168" s="198" t="s">
        <v>1006</v>
      </c>
      <c r="H1168" s="198" t="str">
        <f t="shared" si="60"/>
        <v/>
      </c>
      <c r="J1168" s="228" t="str">
        <f t="shared" si="61"/>
        <v/>
      </c>
    </row>
    <row r="1169" spans="6:10">
      <c r="F1169" s="198" t="s">
        <v>1006</v>
      </c>
      <c r="G1169" s="198" t="s">
        <v>1006</v>
      </c>
      <c r="H1169" s="198" t="str">
        <f t="shared" si="60"/>
        <v/>
      </c>
      <c r="J1169" s="228" t="str">
        <f t="shared" si="61"/>
        <v/>
      </c>
    </row>
    <row r="1170" spans="6:10">
      <c r="F1170" s="198" t="s">
        <v>1006</v>
      </c>
      <c r="G1170" s="198" t="s">
        <v>1006</v>
      </c>
      <c r="H1170" s="198" t="str">
        <f t="shared" si="60"/>
        <v/>
      </c>
      <c r="J1170" s="228" t="str">
        <f t="shared" si="61"/>
        <v/>
      </c>
    </row>
    <row r="1171" spans="6:10">
      <c r="F1171" s="198" t="s">
        <v>1006</v>
      </c>
      <c r="G1171" s="198" t="s">
        <v>1006</v>
      </c>
      <c r="H1171" s="198" t="str">
        <f t="shared" si="60"/>
        <v/>
      </c>
      <c r="J1171" s="228" t="str">
        <f t="shared" si="61"/>
        <v/>
      </c>
    </row>
    <row r="1172" spans="6:10">
      <c r="F1172" s="198" t="s">
        <v>1006</v>
      </c>
      <c r="G1172" s="198" t="s">
        <v>1006</v>
      </c>
      <c r="H1172" s="198" t="str">
        <f t="shared" si="60"/>
        <v/>
      </c>
      <c r="J1172" s="228" t="str">
        <f t="shared" si="61"/>
        <v/>
      </c>
    </row>
    <row r="1173" spans="6:10">
      <c r="F1173" s="198" t="s">
        <v>1006</v>
      </c>
      <c r="G1173" s="198" t="s">
        <v>1006</v>
      </c>
      <c r="H1173" s="198" t="str">
        <f t="shared" si="60"/>
        <v/>
      </c>
      <c r="J1173" s="228" t="str">
        <f t="shared" si="61"/>
        <v/>
      </c>
    </row>
    <row r="1174" spans="6:10">
      <c r="F1174" s="198" t="s">
        <v>1006</v>
      </c>
      <c r="G1174" s="198" t="s">
        <v>1006</v>
      </c>
      <c r="H1174" s="198" t="str">
        <f t="shared" si="60"/>
        <v/>
      </c>
      <c r="J1174" s="228" t="str">
        <f t="shared" si="61"/>
        <v/>
      </c>
    </row>
    <row r="1175" spans="6:10">
      <c r="F1175" s="198" t="s">
        <v>1006</v>
      </c>
      <c r="G1175" s="198" t="s">
        <v>1006</v>
      </c>
      <c r="H1175" s="198" t="str">
        <f t="shared" si="60"/>
        <v/>
      </c>
      <c r="J1175" s="228" t="str">
        <f t="shared" si="61"/>
        <v/>
      </c>
    </row>
    <row r="1176" spans="6:10">
      <c r="F1176" s="198" t="s">
        <v>1006</v>
      </c>
      <c r="G1176" s="198" t="s">
        <v>1006</v>
      </c>
      <c r="H1176" s="198" t="str">
        <f t="shared" si="60"/>
        <v/>
      </c>
      <c r="J1176" s="228" t="str">
        <f t="shared" si="61"/>
        <v/>
      </c>
    </row>
    <row r="1177" spans="6:10">
      <c r="F1177" s="198" t="s">
        <v>1006</v>
      </c>
      <c r="G1177" s="198" t="s">
        <v>1006</v>
      </c>
      <c r="H1177" s="198" t="str">
        <f t="shared" si="60"/>
        <v/>
      </c>
      <c r="J1177" s="228" t="str">
        <f t="shared" si="61"/>
        <v/>
      </c>
    </row>
    <row r="1178" spans="6:10">
      <c r="F1178" s="198" t="s">
        <v>1006</v>
      </c>
      <c r="G1178" s="198" t="s">
        <v>1006</v>
      </c>
      <c r="H1178" s="198" t="str">
        <f t="shared" si="60"/>
        <v/>
      </c>
      <c r="J1178" s="228" t="str">
        <f t="shared" si="61"/>
        <v/>
      </c>
    </row>
    <row r="1179" spans="6:10">
      <c r="F1179" s="198" t="s">
        <v>1006</v>
      </c>
      <c r="G1179" s="198" t="s">
        <v>1006</v>
      </c>
      <c r="H1179" s="198" t="str">
        <f t="shared" si="60"/>
        <v/>
      </c>
      <c r="J1179" s="228" t="str">
        <f t="shared" si="61"/>
        <v/>
      </c>
    </row>
    <row r="1180" spans="6:10">
      <c r="F1180" s="198" t="s">
        <v>1006</v>
      </c>
      <c r="G1180" s="198" t="s">
        <v>1006</v>
      </c>
      <c r="H1180" s="198" t="str">
        <f t="shared" si="60"/>
        <v/>
      </c>
      <c r="J1180" s="228" t="str">
        <f t="shared" si="61"/>
        <v/>
      </c>
    </row>
    <row r="1181" spans="6:10">
      <c r="F1181" s="198" t="s">
        <v>1006</v>
      </c>
      <c r="G1181" s="198" t="s">
        <v>1006</v>
      </c>
      <c r="H1181" s="198" t="str">
        <f t="shared" si="60"/>
        <v/>
      </c>
      <c r="J1181" s="228" t="str">
        <f t="shared" si="61"/>
        <v/>
      </c>
    </row>
    <row r="1182" spans="6:10">
      <c r="F1182" s="198" t="s">
        <v>1006</v>
      </c>
      <c r="G1182" s="198" t="s">
        <v>1006</v>
      </c>
      <c r="H1182" s="198" t="str">
        <f t="shared" si="60"/>
        <v/>
      </c>
      <c r="J1182" s="228" t="str">
        <f t="shared" si="61"/>
        <v/>
      </c>
    </row>
    <row r="1183" spans="6:10">
      <c r="F1183" s="198" t="s">
        <v>1006</v>
      </c>
      <c r="G1183" s="198" t="s">
        <v>1006</v>
      </c>
      <c r="H1183" s="198" t="str">
        <f t="shared" si="60"/>
        <v/>
      </c>
      <c r="J1183" s="228" t="str">
        <f t="shared" si="61"/>
        <v/>
      </c>
    </row>
    <row r="1184" spans="6:10">
      <c r="F1184" s="198" t="s">
        <v>1006</v>
      </c>
      <c r="G1184" s="198" t="s">
        <v>1006</v>
      </c>
      <c r="H1184" s="198" t="str">
        <f t="shared" si="60"/>
        <v/>
      </c>
      <c r="J1184" s="228" t="str">
        <f t="shared" si="61"/>
        <v/>
      </c>
    </row>
    <row r="1185" spans="6:10">
      <c r="F1185" s="198" t="s">
        <v>1006</v>
      </c>
      <c r="G1185" s="198" t="s">
        <v>1006</v>
      </c>
      <c r="H1185" s="198" t="str">
        <f t="shared" si="60"/>
        <v/>
      </c>
      <c r="J1185" s="228" t="str">
        <f t="shared" si="61"/>
        <v/>
      </c>
    </row>
    <row r="1186" spans="6:10">
      <c r="F1186" s="198" t="s">
        <v>1006</v>
      </c>
      <c r="G1186" s="198" t="s">
        <v>1006</v>
      </c>
      <c r="H1186" s="198" t="str">
        <f t="shared" si="60"/>
        <v/>
      </c>
      <c r="J1186" s="228" t="str">
        <f t="shared" si="61"/>
        <v/>
      </c>
    </row>
    <row r="1187" spans="6:10">
      <c r="F1187" s="198" t="s">
        <v>1006</v>
      </c>
      <c r="G1187" s="198" t="s">
        <v>1006</v>
      </c>
      <c r="H1187" s="198" t="str">
        <f t="shared" si="60"/>
        <v/>
      </c>
      <c r="J1187" s="228" t="str">
        <f t="shared" si="61"/>
        <v/>
      </c>
    </row>
    <row r="1188" spans="6:10">
      <c r="F1188" s="198" t="s">
        <v>1006</v>
      </c>
      <c r="G1188" s="198" t="s">
        <v>1006</v>
      </c>
      <c r="H1188" s="198" t="str">
        <f t="shared" si="60"/>
        <v/>
      </c>
      <c r="J1188" s="228" t="str">
        <f t="shared" si="61"/>
        <v/>
      </c>
    </row>
    <row r="1189" spans="6:10">
      <c r="F1189" s="198" t="s">
        <v>1006</v>
      </c>
      <c r="G1189" s="198" t="s">
        <v>1006</v>
      </c>
      <c r="H1189" s="198" t="str">
        <f t="shared" si="60"/>
        <v/>
      </c>
      <c r="J1189" s="228" t="str">
        <f t="shared" si="61"/>
        <v/>
      </c>
    </row>
    <row r="1190" spans="6:10">
      <c r="F1190" s="198" t="s">
        <v>1006</v>
      </c>
      <c r="G1190" s="198" t="s">
        <v>1006</v>
      </c>
      <c r="H1190" s="198" t="str">
        <f t="shared" si="60"/>
        <v/>
      </c>
      <c r="J1190" s="228" t="str">
        <f t="shared" si="61"/>
        <v/>
      </c>
    </row>
    <row r="1191" spans="6:10">
      <c r="F1191" s="198" t="s">
        <v>1006</v>
      </c>
      <c r="G1191" s="198" t="s">
        <v>1006</v>
      </c>
      <c r="H1191" s="198" t="str">
        <f t="shared" si="60"/>
        <v/>
      </c>
      <c r="J1191" s="228" t="str">
        <f t="shared" si="61"/>
        <v/>
      </c>
    </row>
    <row r="1192" spans="6:10">
      <c r="F1192" s="198" t="s">
        <v>1006</v>
      </c>
      <c r="G1192" s="198" t="s">
        <v>1006</v>
      </c>
      <c r="H1192" s="198" t="str">
        <f t="shared" si="60"/>
        <v/>
      </c>
      <c r="J1192" s="228" t="str">
        <f t="shared" si="61"/>
        <v/>
      </c>
    </row>
    <row r="1193" spans="6:10">
      <c r="F1193" s="198" t="s">
        <v>1006</v>
      </c>
      <c r="G1193" s="198" t="s">
        <v>1006</v>
      </c>
      <c r="H1193" s="198" t="str">
        <f t="shared" si="60"/>
        <v/>
      </c>
      <c r="J1193" s="228" t="str">
        <f t="shared" si="61"/>
        <v/>
      </c>
    </row>
    <row r="1194" spans="6:10">
      <c r="F1194" s="198" t="s">
        <v>1006</v>
      </c>
      <c r="G1194" s="198" t="s">
        <v>1006</v>
      </c>
      <c r="H1194" s="198" t="str">
        <f t="shared" si="60"/>
        <v/>
      </c>
      <c r="J1194" s="228" t="str">
        <f t="shared" si="61"/>
        <v/>
      </c>
    </row>
    <row r="1195" spans="6:10">
      <c r="F1195" s="198" t="s">
        <v>1006</v>
      </c>
      <c r="G1195" s="198" t="s">
        <v>1006</v>
      </c>
      <c r="H1195" s="198" t="str">
        <f t="shared" si="60"/>
        <v/>
      </c>
      <c r="J1195" s="228" t="str">
        <f t="shared" si="61"/>
        <v/>
      </c>
    </row>
    <row r="1196" spans="6:10">
      <c r="F1196" s="198" t="s">
        <v>1006</v>
      </c>
      <c r="G1196" s="198" t="s">
        <v>1006</v>
      </c>
      <c r="H1196" s="198" t="str">
        <f t="shared" si="60"/>
        <v/>
      </c>
      <c r="J1196" s="228" t="str">
        <f t="shared" si="61"/>
        <v/>
      </c>
    </row>
    <row r="1197" spans="6:10">
      <c r="F1197" s="198" t="s">
        <v>1006</v>
      </c>
      <c r="G1197" s="198" t="s">
        <v>1006</v>
      </c>
      <c r="H1197" s="198" t="str">
        <f t="shared" si="60"/>
        <v/>
      </c>
      <c r="J1197" s="228" t="str">
        <f t="shared" si="61"/>
        <v/>
      </c>
    </row>
    <row r="1198" spans="6:10">
      <c r="F1198" s="198" t="s">
        <v>1006</v>
      </c>
      <c r="G1198" s="198" t="s">
        <v>1006</v>
      </c>
      <c r="H1198" s="198" t="str">
        <f t="shared" si="60"/>
        <v/>
      </c>
      <c r="J1198" s="228" t="str">
        <f t="shared" si="61"/>
        <v/>
      </c>
    </row>
    <row r="1199" spans="6:10">
      <c r="F1199" s="198" t="s">
        <v>1006</v>
      </c>
      <c r="G1199" s="198" t="s">
        <v>1006</v>
      </c>
      <c r="H1199" s="198" t="str">
        <f t="shared" si="60"/>
        <v/>
      </c>
      <c r="J1199" s="228" t="str">
        <f t="shared" si="61"/>
        <v/>
      </c>
    </row>
    <row r="1200" spans="6:10">
      <c r="F1200" s="198" t="s">
        <v>1006</v>
      </c>
      <c r="G1200" s="198" t="s">
        <v>1006</v>
      </c>
      <c r="H1200" s="198" t="str">
        <f t="shared" si="60"/>
        <v/>
      </c>
      <c r="J1200" s="228" t="str">
        <f t="shared" si="61"/>
        <v/>
      </c>
    </row>
    <row r="1201" spans="6:10">
      <c r="F1201" s="198" t="s">
        <v>1006</v>
      </c>
      <c r="G1201" s="198" t="s">
        <v>1006</v>
      </c>
      <c r="H1201" s="198" t="str">
        <f t="shared" si="60"/>
        <v/>
      </c>
      <c r="J1201" s="228" t="str">
        <f t="shared" si="61"/>
        <v/>
      </c>
    </row>
    <row r="1202" spans="6:10">
      <c r="F1202" s="198" t="s">
        <v>1006</v>
      </c>
      <c r="G1202" s="198" t="s">
        <v>1006</v>
      </c>
      <c r="H1202" s="198" t="str">
        <f t="shared" si="60"/>
        <v/>
      </c>
      <c r="J1202" s="228" t="str">
        <f t="shared" si="61"/>
        <v/>
      </c>
    </row>
    <row r="1203" spans="6:10">
      <c r="F1203" s="198" t="s">
        <v>1006</v>
      </c>
      <c r="G1203" s="198" t="s">
        <v>1006</v>
      </c>
      <c r="H1203" s="198" t="str">
        <f t="shared" si="60"/>
        <v/>
      </c>
      <c r="J1203" s="228" t="str">
        <f t="shared" si="61"/>
        <v/>
      </c>
    </row>
    <row r="1204" spans="6:10">
      <c r="F1204" s="198" t="s">
        <v>1006</v>
      </c>
      <c r="G1204" s="198" t="s">
        <v>1006</v>
      </c>
      <c r="H1204" s="198" t="str">
        <f t="shared" si="60"/>
        <v/>
      </c>
      <c r="J1204" s="228" t="str">
        <f t="shared" si="61"/>
        <v/>
      </c>
    </row>
    <row r="1205" spans="6:10">
      <c r="F1205" s="198" t="s">
        <v>1006</v>
      </c>
      <c r="G1205" s="198" t="s">
        <v>1006</v>
      </c>
      <c r="H1205" s="198" t="str">
        <f t="shared" si="60"/>
        <v/>
      </c>
      <c r="J1205" s="228" t="str">
        <f t="shared" si="61"/>
        <v/>
      </c>
    </row>
    <row r="1206" spans="6:10">
      <c r="F1206" s="198" t="s">
        <v>1006</v>
      </c>
      <c r="G1206" s="198" t="s">
        <v>1006</v>
      </c>
      <c r="H1206" s="198" t="str">
        <f t="shared" si="60"/>
        <v/>
      </c>
      <c r="J1206" s="228" t="str">
        <f t="shared" si="61"/>
        <v/>
      </c>
    </row>
    <row r="1207" spans="6:10">
      <c r="F1207" s="198" t="s">
        <v>1006</v>
      </c>
      <c r="G1207" s="198" t="s">
        <v>1006</v>
      </c>
      <c r="H1207" s="198" t="str">
        <f t="shared" si="60"/>
        <v/>
      </c>
      <c r="J1207" s="228" t="str">
        <f t="shared" si="61"/>
        <v/>
      </c>
    </row>
    <row r="1208" spans="6:10">
      <c r="F1208" s="198" t="s">
        <v>1006</v>
      </c>
      <c r="G1208" s="198" t="s">
        <v>1006</v>
      </c>
      <c r="H1208" s="198" t="str">
        <f t="shared" si="60"/>
        <v/>
      </c>
      <c r="J1208" s="228" t="str">
        <f t="shared" si="61"/>
        <v/>
      </c>
    </row>
    <row r="1209" spans="6:10">
      <c r="F1209" s="198" t="s">
        <v>1006</v>
      </c>
      <c r="G1209" s="198" t="s">
        <v>1006</v>
      </c>
      <c r="H1209" s="198" t="str">
        <f t="shared" si="60"/>
        <v/>
      </c>
      <c r="J1209" s="228" t="str">
        <f t="shared" si="61"/>
        <v/>
      </c>
    </row>
  </sheetData>
  <sortState ref="O3:Q398">
    <sortCondition ref="O3:O398"/>
  </sortState>
  <mergeCells count="1">
    <mergeCell ref="F2:H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49"/>
  <sheetViews>
    <sheetView showGridLines="0" showRowColHeaders="0" topLeftCell="A344" workbookViewId="0">
      <selection activeCell="K205" sqref="K205"/>
    </sheetView>
  </sheetViews>
  <sheetFormatPr baseColWidth="10" defaultRowHeight="11.25"/>
  <cols>
    <col min="1" max="2" width="11.42578125" style="181"/>
    <col min="3" max="3" width="13.42578125" style="181" bestFit="1" customWidth="1"/>
    <col min="4" max="9" width="11.42578125" style="181"/>
    <col min="10" max="10" width="11.42578125" style="264"/>
    <col min="11" max="16384" width="11.42578125" style="181"/>
  </cols>
  <sheetData>
    <row r="2" spans="2:11">
      <c r="B2" s="160" t="s">
        <v>26</v>
      </c>
    </row>
    <row r="3" spans="2:11" ht="22.5">
      <c r="B3" s="265" t="s">
        <v>30</v>
      </c>
      <c r="C3" s="266" t="s">
        <v>31</v>
      </c>
      <c r="D3" s="288" t="s">
        <v>434</v>
      </c>
      <c r="E3" s="267" t="s">
        <v>32</v>
      </c>
      <c r="F3" s="267" t="s">
        <v>33</v>
      </c>
      <c r="G3" s="266" t="s">
        <v>34</v>
      </c>
      <c r="H3" s="268"/>
      <c r="I3" s="269"/>
      <c r="J3" s="270"/>
    </row>
    <row r="4" spans="2:11">
      <c r="B4" s="271" t="s">
        <v>596</v>
      </c>
      <c r="C4" s="272" t="s">
        <v>597</v>
      </c>
      <c r="D4" s="273"/>
      <c r="E4" s="274">
        <f>Dat_02!F3</f>
        <v>3.8168256220002226</v>
      </c>
      <c r="F4" s="274">
        <f>Dat_02!G3</f>
        <v>18.209588883748388</v>
      </c>
      <c r="G4" s="274">
        <f>Dat_02!H3</f>
        <v>3.8168256220002226</v>
      </c>
      <c r="I4" s="275" t="str">
        <f>Dat_02!J3</f>
        <v/>
      </c>
      <c r="J4" s="287" t="str">
        <f>IF(Dat_02!K3=0,"",Dat_02!K3)</f>
        <v/>
      </c>
      <c r="K4" s="181" t="str">
        <f>IF(J4=0,"",J4)</f>
        <v/>
      </c>
    </row>
    <row r="5" spans="2:11">
      <c r="B5" s="273"/>
      <c r="C5" s="272" t="s">
        <v>598</v>
      </c>
      <c r="D5" s="273"/>
      <c r="E5" s="274">
        <f>Dat_02!F4</f>
        <v>1.4380734259992314</v>
      </c>
      <c r="F5" s="274">
        <f>Dat_02!G4</f>
        <v>18.209588883748388</v>
      </c>
      <c r="G5" s="274">
        <f>Dat_02!H4</f>
        <v>1.4380734259992314</v>
      </c>
      <c r="I5" s="275" t="str">
        <f>Dat_02!J4</f>
        <v/>
      </c>
      <c r="J5" s="287" t="str">
        <f>IF(Dat_02!K4=0,"",Dat_02!K4)</f>
        <v/>
      </c>
    </row>
    <row r="6" spans="2:11">
      <c r="B6" s="271"/>
      <c r="C6" s="272" t="s">
        <v>599</v>
      </c>
      <c r="D6" s="271"/>
      <c r="E6" s="274">
        <f>Dat_02!F5</f>
        <v>2.975847520000082</v>
      </c>
      <c r="F6" s="274">
        <f>Dat_02!G5</f>
        <v>18.209588883748388</v>
      </c>
      <c r="G6" s="274">
        <f>Dat_02!H5</f>
        <v>2.975847520000082</v>
      </c>
      <c r="I6" s="275" t="str">
        <f>Dat_02!J5</f>
        <v/>
      </c>
      <c r="J6" s="287" t="str">
        <f>IF(Dat_02!K5=0,"",Dat_02!K5)</f>
        <v/>
      </c>
    </row>
    <row r="7" spans="2:11">
      <c r="B7" s="271"/>
      <c r="C7" s="272" t="s">
        <v>600</v>
      </c>
      <c r="D7" s="271"/>
      <c r="E7" s="274">
        <f>Dat_02!F6</f>
        <v>4.1446258560001583</v>
      </c>
      <c r="F7" s="274">
        <f>Dat_02!G6</f>
        <v>18.209588883748388</v>
      </c>
      <c r="G7" s="274">
        <f>Dat_02!H6</f>
        <v>4.1446258560001583</v>
      </c>
      <c r="I7" s="275" t="str">
        <f>Dat_02!J6</f>
        <v/>
      </c>
      <c r="J7" s="287" t="str">
        <f>IF(Dat_02!K6=0,"",Dat_02!K6)</f>
        <v/>
      </c>
    </row>
    <row r="8" spans="2:11">
      <c r="B8" s="271"/>
      <c r="C8" s="272" t="s">
        <v>601</v>
      </c>
      <c r="D8" s="271"/>
      <c r="E8" s="274">
        <f>Dat_02!F7</f>
        <v>14.927450494000192</v>
      </c>
      <c r="F8" s="274">
        <f>Dat_02!G7</f>
        <v>18.209588883748388</v>
      </c>
      <c r="G8" s="274">
        <f>Dat_02!H7</f>
        <v>14.927450494000192</v>
      </c>
      <c r="I8" s="275" t="str">
        <f>Dat_02!J7</f>
        <v/>
      </c>
      <c r="J8" s="287" t="str">
        <f>IF(Dat_02!K7=0,"",Dat_02!K7)</f>
        <v/>
      </c>
    </row>
    <row r="9" spans="2:11">
      <c r="B9" s="271"/>
      <c r="C9" s="272" t="s">
        <v>602</v>
      </c>
      <c r="D9" s="271"/>
      <c r="E9" s="274">
        <f>Dat_02!F8</f>
        <v>21.924414267999925</v>
      </c>
      <c r="F9" s="274">
        <f>Dat_02!G8</f>
        <v>18.209588883748388</v>
      </c>
      <c r="G9" s="274">
        <f>Dat_02!H8</f>
        <v>18.209588883748388</v>
      </c>
      <c r="I9" s="275" t="str">
        <f>Dat_02!J8</f>
        <v/>
      </c>
      <c r="J9" s="287" t="str">
        <f>IF(Dat_02!K8=0,"",Dat_02!K8)</f>
        <v/>
      </c>
    </row>
    <row r="10" spans="2:11">
      <c r="B10" s="271"/>
      <c r="C10" s="272" t="s">
        <v>603</v>
      </c>
      <c r="D10" s="271"/>
      <c r="E10" s="274">
        <f>Dat_02!F9</f>
        <v>4.3516992580000657</v>
      </c>
      <c r="F10" s="274">
        <f>Dat_02!G9</f>
        <v>18.209588883748388</v>
      </c>
      <c r="G10" s="274">
        <f>Dat_02!H9</f>
        <v>4.3516992580000657</v>
      </c>
      <c r="I10" s="275" t="str">
        <f>Dat_02!J9</f>
        <v/>
      </c>
      <c r="J10" s="287" t="str">
        <f>IF(Dat_02!K9=0,"",Dat_02!K9)</f>
        <v/>
      </c>
    </row>
    <row r="11" spans="2:11">
      <c r="B11" s="271"/>
      <c r="C11" s="272" t="s">
        <v>604</v>
      </c>
      <c r="D11" s="271"/>
      <c r="E11" s="274">
        <f>Dat_02!F10</f>
        <v>4.9573860239996579</v>
      </c>
      <c r="F11" s="274">
        <f>Dat_02!G10</f>
        <v>18.209588883748388</v>
      </c>
      <c r="G11" s="274">
        <f>Dat_02!H10</f>
        <v>4.9573860239996579</v>
      </c>
      <c r="I11" s="275" t="str">
        <f>Dat_02!J10</f>
        <v/>
      </c>
      <c r="J11" s="287" t="str">
        <f>IF(Dat_02!K10=0,"",Dat_02!K10)</f>
        <v/>
      </c>
    </row>
    <row r="12" spans="2:11">
      <c r="B12" s="271"/>
      <c r="C12" s="272" t="s">
        <v>605</v>
      </c>
      <c r="D12" s="271"/>
      <c r="E12" s="274">
        <f>Dat_02!F11</f>
        <v>7.6060317239999868</v>
      </c>
      <c r="F12" s="274">
        <f>Dat_02!G11</f>
        <v>18.209588883748388</v>
      </c>
      <c r="G12" s="274">
        <f>Dat_02!H11</f>
        <v>7.6060317239999868</v>
      </c>
      <c r="I12" s="275" t="str">
        <f>Dat_02!J11</f>
        <v/>
      </c>
      <c r="J12" s="287" t="str">
        <f>IF(Dat_02!K11=0,"",Dat_02!K11)</f>
        <v/>
      </c>
    </row>
    <row r="13" spans="2:11">
      <c r="B13" s="271"/>
      <c r="C13" s="272" t="s">
        <v>606</v>
      </c>
      <c r="D13" s="271"/>
      <c r="E13" s="274">
        <f>Dat_02!F12</f>
        <v>11.689617402</v>
      </c>
      <c r="F13" s="274">
        <f>Dat_02!G12</f>
        <v>18.209588883748388</v>
      </c>
      <c r="G13" s="274">
        <f>Dat_02!H12</f>
        <v>11.689617402</v>
      </c>
      <c r="I13" s="275" t="str">
        <f>Dat_02!J12</f>
        <v/>
      </c>
      <c r="J13" s="287" t="str">
        <f>IF(Dat_02!K12=0,"",Dat_02!K12)</f>
        <v/>
      </c>
    </row>
    <row r="14" spans="2:11">
      <c r="B14" s="271"/>
      <c r="C14" s="272" t="s">
        <v>607</v>
      </c>
      <c r="D14" s="271"/>
      <c r="E14" s="274">
        <f>Dat_02!F13</f>
        <v>5.4022796820006693</v>
      </c>
      <c r="F14" s="274">
        <f>Dat_02!G13</f>
        <v>18.209588883748388</v>
      </c>
      <c r="G14" s="274">
        <f>Dat_02!H13</f>
        <v>5.4022796820006693</v>
      </c>
      <c r="I14" s="275" t="str">
        <f>Dat_02!J13</f>
        <v/>
      </c>
      <c r="J14" s="287" t="str">
        <f>IF(Dat_02!K13=0,"",Dat_02!K13)</f>
        <v/>
      </c>
    </row>
    <row r="15" spans="2:11">
      <c r="B15" s="271"/>
      <c r="C15" s="272" t="s">
        <v>608</v>
      </c>
      <c r="D15" s="271"/>
      <c r="E15" s="274">
        <f>Dat_02!F14</f>
        <v>16.487690755999655</v>
      </c>
      <c r="F15" s="274">
        <f>Dat_02!G14</f>
        <v>18.209588883748388</v>
      </c>
      <c r="G15" s="274">
        <f>Dat_02!H14</f>
        <v>16.487690755999655</v>
      </c>
      <c r="I15" s="275" t="str">
        <f>Dat_02!J14</f>
        <v/>
      </c>
      <c r="J15" s="287" t="str">
        <f>IF(Dat_02!K14=0,"",Dat_02!K14)</f>
        <v/>
      </c>
    </row>
    <row r="16" spans="2:11">
      <c r="B16" s="271"/>
      <c r="C16" s="272" t="s">
        <v>609</v>
      </c>
      <c r="D16" s="271"/>
      <c r="E16" s="274">
        <f>Dat_02!F15</f>
        <v>7.0919091539998513</v>
      </c>
      <c r="F16" s="274">
        <f>Dat_02!G15</f>
        <v>18.209588883748388</v>
      </c>
      <c r="G16" s="274">
        <f>Dat_02!H15</f>
        <v>7.0919091539998513</v>
      </c>
      <c r="I16" s="275" t="str">
        <f>Dat_02!J15</f>
        <v/>
      </c>
      <c r="J16" s="287" t="str">
        <f>IF(Dat_02!K15=0,"",Dat_02!K15)</f>
        <v/>
      </c>
    </row>
    <row r="17" spans="2:10">
      <c r="B17" s="271"/>
      <c r="C17" s="272" t="s">
        <v>610</v>
      </c>
      <c r="D17" s="271"/>
      <c r="E17" s="274">
        <f>Dat_02!F16</f>
        <v>3.661566798000119</v>
      </c>
      <c r="F17" s="274">
        <f>Dat_02!G16</f>
        <v>18.209588883748388</v>
      </c>
      <c r="G17" s="274">
        <f>Dat_02!H16</f>
        <v>3.661566798000119</v>
      </c>
      <c r="I17" s="275" t="str">
        <f>Dat_02!J16</f>
        <v/>
      </c>
      <c r="J17" s="287" t="str">
        <f>IF(Dat_02!K16=0,"",Dat_02!K16)</f>
        <v/>
      </c>
    </row>
    <row r="18" spans="2:10">
      <c r="B18" s="271"/>
      <c r="C18" s="272" t="s">
        <v>611</v>
      </c>
      <c r="D18" s="271"/>
      <c r="E18" s="274">
        <f>Dat_02!F17</f>
        <v>10.475100337999793</v>
      </c>
      <c r="F18" s="274">
        <f>Dat_02!G17</f>
        <v>18.209588883748388</v>
      </c>
      <c r="G18" s="274">
        <f>Dat_02!H17</f>
        <v>10.475100337999793</v>
      </c>
      <c r="I18" s="275" t="str">
        <f>Dat_02!J17</f>
        <v>A</v>
      </c>
      <c r="J18" s="287">
        <f>IF(Dat_02!K17=0,"",Dat_02!K17)</f>
        <v>18.209588883748388</v>
      </c>
    </row>
    <row r="19" spans="2:10">
      <c r="B19" s="271"/>
      <c r="C19" s="272" t="s">
        <v>612</v>
      </c>
      <c r="D19" s="271"/>
      <c r="E19" s="274">
        <f>Dat_02!F18</f>
        <v>3.1593870580005476</v>
      </c>
      <c r="F19" s="274">
        <f>Dat_02!G18</f>
        <v>18.209588883748388</v>
      </c>
      <c r="G19" s="274">
        <f>Dat_02!H18</f>
        <v>3.1593870580005476</v>
      </c>
      <c r="I19" s="275" t="str">
        <f>Dat_02!J18</f>
        <v/>
      </c>
      <c r="J19" s="287" t="str">
        <f>IF(Dat_02!K18=0,"",Dat_02!K18)</f>
        <v/>
      </c>
    </row>
    <row r="20" spans="2:10">
      <c r="B20" s="271"/>
      <c r="C20" s="272" t="s">
        <v>613</v>
      </c>
      <c r="D20" s="271"/>
      <c r="E20" s="274">
        <f>Dat_02!F19</f>
        <v>0.45896479200006796</v>
      </c>
      <c r="F20" s="274">
        <f>Dat_02!G19</f>
        <v>18.209588883748388</v>
      </c>
      <c r="G20" s="274">
        <f>Dat_02!H19</f>
        <v>0.45896479200006796</v>
      </c>
      <c r="I20" s="275" t="str">
        <f>Dat_02!J19</f>
        <v/>
      </c>
      <c r="J20" s="287" t="str">
        <f>IF(Dat_02!K19=0,"",Dat_02!K19)</f>
        <v/>
      </c>
    </row>
    <row r="21" spans="2:10">
      <c r="B21" s="271"/>
      <c r="C21" s="272" t="s">
        <v>614</v>
      </c>
      <c r="D21" s="271"/>
      <c r="E21" s="274">
        <f>Dat_02!F20</f>
        <v>9.4797988639998785</v>
      </c>
      <c r="F21" s="274">
        <f>Dat_02!G20</f>
        <v>18.209588883748388</v>
      </c>
      <c r="G21" s="274">
        <f>Dat_02!H20</f>
        <v>9.4797988639998785</v>
      </c>
      <c r="I21" s="275" t="str">
        <f>Dat_02!J20</f>
        <v/>
      </c>
      <c r="J21" s="287" t="str">
        <f>IF(Dat_02!K20=0,"",Dat_02!K20)</f>
        <v/>
      </c>
    </row>
    <row r="22" spans="2:10">
      <c r="B22" s="271"/>
      <c r="C22" s="272" t="s">
        <v>615</v>
      </c>
      <c r="D22" s="271"/>
      <c r="E22" s="274">
        <f>Dat_02!F21</f>
        <v>7.8928468739995994</v>
      </c>
      <c r="F22" s="274">
        <f>Dat_02!G21</f>
        <v>18.209588883748388</v>
      </c>
      <c r="G22" s="274">
        <f>Dat_02!H21</f>
        <v>7.8928468739995994</v>
      </c>
      <c r="I22" s="275" t="str">
        <f>Dat_02!J21</f>
        <v/>
      </c>
      <c r="J22" s="287" t="str">
        <f>IF(Dat_02!K21=0,"",Dat_02!K21)</f>
        <v/>
      </c>
    </row>
    <row r="23" spans="2:10">
      <c r="B23" s="271"/>
      <c r="C23" s="272" t="s">
        <v>616</v>
      </c>
      <c r="D23" s="271"/>
      <c r="E23" s="274">
        <f>Dat_02!F22</f>
        <v>12.568396003999778</v>
      </c>
      <c r="F23" s="274">
        <f>Dat_02!G22</f>
        <v>18.209588883748388</v>
      </c>
      <c r="G23" s="274">
        <f>Dat_02!H22</f>
        <v>12.568396003999778</v>
      </c>
      <c r="I23" s="275" t="str">
        <f>Dat_02!J22</f>
        <v/>
      </c>
      <c r="J23" s="287" t="str">
        <f>IF(Dat_02!K22=0,"",Dat_02!K22)</f>
        <v/>
      </c>
    </row>
    <row r="24" spans="2:10">
      <c r="B24" s="271"/>
      <c r="C24" s="272" t="s">
        <v>617</v>
      </c>
      <c r="D24" s="271"/>
      <c r="E24" s="274">
        <f>Dat_02!F23</f>
        <v>5.658252427999896</v>
      </c>
      <c r="F24" s="274">
        <f>Dat_02!G23</f>
        <v>18.209588883748388</v>
      </c>
      <c r="G24" s="274">
        <f>Dat_02!H23</f>
        <v>5.658252427999896</v>
      </c>
      <c r="I24" s="275" t="str">
        <f>Dat_02!J23</f>
        <v/>
      </c>
      <c r="J24" s="287" t="str">
        <f>IF(Dat_02!K23=0,"",Dat_02!K23)</f>
        <v/>
      </c>
    </row>
    <row r="25" spans="2:10">
      <c r="B25" s="271"/>
      <c r="C25" s="272" t="s">
        <v>618</v>
      </c>
      <c r="D25" s="271"/>
      <c r="E25" s="274">
        <f>Dat_02!F24</f>
        <v>4.5894439959999778</v>
      </c>
      <c r="F25" s="274">
        <f>Dat_02!G24</f>
        <v>18.209588883748388</v>
      </c>
      <c r="G25" s="274">
        <f>Dat_02!H24</f>
        <v>4.5894439959999778</v>
      </c>
      <c r="I25" s="275" t="str">
        <f>Dat_02!J24</f>
        <v/>
      </c>
      <c r="J25" s="287" t="str">
        <f>IF(Dat_02!K24=0,"",Dat_02!K24)</f>
        <v/>
      </c>
    </row>
    <row r="26" spans="2:10">
      <c r="B26" s="271"/>
      <c r="C26" s="272" t="s">
        <v>619</v>
      </c>
      <c r="D26" s="271"/>
      <c r="E26" s="274">
        <f>Dat_02!F25</f>
        <v>2.9210418860007135</v>
      </c>
      <c r="F26" s="274">
        <f>Dat_02!G25</f>
        <v>18.209588883748388</v>
      </c>
      <c r="G26" s="274">
        <f>Dat_02!H25</f>
        <v>2.9210418860007135</v>
      </c>
      <c r="I26" s="275" t="str">
        <f>Dat_02!J25</f>
        <v/>
      </c>
      <c r="J26" s="287" t="str">
        <f>IF(Dat_02!K25=0,"",Dat_02!K25)</f>
        <v/>
      </c>
    </row>
    <row r="27" spans="2:10">
      <c r="B27" s="271"/>
      <c r="C27" s="272" t="s">
        <v>620</v>
      </c>
      <c r="D27" s="271"/>
      <c r="E27" s="274">
        <f>Dat_02!F26</f>
        <v>4.626087771999992</v>
      </c>
      <c r="F27" s="274">
        <f>Dat_02!G26</f>
        <v>18.209588883748388</v>
      </c>
      <c r="G27" s="274">
        <f>Dat_02!H26</f>
        <v>4.626087771999992</v>
      </c>
      <c r="I27" s="275" t="str">
        <f>Dat_02!J26</f>
        <v/>
      </c>
      <c r="J27" s="287" t="str">
        <f>IF(Dat_02!K26=0,"",Dat_02!K26)</f>
        <v/>
      </c>
    </row>
    <row r="28" spans="2:10">
      <c r="B28" s="271"/>
      <c r="C28" s="272" t="s">
        <v>621</v>
      </c>
      <c r="D28" s="271"/>
      <c r="E28" s="274">
        <f>Dat_02!F27</f>
        <v>6.1624998199996499</v>
      </c>
      <c r="F28" s="274">
        <f>Dat_02!G27</f>
        <v>18.209588883748388</v>
      </c>
      <c r="G28" s="274">
        <f>Dat_02!H27</f>
        <v>6.1624998199996499</v>
      </c>
      <c r="I28" s="275" t="str">
        <f>Dat_02!J27</f>
        <v/>
      </c>
      <c r="J28" s="287" t="str">
        <f>IF(Dat_02!K27=0,"",Dat_02!K27)</f>
        <v/>
      </c>
    </row>
    <row r="29" spans="2:10">
      <c r="B29" s="271"/>
      <c r="C29" s="272" t="s">
        <v>622</v>
      </c>
      <c r="D29" s="271"/>
      <c r="E29" s="274">
        <f>Dat_02!F28</f>
        <v>1.9062715880004926</v>
      </c>
      <c r="F29" s="274">
        <f>Dat_02!G28</f>
        <v>18.209588883748388</v>
      </c>
      <c r="G29" s="274">
        <f>Dat_02!H28</f>
        <v>1.9062715880004926</v>
      </c>
      <c r="I29" s="275" t="str">
        <f>Dat_02!J28</f>
        <v/>
      </c>
      <c r="J29" s="287" t="str">
        <f>IF(Dat_02!K28=0,"",Dat_02!K28)</f>
        <v/>
      </c>
    </row>
    <row r="30" spans="2:10">
      <c r="B30" s="271"/>
      <c r="C30" s="272" t="s">
        <v>623</v>
      </c>
      <c r="D30" s="271"/>
      <c r="E30" s="274">
        <f>Dat_02!F29</f>
        <v>21.763451713999657</v>
      </c>
      <c r="F30" s="274">
        <f>Dat_02!G29</f>
        <v>18.209588883748388</v>
      </c>
      <c r="G30" s="274">
        <f>Dat_02!H29</f>
        <v>18.209588883748388</v>
      </c>
      <c r="I30" s="275" t="str">
        <f>Dat_02!J29</f>
        <v/>
      </c>
      <c r="J30" s="287" t="str">
        <f>IF(Dat_02!K29=0,"",Dat_02!K29)</f>
        <v/>
      </c>
    </row>
    <row r="31" spans="2:10">
      <c r="B31" s="271"/>
      <c r="C31" s="272" t="s">
        <v>624</v>
      </c>
      <c r="D31" s="271"/>
      <c r="E31" s="274">
        <f>Dat_02!F30</f>
        <v>1.9350464739997406</v>
      </c>
      <c r="F31" s="274">
        <f>Dat_02!G30</f>
        <v>18.209588883748388</v>
      </c>
      <c r="G31" s="274">
        <f>Dat_02!H30</f>
        <v>1.9350464739997406</v>
      </c>
      <c r="I31" s="275" t="str">
        <f>Dat_02!J30</f>
        <v/>
      </c>
      <c r="J31" s="287" t="str">
        <f>IF(Dat_02!K30=0,"",Dat_02!K30)</f>
        <v/>
      </c>
    </row>
    <row r="32" spans="2:10">
      <c r="B32" s="271"/>
      <c r="C32" s="272" t="s">
        <v>625</v>
      </c>
      <c r="D32" s="271"/>
      <c r="E32" s="274">
        <f>Dat_02!F31</f>
        <v>20.435218976000037</v>
      </c>
      <c r="F32" s="274">
        <f>Dat_02!G31</f>
        <v>18.209588883748388</v>
      </c>
      <c r="G32" s="274">
        <f>Dat_02!H31</f>
        <v>18.209588883748388</v>
      </c>
      <c r="I32" s="275" t="str">
        <f>Dat_02!J31</f>
        <v/>
      </c>
      <c r="J32" s="287" t="str">
        <f>IF(Dat_02!K31=0,"",Dat_02!K31)</f>
        <v/>
      </c>
    </row>
    <row r="33" spans="2:10">
      <c r="B33" s="271"/>
      <c r="C33" s="272" t="s">
        <v>626</v>
      </c>
      <c r="D33" s="271"/>
      <c r="E33" s="274">
        <f>Dat_02!F32</f>
        <v>17.370576209999832</v>
      </c>
      <c r="F33" s="274">
        <f>Dat_02!G32</f>
        <v>18.209588883748388</v>
      </c>
      <c r="G33" s="274">
        <f>Dat_02!H32</f>
        <v>17.370576209999832</v>
      </c>
      <c r="I33" s="275" t="str">
        <f>Dat_02!J32</f>
        <v/>
      </c>
      <c r="J33" s="287" t="str">
        <f>IF(Dat_02!K32=0,"",Dat_02!K32)</f>
        <v/>
      </c>
    </row>
    <row r="34" spans="2:10">
      <c r="B34" s="271"/>
      <c r="C34" s="272" t="s">
        <v>627</v>
      </c>
      <c r="D34" s="273"/>
      <c r="E34" s="274">
        <f>Dat_02!F33</f>
        <v>10.939863956000016</v>
      </c>
      <c r="F34" s="274">
        <f>Dat_02!G33</f>
        <v>18.209588883748388</v>
      </c>
      <c r="G34" s="274">
        <f>Dat_02!H33</f>
        <v>10.939863956000016</v>
      </c>
      <c r="I34" s="275" t="str">
        <f>Dat_02!J33</f>
        <v/>
      </c>
      <c r="J34" s="287" t="str">
        <f>IF(Dat_02!K33=0,"",Dat_02!K33)</f>
        <v/>
      </c>
    </row>
    <row r="35" spans="2:10">
      <c r="B35" s="273" t="s">
        <v>628</v>
      </c>
      <c r="C35" s="272" t="s">
        <v>629</v>
      </c>
      <c r="D35" s="273"/>
      <c r="E35" s="274">
        <f>Dat_02!F34</f>
        <v>8.206970124000323</v>
      </c>
      <c r="F35" s="274">
        <f>Dat_02!G34</f>
        <v>23.816136999456674</v>
      </c>
      <c r="G35" s="274">
        <f>Dat_02!H34</f>
        <v>8.206970124000323</v>
      </c>
      <c r="I35" s="275" t="str">
        <f>Dat_02!J34</f>
        <v/>
      </c>
      <c r="J35" s="287" t="str">
        <f>IF(Dat_02!K34=0,"",Dat_02!K34)</f>
        <v/>
      </c>
    </row>
    <row r="36" spans="2:10">
      <c r="B36" s="271"/>
      <c r="C36" s="272" t="s">
        <v>630</v>
      </c>
      <c r="D36" s="273"/>
      <c r="E36" s="274">
        <f>Dat_02!F35</f>
        <v>18.052470175999915</v>
      </c>
      <c r="F36" s="274">
        <f>Dat_02!G35</f>
        <v>23.816136999456674</v>
      </c>
      <c r="G36" s="274">
        <f>Dat_02!H35</f>
        <v>18.052470175999915</v>
      </c>
      <c r="I36" s="275" t="str">
        <f>Dat_02!J35</f>
        <v/>
      </c>
      <c r="J36" s="287" t="str">
        <f>IF(Dat_02!K35=0,"",Dat_02!K35)</f>
        <v/>
      </c>
    </row>
    <row r="37" spans="2:10">
      <c r="B37" s="271"/>
      <c r="C37" s="272" t="s">
        <v>631</v>
      </c>
      <c r="D37" s="271"/>
      <c r="E37" s="274">
        <f>Dat_02!F36</f>
        <v>10.010554954000334</v>
      </c>
      <c r="F37" s="274">
        <f>Dat_02!G36</f>
        <v>23.816136999456674</v>
      </c>
      <c r="G37" s="274">
        <f>Dat_02!H36</f>
        <v>10.010554954000334</v>
      </c>
      <c r="I37" s="275" t="str">
        <f>Dat_02!J36</f>
        <v/>
      </c>
      <c r="J37" s="287" t="str">
        <f>IF(Dat_02!K36=0,"",Dat_02!K36)</f>
        <v/>
      </c>
    </row>
    <row r="38" spans="2:10">
      <c r="B38" s="271"/>
      <c r="C38" s="272" t="s">
        <v>632</v>
      </c>
      <c r="D38" s="271"/>
      <c r="E38" s="274">
        <f>Dat_02!F37</f>
        <v>12.942998063999433</v>
      </c>
      <c r="F38" s="274">
        <f>Dat_02!G37</f>
        <v>23.816136999456674</v>
      </c>
      <c r="G38" s="274">
        <f>Dat_02!H37</f>
        <v>12.942998063999433</v>
      </c>
      <c r="I38" s="275" t="str">
        <f>Dat_02!J37</f>
        <v/>
      </c>
      <c r="J38" s="287" t="str">
        <f>IF(Dat_02!K37=0,"",Dat_02!K37)</f>
        <v/>
      </c>
    </row>
    <row r="39" spans="2:10">
      <c r="B39" s="271"/>
      <c r="C39" s="272" t="s">
        <v>633</v>
      </c>
      <c r="D39" s="271"/>
      <c r="E39" s="274">
        <f>Dat_02!F38</f>
        <v>9.2383161040006758</v>
      </c>
      <c r="F39" s="274">
        <f>Dat_02!G38</f>
        <v>23.816136999456674</v>
      </c>
      <c r="G39" s="274">
        <f>Dat_02!H38</f>
        <v>9.2383161040006758</v>
      </c>
      <c r="I39" s="275" t="str">
        <f>Dat_02!J38</f>
        <v/>
      </c>
      <c r="J39" s="287" t="str">
        <f>IF(Dat_02!K38=0,"",Dat_02!K38)</f>
        <v/>
      </c>
    </row>
    <row r="40" spans="2:10">
      <c r="B40" s="271"/>
      <c r="C40" s="272" t="s">
        <v>634</v>
      </c>
      <c r="D40" s="271"/>
      <c r="E40" s="274">
        <f>Dat_02!F39</f>
        <v>5.956177771999533</v>
      </c>
      <c r="F40" s="274">
        <f>Dat_02!G39</f>
        <v>23.816136999456674</v>
      </c>
      <c r="G40" s="274">
        <f>Dat_02!H39</f>
        <v>5.956177771999533</v>
      </c>
      <c r="I40" s="275" t="str">
        <f>Dat_02!J39</f>
        <v/>
      </c>
      <c r="J40" s="287" t="str">
        <f>IF(Dat_02!K39=0,"",Dat_02!K39)</f>
        <v/>
      </c>
    </row>
    <row r="41" spans="2:10">
      <c r="B41" s="271"/>
      <c r="C41" s="272" t="s">
        <v>635</v>
      </c>
      <c r="D41" s="271"/>
      <c r="E41" s="274">
        <f>Dat_02!F40</f>
        <v>8.1167387440001608</v>
      </c>
      <c r="F41" s="274">
        <f>Dat_02!G40</f>
        <v>23.816136999456674</v>
      </c>
      <c r="G41" s="274">
        <f>Dat_02!H40</f>
        <v>8.1167387440001608</v>
      </c>
      <c r="I41" s="275" t="str">
        <f>Dat_02!J40</f>
        <v/>
      </c>
      <c r="J41" s="287" t="str">
        <f>IF(Dat_02!K40=0,"",Dat_02!K40)</f>
        <v/>
      </c>
    </row>
    <row r="42" spans="2:10">
      <c r="B42" s="271"/>
      <c r="C42" s="272" t="s">
        <v>636</v>
      </c>
      <c r="D42" s="271"/>
      <c r="E42" s="274">
        <f>Dat_02!F41</f>
        <v>12.103987826000184</v>
      </c>
      <c r="F42" s="274">
        <f>Dat_02!G41</f>
        <v>23.816136999456674</v>
      </c>
      <c r="G42" s="274">
        <f>Dat_02!H41</f>
        <v>12.103987826000184</v>
      </c>
      <c r="I42" s="275" t="str">
        <f>Dat_02!J41</f>
        <v/>
      </c>
      <c r="J42" s="287" t="str">
        <f>IF(Dat_02!K41=0,"",Dat_02!K41)</f>
        <v/>
      </c>
    </row>
    <row r="43" spans="2:10">
      <c r="B43" s="271"/>
      <c r="C43" s="272" t="s">
        <v>637</v>
      </c>
      <c r="D43" s="271"/>
      <c r="E43" s="274">
        <f>Dat_02!F42</f>
        <v>16.91100437399945</v>
      </c>
      <c r="F43" s="274">
        <f>Dat_02!G42</f>
        <v>23.816136999456674</v>
      </c>
      <c r="G43" s="274">
        <f>Dat_02!H42</f>
        <v>16.91100437399945</v>
      </c>
      <c r="I43" s="275" t="str">
        <f>Dat_02!J42</f>
        <v/>
      </c>
      <c r="J43" s="287" t="str">
        <f>IF(Dat_02!K42=0,"",Dat_02!K42)</f>
        <v/>
      </c>
    </row>
    <row r="44" spans="2:10">
      <c r="B44" s="271"/>
      <c r="C44" s="272" t="s">
        <v>638</v>
      </c>
      <c r="D44" s="271"/>
      <c r="E44" s="274">
        <f>Dat_02!F43</f>
        <v>30.780945924000033</v>
      </c>
      <c r="F44" s="274">
        <f>Dat_02!G43</f>
        <v>23.816136999456674</v>
      </c>
      <c r="G44" s="274">
        <f>Dat_02!H43</f>
        <v>23.816136999456674</v>
      </c>
      <c r="I44" s="275" t="str">
        <f>Dat_02!J43</f>
        <v/>
      </c>
      <c r="J44" s="287" t="str">
        <f>IF(Dat_02!K43=0,"",Dat_02!K43)</f>
        <v/>
      </c>
    </row>
    <row r="45" spans="2:10">
      <c r="B45" s="271"/>
      <c r="C45" s="272" t="s">
        <v>639</v>
      </c>
      <c r="D45" s="271"/>
      <c r="E45" s="274">
        <f>Dat_02!F44</f>
        <v>9.2367546279999591</v>
      </c>
      <c r="F45" s="274">
        <f>Dat_02!G44</f>
        <v>23.816136999456674</v>
      </c>
      <c r="G45" s="274">
        <f>Dat_02!H44</f>
        <v>9.2367546279999591</v>
      </c>
      <c r="I45" s="275" t="str">
        <f>Dat_02!J44</f>
        <v/>
      </c>
      <c r="J45" s="287" t="str">
        <f>IF(Dat_02!K44=0,"",Dat_02!K44)</f>
        <v/>
      </c>
    </row>
    <row r="46" spans="2:10">
      <c r="B46" s="271"/>
      <c r="C46" s="272" t="s">
        <v>640</v>
      </c>
      <c r="D46" s="271"/>
      <c r="E46" s="274">
        <f>Dat_02!F45</f>
        <v>2.1625062840003837</v>
      </c>
      <c r="F46" s="274">
        <f>Dat_02!G45</f>
        <v>23.816136999456674</v>
      </c>
      <c r="G46" s="274">
        <f>Dat_02!H45</f>
        <v>2.1625062840003837</v>
      </c>
      <c r="I46" s="275" t="str">
        <f>Dat_02!J45</f>
        <v/>
      </c>
      <c r="J46" s="287" t="str">
        <f>IF(Dat_02!K45=0,"",Dat_02!K45)</f>
        <v/>
      </c>
    </row>
    <row r="47" spans="2:10">
      <c r="B47" s="271"/>
      <c r="C47" s="272" t="s">
        <v>641</v>
      </c>
      <c r="D47" s="271"/>
      <c r="E47" s="274">
        <f>Dat_02!F46</f>
        <v>1.5955005419996415</v>
      </c>
      <c r="F47" s="274">
        <f>Dat_02!G46</f>
        <v>23.816136999456674</v>
      </c>
      <c r="G47" s="274">
        <f>Dat_02!H46</f>
        <v>1.5955005419996415</v>
      </c>
      <c r="I47" s="275" t="str">
        <f>Dat_02!J46</f>
        <v/>
      </c>
      <c r="J47" s="287" t="str">
        <f>IF(Dat_02!K46=0,"",Dat_02!K46)</f>
        <v/>
      </c>
    </row>
    <row r="48" spans="2:10">
      <c r="B48" s="271"/>
      <c r="C48" s="272" t="s">
        <v>642</v>
      </c>
      <c r="D48" s="271"/>
      <c r="E48" s="274">
        <f>Dat_02!F47</f>
        <v>1.929082758000388</v>
      </c>
      <c r="F48" s="274">
        <f>Dat_02!G47</f>
        <v>23.816136999456674</v>
      </c>
      <c r="G48" s="274">
        <f>Dat_02!H47</f>
        <v>1.929082758000388</v>
      </c>
      <c r="I48" s="275" t="str">
        <f>Dat_02!J47</f>
        <v/>
      </c>
      <c r="J48" s="287" t="str">
        <f>IF(Dat_02!K47=0,"",Dat_02!K47)</f>
        <v/>
      </c>
    </row>
    <row r="49" spans="2:10">
      <c r="B49" s="271"/>
      <c r="C49" s="272" t="s">
        <v>643</v>
      </c>
      <c r="D49" s="271"/>
      <c r="E49" s="274">
        <f>Dat_02!F48</f>
        <v>1.4055502099996002</v>
      </c>
      <c r="F49" s="274">
        <f>Dat_02!G48</f>
        <v>23.816136999456674</v>
      </c>
      <c r="G49" s="274">
        <f>Dat_02!H48</f>
        <v>1.4055502099996002</v>
      </c>
      <c r="I49" s="275" t="str">
        <f>Dat_02!J48</f>
        <v>S</v>
      </c>
      <c r="J49" s="287">
        <f>IF(Dat_02!K48=0,"",Dat_02!K48)</f>
        <v>23.816136999456674</v>
      </c>
    </row>
    <row r="50" spans="2:10">
      <c r="B50" s="271"/>
      <c r="C50" s="272" t="s">
        <v>644</v>
      </c>
      <c r="D50" s="271"/>
      <c r="E50" s="274">
        <f>Dat_02!F49</f>
        <v>0.36852824000048984</v>
      </c>
      <c r="F50" s="274">
        <f>Dat_02!G49</f>
        <v>23.816136999456674</v>
      </c>
      <c r="G50" s="274">
        <f>Dat_02!H49</f>
        <v>0.36852824000048984</v>
      </c>
      <c r="I50" s="275" t="str">
        <f>Dat_02!J49</f>
        <v/>
      </c>
      <c r="J50" s="287" t="str">
        <f>IF(Dat_02!K49=0,"",Dat_02!K49)</f>
        <v/>
      </c>
    </row>
    <row r="51" spans="2:10">
      <c r="B51" s="271"/>
      <c r="C51" s="272" t="s">
        <v>645</v>
      </c>
      <c r="D51" s="271"/>
      <c r="E51" s="274">
        <f>Dat_02!F50</f>
        <v>12.750772416000249</v>
      </c>
      <c r="F51" s="274">
        <f>Dat_02!G50</f>
        <v>23.816136999456674</v>
      </c>
      <c r="G51" s="274">
        <f>Dat_02!H50</f>
        <v>12.750772416000249</v>
      </c>
      <c r="I51" s="275" t="str">
        <f>Dat_02!J50</f>
        <v/>
      </c>
      <c r="J51" s="287" t="str">
        <f>IF(Dat_02!K50=0,"",Dat_02!K50)</f>
        <v/>
      </c>
    </row>
    <row r="52" spans="2:10">
      <c r="B52" s="271"/>
      <c r="C52" s="272" t="s">
        <v>646</v>
      </c>
      <c r="D52" s="271"/>
      <c r="E52" s="274">
        <f>Dat_02!F51</f>
        <v>13.657197353999779</v>
      </c>
      <c r="F52" s="274">
        <f>Dat_02!G51</f>
        <v>23.816136999456674</v>
      </c>
      <c r="G52" s="274">
        <f>Dat_02!H51</f>
        <v>13.657197353999779</v>
      </c>
      <c r="I52" s="275" t="str">
        <f>Dat_02!J51</f>
        <v/>
      </c>
      <c r="J52" s="287" t="str">
        <f>IF(Dat_02!K51=0,"",Dat_02!K51)</f>
        <v/>
      </c>
    </row>
    <row r="53" spans="2:10">
      <c r="B53" s="271"/>
      <c r="C53" s="272" t="s">
        <v>647</v>
      </c>
      <c r="D53" s="271"/>
      <c r="E53" s="274">
        <f>Dat_02!F52</f>
        <v>7.8491512639997936</v>
      </c>
      <c r="F53" s="274">
        <f>Dat_02!G52</f>
        <v>23.816136999456674</v>
      </c>
      <c r="G53" s="274">
        <f>Dat_02!H52</f>
        <v>7.8491512639997936</v>
      </c>
      <c r="I53" s="275" t="str">
        <f>Dat_02!J52</f>
        <v/>
      </c>
      <c r="J53" s="287" t="str">
        <f>IF(Dat_02!K52=0,"",Dat_02!K52)</f>
        <v/>
      </c>
    </row>
    <row r="54" spans="2:10">
      <c r="B54" s="271"/>
      <c r="C54" s="272" t="s">
        <v>648</v>
      </c>
      <c r="D54" s="271"/>
      <c r="E54" s="274">
        <f>Dat_02!F53</f>
        <v>5.1132767800000929</v>
      </c>
      <c r="F54" s="274">
        <f>Dat_02!G53</f>
        <v>23.816136999456674</v>
      </c>
      <c r="G54" s="274">
        <f>Dat_02!H53</f>
        <v>5.1132767800000929</v>
      </c>
      <c r="I54" s="275" t="str">
        <f>Dat_02!J53</f>
        <v/>
      </c>
      <c r="J54" s="287" t="str">
        <f>IF(Dat_02!K53=0,"",Dat_02!K53)</f>
        <v/>
      </c>
    </row>
    <row r="55" spans="2:10">
      <c r="B55" s="271"/>
      <c r="C55" s="272" t="s">
        <v>649</v>
      </c>
      <c r="D55" s="271"/>
      <c r="E55" s="274">
        <f>Dat_02!F54</f>
        <v>9.2812838220002014</v>
      </c>
      <c r="F55" s="274">
        <f>Dat_02!G54</f>
        <v>23.816136999456674</v>
      </c>
      <c r="G55" s="274">
        <f>Dat_02!H54</f>
        <v>9.2812838220002014</v>
      </c>
      <c r="I55" s="275" t="str">
        <f>Dat_02!J54</f>
        <v/>
      </c>
      <c r="J55" s="287" t="str">
        <f>IF(Dat_02!K54=0,"",Dat_02!K54)</f>
        <v/>
      </c>
    </row>
    <row r="56" spans="2:10">
      <c r="B56" s="271"/>
      <c r="C56" s="272" t="s">
        <v>650</v>
      </c>
      <c r="D56" s="271"/>
      <c r="E56" s="274">
        <f>Dat_02!F55</f>
        <v>16.838750676000075</v>
      </c>
      <c r="F56" s="274">
        <f>Dat_02!G55</f>
        <v>23.816136999456674</v>
      </c>
      <c r="G56" s="274">
        <f>Dat_02!H55</f>
        <v>16.838750676000075</v>
      </c>
      <c r="I56" s="275" t="str">
        <f>Dat_02!J55</f>
        <v/>
      </c>
      <c r="J56" s="287" t="str">
        <f>IF(Dat_02!K55=0,"",Dat_02!K55)</f>
        <v/>
      </c>
    </row>
    <row r="57" spans="2:10">
      <c r="B57" s="271"/>
      <c r="C57" s="272" t="s">
        <v>651</v>
      </c>
      <c r="D57" s="271"/>
      <c r="E57" s="274">
        <f>Dat_02!F56</f>
        <v>9.4011935739992651</v>
      </c>
      <c r="F57" s="274">
        <f>Dat_02!G56</f>
        <v>23.816136999456674</v>
      </c>
      <c r="G57" s="274">
        <f>Dat_02!H56</f>
        <v>9.4011935739992651</v>
      </c>
      <c r="I57" s="275" t="str">
        <f>Dat_02!J56</f>
        <v/>
      </c>
      <c r="J57" s="287" t="str">
        <f>IF(Dat_02!K56=0,"",Dat_02!K56)</f>
        <v/>
      </c>
    </row>
    <row r="58" spans="2:10">
      <c r="B58" s="271"/>
      <c r="C58" s="272" t="s">
        <v>652</v>
      </c>
      <c r="D58" s="271"/>
      <c r="E58" s="274">
        <f>Dat_02!F57</f>
        <v>14.334016136000541</v>
      </c>
      <c r="F58" s="274">
        <f>Dat_02!G57</f>
        <v>23.816136999456674</v>
      </c>
      <c r="G58" s="274">
        <f>Dat_02!H57</f>
        <v>14.334016136000541</v>
      </c>
      <c r="I58" s="275" t="str">
        <f>Dat_02!J57</f>
        <v/>
      </c>
      <c r="J58" s="287" t="str">
        <f>IF(Dat_02!K57=0,"",Dat_02!K57)</f>
        <v/>
      </c>
    </row>
    <row r="59" spans="2:10">
      <c r="B59" s="271"/>
      <c r="C59" s="272" t="s">
        <v>653</v>
      </c>
      <c r="D59" s="271"/>
      <c r="E59" s="274">
        <f>Dat_02!F58</f>
        <v>6.2679970279997912</v>
      </c>
      <c r="F59" s="274">
        <f>Dat_02!G58</f>
        <v>23.816136999456674</v>
      </c>
      <c r="G59" s="274">
        <f>Dat_02!H58</f>
        <v>6.2679970279997912</v>
      </c>
      <c r="I59" s="275" t="str">
        <f>Dat_02!J58</f>
        <v/>
      </c>
      <c r="J59" s="287" t="str">
        <f>IF(Dat_02!K58=0,"",Dat_02!K58)</f>
        <v/>
      </c>
    </row>
    <row r="60" spans="2:10">
      <c r="B60" s="271"/>
      <c r="C60" s="272" t="s">
        <v>654</v>
      </c>
      <c r="D60" s="271"/>
      <c r="E60" s="274">
        <f>Dat_02!F59</f>
        <v>6.1972966640001896</v>
      </c>
      <c r="F60" s="274">
        <f>Dat_02!G59</f>
        <v>23.816136999456674</v>
      </c>
      <c r="G60" s="274">
        <f>Dat_02!H59</f>
        <v>6.1972966640001896</v>
      </c>
      <c r="I60" s="275" t="str">
        <f>Dat_02!J59</f>
        <v/>
      </c>
      <c r="J60" s="287" t="str">
        <f>IF(Dat_02!K59=0,"",Dat_02!K59)</f>
        <v/>
      </c>
    </row>
    <row r="61" spans="2:10">
      <c r="B61" s="271"/>
      <c r="C61" s="272" t="s">
        <v>655</v>
      </c>
      <c r="D61" s="271"/>
      <c r="E61" s="274">
        <f>Dat_02!F60</f>
        <v>2.0169837979996506</v>
      </c>
      <c r="F61" s="274">
        <f>Dat_02!G60</f>
        <v>23.816136999456674</v>
      </c>
      <c r="G61" s="274">
        <f>Dat_02!H60</f>
        <v>2.0169837979996506</v>
      </c>
      <c r="I61" s="275" t="str">
        <f>Dat_02!J60</f>
        <v/>
      </c>
      <c r="J61" s="287" t="str">
        <f>IF(Dat_02!K60=0,"",Dat_02!K60)</f>
        <v/>
      </c>
    </row>
    <row r="62" spans="2:10">
      <c r="B62" s="271"/>
      <c r="C62" s="272" t="s">
        <v>656</v>
      </c>
      <c r="D62" s="271"/>
      <c r="E62" s="274">
        <f>Dat_02!F61</f>
        <v>12.939576510000126</v>
      </c>
      <c r="F62" s="274">
        <f>Dat_02!G61</f>
        <v>23.816136999456674</v>
      </c>
      <c r="G62" s="274">
        <f>Dat_02!H61</f>
        <v>12.939576510000126</v>
      </c>
      <c r="I62" s="275" t="str">
        <f>Dat_02!J61</f>
        <v/>
      </c>
      <c r="J62" s="287" t="str">
        <f>IF(Dat_02!K61=0,"",Dat_02!K61)</f>
        <v/>
      </c>
    </row>
    <row r="63" spans="2:10">
      <c r="B63" s="271"/>
      <c r="C63" s="272" t="s">
        <v>657</v>
      </c>
      <c r="D63" s="271"/>
      <c r="E63" s="274">
        <f>Dat_02!F62</f>
        <v>4.2383000019998347</v>
      </c>
      <c r="F63" s="274">
        <f>Dat_02!G62</f>
        <v>23.816136999456674</v>
      </c>
      <c r="G63" s="274">
        <f>Dat_02!H62</f>
        <v>4.2383000019998347</v>
      </c>
      <c r="I63" s="275" t="str">
        <f>Dat_02!J62</f>
        <v/>
      </c>
      <c r="J63" s="287" t="str">
        <f>IF(Dat_02!K62=0,"",Dat_02!K62)</f>
        <v/>
      </c>
    </row>
    <row r="64" spans="2:10">
      <c r="B64" s="273"/>
      <c r="C64" s="278" t="s">
        <v>658</v>
      </c>
      <c r="D64" s="271"/>
      <c r="E64" s="274">
        <f>Dat_02!F63</f>
        <v>17.541421690000611</v>
      </c>
      <c r="F64" s="274">
        <f>Dat_02!G63</f>
        <v>23.816136999456674</v>
      </c>
      <c r="G64" s="274">
        <f>Dat_02!H63</f>
        <v>17.541421690000611</v>
      </c>
      <c r="I64" s="275" t="str">
        <f>Dat_02!J63</f>
        <v/>
      </c>
      <c r="J64" s="287" t="str">
        <f>IF(Dat_02!K63=0,"",Dat_02!K63)</f>
        <v/>
      </c>
    </row>
    <row r="65" spans="2:10">
      <c r="B65" s="271" t="s">
        <v>659</v>
      </c>
      <c r="C65" s="272" t="s">
        <v>660</v>
      </c>
      <c r="D65" s="273"/>
      <c r="E65" s="274">
        <f>Dat_02!F64</f>
        <v>18.704515311999913</v>
      </c>
      <c r="F65" s="274">
        <f>Dat_02!G64</f>
        <v>46.965055529077411</v>
      </c>
      <c r="G65" s="274">
        <f>Dat_02!H64</f>
        <v>18.704515311999913</v>
      </c>
      <c r="I65" s="275" t="str">
        <f>Dat_02!J64</f>
        <v/>
      </c>
      <c r="J65" s="287" t="str">
        <f>IF(Dat_02!K64=0,"",Dat_02!K64)</f>
        <v/>
      </c>
    </row>
    <row r="66" spans="2:10">
      <c r="B66" s="273"/>
      <c r="C66" s="272" t="s">
        <v>661</v>
      </c>
      <c r="D66" s="273"/>
      <c r="E66" s="274">
        <f>Dat_02!F65</f>
        <v>7.9476282499992852</v>
      </c>
      <c r="F66" s="274">
        <f>Dat_02!G65</f>
        <v>46.965055529077411</v>
      </c>
      <c r="G66" s="274">
        <f>Dat_02!H65</f>
        <v>7.9476282499992852</v>
      </c>
      <c r="I66" s="275" t="str">
        <f>Dat_02!J65</f>
        <v/>
      </c>
      <c r="J66" s="287" t="str">
        <f>IF(Dat_02!K65=0,"",Dat_02!K65)</f>
        <v/>
      </c>
    </row>
    <row r="67" spans="2:10">
      <c r="B67" s="271"/>
      <c r="C67" s="272" t="s">
        <v>662</v>
      </c>
      <c r="D67" s="271"/>
      <c r="E67" s="274">
        <f>Dat_02!F66</f>
        <v>20.167072540000685</v>
      </c>
      <c r="F67" s="274">
        <f>Dat_02!G66</f>
        <v>46.965055529077411</v>
      </c>
      <c r="G67" s="274">
        <f>Dat_02!H66</f>
        <v>20.167072540000685</v>
      </c>
      <c r="I67" s="275" t="str">
        <f>Dat_02!J66</f>
        <v/>
      </c>
      <c r="J67" s="287" t="str">
        <f>IF(Dat_02!K66=0,"",Dat_02!K66)</f>
        <v/>
      </c>
    </row>
    <row r="68" spans="2:10">
      <c r="B68" s="271"/>
      <c r="C68" s="272" t="s">
        <v>663</v>
      </c>
      <c r="D68" s="271"/>
      <c r="E68" s="274">
        <f>Dat_02!F67</f>
        <v>8.2272621300000424</v>
      </c>
      <c r="F68" s="274">
        <f>Dat_02!G67</f>
        <v>46.965055529077411</v>
      </c>
      <c r="G68" s="274">
        <f>Dat_02!H67</f>
        <v>8.2272621300000424</v>
      </c>
      <c r="I68" s="275" t="str">
        <f>Dat_02!J67</f>
        <v/>
      </c>
      <c r="J68" s="287" t="str">
        <f>IF(Dat_02!K67=0,"",Dat_02!K67)</f>
        <v/>
      </c>
    </row>
    <row r="69" spans="2:10">
      <c r="B69" s="271"/>
      <c r="C69" s="272" t="s">
        <v>664</v>
      </c>
      <c r="D69" s="271"/>
      <c r="E69" s="274">
        <f>Dat_02!F68</f>
        <v>4.618792947999232</v>
      </c>
      <c r="F69" s="274">
        <f>Dat_02!G68</f>
        <v>46.965055529077411</v>
      </c>
      <c r="G69" s="274">
        <f>Dat_02!H68</f>
        <v>4.618792947999232</v>
      </c>
      <c r="I69" s="275" t="str">
        <f>Dat_02!J68</f>
        <v/>
      </c>
      <c r="J69" s="287" t="str">
        <f>IF(Dat_02!K68=0,"",Dat_02!K68)</f>
        <v/>
      </c>
    </row>
    <row r="70" spans="2:10">
      <c r="B70" s="271"/>
      <c r="C70" s="272" t="s">
        <v>665</v>
      </c>
      <c r="D70" s="271"/>
      <c r="E70" s="274">
        <f>Dat_02!F69</f>
        <v>23.979947690000003</v>
      </c>
      <c r="F70" s="274">
        <f>Dat_02!G69</f>
        <v>46.965055529077411</v>
      </c>
      <c r="G70" s="274">
        <f>Dat_02!H69</f>
        <v>23.979947690000003</v>
      </c>
      <c r="I70" s="275" t="str">
        <f>Dat_02!J69</f>
        <v/>
      </c>
      <c r="J70" s="287" t="str">
        <f>IF(Dat_02!K69=0,"",Dat_02!K69)</f>
        <v/>
      </c>
    </row>
    <row r="71" spans="2:10">
      <c r="B71" s="271"/>
      <c r="C71" s="272" t="s">
        <v>666</v>
      </c>
      <c r="D71" s="271"/>
      <c r="E71" s="274">
        <f>Dat_02!F70</f>
        <v>8.6178349180003195</v>
      </c>
      <c r="F71" s="274">
        <f>Dat_02!G70</f>
        <v>46.965055529077411</v>
      </c>
      <c r="G71" s="274">
        <f>Dat_02!H70</f>
        <v>8.6178349180003195</v>
      </c>
      <c r="I71" s="275" t="str">
        <f>Dat_02!J70</f>
        <v/>
      </c>
      <c r="J71" s="287" t="str">
        <f>IF(Dat_02!K70=0,"",Dat_02!K70)</f>
        <v/>
      </c>
    </row>
    <row r="72" spans="2:10">
      <c r="B72" s="271"/>
      <c r="C72" s="272" t="s">
        <v>667</v>
      </c>
      <c r="D72" s="271"/>
      <c r="E72" s="274">
        <f>Dat_02!F71</f>
        <v>11.772894552000514</v>
      </c>
      <c r="F72" s="274">
        <f>Dat_02!G71</f>
        <v>46.965055529077411</v>
      </c>
      <c r="G72" s="274">
        <f>Dat_02!H71</f>
        <v>11.772894552000514</v>
      </c>
      <c r="I72" s="275" t="str">
        <f>Dat_02!J71</f>
        <v/>
      </c>
      <c r="J72" s="287" t="str">
        <f>IF(Dat_02!K71=0,"",Dat_02!K71)</f>
        <v/>
      </c>
    </row>
    <row r="73" spans="2:10">
      <c r="B73" s="271"/>
      <c r="C73" s="272" t="s">
        <v>668</v>
      </c>
      <c r="D73" s="271"/>
      <c r="E73" s="274">
        <f>Dat_02!F72</f>
        <v>7.8747849579994647</v>
      </c>
      <c r="F73" s="274">
        <f>Dat_02!G72</f>
        <v>46.965055529077411</v>
      </c>
      <c r="G73" s="274">
        <f>Dat_02!H72</f>
        <v>7.8747849579994647</v>
      </c>
      <c r="I73" s="275" t="str">
        <f>Dat_02!J72</f>
        <v/>
      </c>
      <c r="J73" s="287" t="str">
        <f>IF(Dat_02!K72=0,"",Dat_02!K72)</f>
        <v/>
      </c>
    </row>
    <row r="74" spans="2:10">
      <c r="B74" s="271"/>
      <c r="C74" s="272" t="s">
        <v>669</v>
      </c>
      <c r="D74" s="271"/>
      <c r="E74" s="274">
        <f>Dat_02!F73</f>
        <v>13.134850287999672</v>
      </c>
      <c r="F74" s="274">
        <f>Dat_02!G73</f>
        <v>46.965055529077411</v>
      </c>
      <c r="G74" s="274">
        <f>Dat_02!H73</f>
        <v>13.134850287999672</v>
      </c>
      <c r="I74" s="275" t="str">
        <f>Dat_02!J73</f>
        <v/>
      </c>
      <c r="J74" s="287" t="str">
        <f>IF(Dat_02!K73=0,"",Dat_02!K73)</f>
        <v/>
      </c>
    </row>
    <row r="75" spans="2:10">
      <c r="B75" s="271"/>
      <c r="C75" s="272" t="s">
        <v>670</v>
      </c>
      <c r="D75" s="271"/>
      <c r="E75" s="274">
        <f>Dat_02!F74</f>
        <v>3.1997314180002765</v>
      </c>
      <c r="F75" s="274">
        <f>Dat_02!G74</f>
        <v>46.965055529077411</v>
      </c>
      <c r="G75" s="274">
        <f>Dat_02!H74</f>
        <v>3.1997314180002765</v>
      </c>
      <c r="I75" s="275" t="str">
        <f>Dat_02!J74</f>
        <v/>
      </c>
      <c r="J75" s="287" t="str">
        <f>IF(Dat_02!K74=0,"",Dat_02!K74)</f>
        <v/>
      </c>
    </row>
    <row r="76" spans="2:10">
      <c r="B76" s="271"/>
      <c r="C76" s="272" t="s">
        <v>671</v>
      </c>
      <c r="D76" s="271"/>
      <c r="E76" s="274">
        <f>Dat_02!F75</f>
        <v>7.489909994000441</v>
      </c>
      <c r="F76" s="274">
        <f>Dat_02!G75</f>
        <v>46.965055529077411</v>
      </c>
      <c r="G76" s="274">
        <f>Dat_02!H75</f>
        <v>7.489909994000441</v>
      </c>
      <c r="I76" s="275" t="str">
        <f>Dat_02!J75</f>
        <v/>
      </c>
      <c r="J76" s="287" t="str">
        <f>IF(Dat_02!K75=0,"",Dat_02!K75)</f>
        <v/>
      </c>
    </row>
    <row r="77" spans="2:10">
      <c r="B77" s="271"/>
      <c r="C77" s="272" t="s">
        <v>672</v>
      </c>
      <c r="D77" s="271"/>
      <c r="E77" s="274">
        <f>Dat_02!F76</f>
        <v>7.0782381979996591</v>
      </c>
      <c r="F77" s="274">
        <f>Dat_02!G76</f>
        <v>46.965055529077411</v>
      </c>
      <c r="G77" s="274">
        <f>Dat_02!H76</f>
        <v>7.0782381979996591</v>
      </c>
      <c r="I77" s="275" t="str">
        <f>Dat_02!J76</f>
        <v/>
      </c>
      <c r="J77" s="287" t="str">
        <f>IF(Dat_02!K76=0,"",Dat_02!K76)</f>
        <v/>
      </c>
    </row>
    <row r="78" spans="2:10">
      <c r="B78" s="271"/>
      <c r="C78" s="272" t="s">
        <v>673</v>
      </c>
      <c r="D78" s="271"/>
      <c r="E78" s="274">
        <f>Dat_02!F77</f>
        <v>6.2584046580004333</v>
      </c>
      <c r="F78" s="274">
        <f>Dat_02!G77</f>
        <v>46.965055529077411</v>
      </c>
      <c r="G78" s="274">
        <f>Dat_02!H77</f>
        <v>6.2584046580004333</v>
      </c>
      <c r="I78" s="275" t="str">
        <f>Dat_02!J77</f>
        <v/>
      </c>
      <c r="J78" s="287" t="str">
        <f>IF(Dat_02!K77=0,"",Dat_02!K77)</f>
        <v/>
      </c>
    </row>
    <row r="79" spans="2:10">
      <c r="B79" s="271"/>
      <c r="C79" s="272" t="s">
        <v>674</v>
      </c>
      <c r="D79" s="271"/>
      <c r="E79" s="274">
        <f>Dat_02!F78</f>
        <v>16.927156399999777</v>
      </c>
      <c r="F79" s="274">
        <f>Dat_02!G78</f>
        <v>46.965055529077411</v>
      </c>
      <c r="G79" s="274">
        <f>Dat_02!H78</f>
        <v>16.927156399999777</v>
      </c>
      <c r="I79" s="275" t="str">
        <f>Dat_02!J78</f>
        <v>O</v>
      </c>
      <c r="J79" s="287">
        <f>IF(Dat_02!K78=0,"",Dat_02!K78)</f>
        <v>46.965055529077411</v>
      </c>
    </row>
    <row r="80" spans="2:10">
      <c r="B80" s="271"/>
      <c r="C80" s="272" t="s">
        <v>675</v>
      </c>
      <c r="D80" s="271"/>
      <c r="E80" s="274">
        <f>Dat_02!F79</f>
        <v>8.1017168120000012</v>
      </c>
      <c r="F80" s="274">
        <f>Dat_02!G79</f>
        <v>46.965055529077411</v>
      </c>
      <c r="G80" s="274">
        <f>Dat_02!H79</f>
        <v>8.1017168120000012</v>
      </c>
      <c r="I80" s="275" t="str">
        <f>Dat_02!J79</f>
        <v/>
      </c>
      <c r="J80" s="287" t="str">
        <f>IF(Dat_02!K79=0,"",Dat_02!K79)</f>
        <v/>
      </c>
    </row>
    <row r="81" spans="2:10">
      <c r="B81" s="271"/>
      <c r="C81" s="272" t="s">
        <v>676</v>
      </c>
      <c r="D81" s="271"/>
      <c r="E81" s="274">
        <f>Dat_02!F80</f>
        <v>5.3093006480000877</v>
      </c>
      <c r="F81" s="274">
        <f>Dat_02!G80</f>
        <v>46.965055529077411</v>
      </c>
      <c r="G81" s="274">
        <f>Dat_02!H80</f>
        <v>5.3093006480000877</v>
      </c>
      <c r="I81" s="275" t="str">
        <f>Dat_02!J80</f>
        <v/>
      </c>
      <c r="J81" s="287" t="str">
        <f>IF(Dat_02!K80=0,"",Dat_02!K80)</f>
        <v/>
      </c>
    </row>
    <row r="82" spans="2:10">
      <c r="B82" s="271"/>
      <c r="C82" s="272" t="s">
        <v>677</v>
      </c>
      <c r="D82" s="271"/>
      <c r="E82" s="274">
        <f>Dat_02!F81</f>
        <v>9.2630509999999404</v>
      </c>
      <c r="F82" s="274">
        <f>Dat_02!G81</f>
        <v>46.965055529077411</v>
      </c>
      <c r="G82" s="274">
        <f>Dat_02!H81</f>
        <v>9.2630509999999404</v>
      </c>
      <c r="I82" s="275" t="str">
        <f>Dat_02!J81</f>
        <v/>
      </c>
      <c r="J82" s="287" t="str">
        <f>IF(Dat_02!K81=0,"",Dat_02!K81)</f>
        <v/>
      </c>
    </row>
    <row r="83" spans="2:10">
      <c r="B83" s="271"/>
      <c r="C83" s="272" t="s">
        <v>678</v>
      </c>
      <c r="D83" s="271"/>
      <c r="E83" s="274">
        <f>Dat_02!F82</f>
        <v>13.121949748000079</v>
      </c>
      <c r="F83" s="274">
        <f>Dat_02!G82</f>
        <v>46.965055529077411</v>
      </c>
      <c r="G83" s="274">
        <f>Dat_02!H82</f>
        <v>13.121949748000079</v>
      </c>
      <c r="I83" s="275" t="str">
        <f>Dat_02!J82</f>
        <v/>
      </c>
      <c r="J83" s="287" t="str">
        <f>IF(Dat_02!K82=0,"",Dat_02!K82)</f>
        <v/>
      </c>
    </row>
    <row r="84" spans="2:10">
      <c r="B84" s="271"/>
      <c r="C84" s="272" t="s">
        <v>679</v>
      </c>
      <c r="D84" s="271"/>
      <c r="E84" s="274">
        <f>Dat_02!F83</f>
        <v>31.441332551999668</v>
      </c>
      <c r="F84" s="274">
        <f>Dat_02!G83</f>
        <v>46.965055529077411</v>
      </c>
      <c r="G84" s="274">
        <f>Dat_02!H83</f>
        <v>31.441332551999668</v>
      </c>
      <c r="I84" s="275" t="str">
        <f>Dat_02!J83</f>
        <v/>
      </c>
      <c r="J84" s="287" t="str">
        <f>IF(Dat_02!K83=0,"",Dat_02!K83)</f>
        <v/>
      </c>
    </row>
    <row r="85" spans="2:10">
      <c r="B85" s="271"/>
      <c r="C85" s="272" t="s">
        <v>680</v>
      </c>
      <c r="D85" s="271"/>
      <c r="E85" s="274">
        <f>Dat_02!F84</f>
        <v>28.556591200000469</v>
      </c>
      <c r="F85" s="274">
        <f>Dat_02!G84</f>
        <v>46.965055529077411</v>
      </c>
      <c r="G85" s="274">
        <f>Dat_02!H84</f>
        <v>28.556591200000469</v>
      </c>
      <c r="I85" s="275" t="str">
        <f>Dat_02!J84</f>
        <v/>
      </c>
      <c r="J85" s="287" t="str">
        <f>IF(Dat_02!K84=0,"",Dat_02!K84)</f>
        <v/>
      </c>
    </row>
    <row r="86" spans="2:10">
      <c r="B86" s="271"/>
      <c r="C86" s="272" t="s">
        <v>681</v>
      </c>
      <c r="D86" s="271"/>
      <c r="E86" s="274">
        <f>Dat_02!F85</f>
        <v>21.152104345999373</v>
      </c>
      <c r="F86" s="274">
        <f>Dat_02!G85</f>
        <v>46.965055529077411</v>
      </c>
      <c r="G86" s="274">
        <f>Dat_02!H85</f>
        <v>21.152104345999373</v>
      </c>
      <c r="I86" s="275" t="str">
        <f>Dat_02!J85</f>
        <v/>
      </c>
      <c r="J86" s="287" t="str">
        <f>IF(Dat_02!K85=0,"",Dat_02!K85)</f>
        <v/>
      </c>
    </row>
    <row r="87" spans="2:10">
      <c r="B87" s="271"/>
      <c r="C87" s="272" t="s">
        <v>682</v>
      </c>
      <c r="D87" s="271"/>
      <c r="E87" s="274">
        <f>Dat_02!F86</f>
        <v>13.914616522000234</v>
      </c>
      <c r="F87" s="274">
        <f>Dat_02!G86</f>
        <v>46.965055529077411</v>
      </c>
      <c r="G87" s="274">
        <f>Dat_02!H86</f>
        <v>13.914616522000234</v>
      </c>
      <c r="I87" s="275" t="str">
        <f>Dat_02!J86</f>
        <v/>
      </c>
      <c r="J87" s="287" t="str">
        <f>IF(Dat_02!K86=0,"",Dat_02!K86)</f>
        <v/>
      </c>
    </row>
    <row r="88" spans="2:10">
      <c r="B88" s="271"/>
      <c r="C88" s="272" t="s">
        <v>683</v>
      </c>
      <c r="D88" s="271"/>
      <c r="E88" s="274">
        <f>Dat_02!F87</f>
        <v>16.208384197999635</v>
      </c>
      <c r="F88" s="274">
        <f>Dat_02!G87</f>
        <v>46.965055529077411</v>
      </c>
      <c r="G88" s="274">
        <f>Dat_02!H87</f>
        <v>16.208384197999635</v>
      </c>
      <c r="I88" s="275" t="str">
        <f>Dat_02!J87</f>
        <v/>
      </c>
      <c r="J88" s="287" t="str">
        <f>IF(Dat_02!K87=0,"",Dat_02!K87)</f>
        <v/>
      </c>
    </row>
    <row r="89" spans="2:10">
      <c r="B89" s="271"/>
      <c r="C89" s="272" t="s">
        <v>684</v>
      </c>
      <c r="D89" s="271"/>
      <c r="E89" s="274">
        <f>Dat_02!F88</f>
        <v>15.650725930000466</v>
      </c>
      <c r="F89" s="274">
        <f>Dat_02!G88</f>
        <v>46.965055529077411</v>
      </c>
      <c r="G89" s="274">
        <f>Dat_02!H88</f>
        <v>15.650725930000466</v>
      </c>
      <c r="I89" s="275" t="str">
        <f>Dat_02!J88</f>
        <v/>
      </c>
      <c r="J89" s="287" t="str">
        <f>IF(Dat_02!K88=0,"",Dat_02!K88)</f>
        <v/>
      </c>
    </row>
    <row r="90" spans="2:10">
      <c r="B90" s="271"/>
      <c r="C90" s="272" t="s">
        <v>685</v>
      </c>
      <c r="D90" s="271"/>
      <c r="E90" s="274">
        <f>Dat_02!F89</f>
        <v>11.03848122400008</v>
      </c>
      <c r="F90" s="274">
        <f>Dat_02!G89</f>
        <v>46.965055529077411</v>
      </c>
      <c r="G90" s="274">
        <f>Dat_02!H89</f>
        <v>11.03848122400008</v>
      </c>
      <c r="I90" s="275" t="str">
        <f>Dat_02!J89</f>
        <v/>
      </c>
      <c r="J90" s="287" t="str">
        <f>IF(Dat_02!K89=0,"",Dat_02!K89)</f>
        <v/>
      </c>
    </row>
    <row r="91" spans="2:10">
      <c r="B91" s="271"/>
      <c r="C91" s="272" t="s">
        <v>686</v>
      </c>
      <c r="D91" s="271"/>
      <c r="E91" s="274">
        <f>Dat_02!F90</f>
        <v>13.911933183999464</v>
      </c>
      <c r="F91" s="274">
        <f>Dat_02!G90</f>
        <v>46.965055529077411</v>
      </c>
      <c r="G91" s="274">
        <f>Dat_02!H90</f>
        <v>13.911933183999464</v>
      </c>
      <c r="I91" s="275" t="str">
        <f>Dat_02!J90</f>
        <v/>
      </c>
      <c r="J91" s="287" t="str">
        <f>IF(Dat_02!K90=0,"",Dat_02!K90)</f>
        <v/>
      </c>
    </row>
    <row r="92" spans="2:10">
      <c r="B92" s="271"/>
      <c r="C92" s="272" t="s">
        <v>687</v>
      </c>
      <c r="D92" s="271"/>
      <c r="E92" s="274">
        <f>Dat_02!F91</f>
        <v>7.4580657020006473</v>
      </c>
      <c r="F92" s="274">
        <f>Dat_02!G91</f>
        <v>46.965055529077411</v>
      </c>
      <c r="G92" s="274">
        <f>Dat_02!H91</f>
        <v>7.4580657020006473</v>
      </c>
      <c r="I92" s="275" t="str">
        <f>Dat_02!J91</f>
        <v/>
      </c>
      <c r="J92" s="287" t="str">
        <f>IF(Dat_02!K91=0,"",Dat_02!K91)</f>
        <v/>
      </c>
    </row>
    <row r="93" spans="2:10">
      <c r="B93" s="271"/>
      <c r="C93" s="272" t="s">
        <v>688</v>
      </c>
      <c r="D93" s="271"/>
      <c r="E93" s="274">
        <f>Dat_02!F92</f>
        <v>31.727150849999934</v>
      </c>
      <c r="F93" s="274">
        <f>Dat_02!G92</f>
        <v>46.965055529077411</v>
      </c>
      <c r="G93" s="274">
        <f>Dat_02!H92</f>
        <v>31.727150849999934</v>
      </c>
      <c r="I93" s="275" t="str">
        <f>Dat_02!J92</f>
        <v/>
      </c>
      <c r="J93" s="287" t="str">
        <f>IF(Dat_02!K92=0,"",Dat_02!K92)</f>
        <v/>
      </c>
    </row>
    <row r="94" spans="2:10">
      <c r="B94" s="271"/>
      <c r="C94" s="272" t="s">
        <v>689</v>
      </c>
      <c r="D94" s="271"/>
      <c r="E94" s="274">
        <f>Dat_02!F93</f>
        <v>9.2012166319993884</v>
      </c>
      <c r="F94" s="274">
        <f>Dat_02!G93</f>
        <v>46.965055529077411</v>
      </c>
      <c r="G94" s="274">
        <f>Dat_02!H93</f>
        <v>9.2012166319993884</v>
      </c>
      <c r="I94" s="275" t="str">
        <f>Dat_02!J93</f>
        <v/>
      </c>
      <c r="J94" s="287" t="str">
        <f>IF(Dat_02!K93=0,"",Dat_02!K93)</f>
        <v/>
      </c>
    </row>
    <row r="95" spans="2:10">
      <c r="B95" s="273"/>
      <c r="C95" s="278" t="s">
        <v>690</v>
      </c>
      <c r="D95" s="273"/>
      <c r="E95" s="274">
        <f>Dat_02!F94</f>
        <v>8.7855625760004763</v>
      </c>
      <c r="F95" s="274">
        <f>Dat_02!G94</f>
        <v>46.965055529077411</v>
      </c>
      <c r="G95" s="274">
        <f>Dat_02!H94</f>
        <v>8.7855625760004763</v>
      </c>
      <c r="I95" s="275" t="str">
        <f>Dat_02!J94</f>
        <v/>
      </c>
      <c r="J95" s="287" t="str">
        <f>IF(Dat_02!K94=0,"",Dat_02!K94)</f>
        <v/>
      </c>
    </row>
    <row r="96" spans="2:10">
      <c r="B96" s="271" t="s">
        <v>691</v>
      </c>
      <c r="C96" s="272" t="s">
        <v>692</v>
      </c>
      <c r="D96" s="273"/>
      <c r="E96" s="274">
        <f>Dat_02!F95</f>
        <v>8.2103473059999565</v>
      </c>
      <c r="F96" s="274">
        <f>Dat_02!G95</f>
        <v>89.734800765303333</v>
      </c>
      <c r="G96" s="274">
        <f>Dat_02!H95</f>
        <v>8.2103473059999565</v>
      </c>
      <c r="I96" s="275" t="str">
        <f>Dat_02!J95</f>
        <v/>
      </c>
      <c r="J96" s="287" t="str">
        <f>IF(Dat_02!K95=0,"",Dat_02!K95)</f>
        <v/>
      </c>
    </row>
    <row r="97" spans="2:10">
      <c r="B97" s="273"/>
      <c r="C97" s="272" t="s">
        <v>693</v>
      </c>
      <c r="D97" s="273"/>
      <c r="E97" s="274">
        <f>Dat_02!F96</f>
        <v>9.3651794860003115</v>
      </c>
      <c r="F97" s="274">
        <f>Dat_02!G96</f>
        <v>89.734800765303333</v>
      </c>
      <c r="G97" s="274">
        <f>Dat_02!H96</f>
        <v>9.3651794860003115</v>
      </c>
      <c r="I97" s="275" t="str">
        <f>Dat_02!J96</f>
        <v/>
      </c>
      <c r="J97" s="287" t="str">
        <f>IF(Dat_02!K96=0,"",Dat_02!K96)</f>
        <v/>
      </c>
    </row>
    <row r="98" spans="2:10">
      <c r="B98" s="271"/>
      <c r="C98" s="272" t="s">
        <v>694</v>
      </c>
      <c r="D98" s="271"/>
      <c r="E98" s="274">
        <f>Dat_02!F97</f>
        <v>14.113379666000116</v>
      </c>
      <c r="F98" s="274">
        <f>Dat_02!G97</f>
        <v>89.734800765303333</v>
      </c>
      <c r="G98" s="274">
        <f>Dat_02!H97</f>
        <v>14.113379666000116</v>
      </c>
      <c r="I98" s="275" t="str">
        <f>Dat_02!J97</f>
        <v/>
      </c>
      <c r="J98" s="287" t="str">
        <f>IF(Dat_02!K97=0,"",Dat_02!K97)</f>
        <v/>
      </c>
    </row>
    <row r="99" spans="2:10">
      <c r="B99" s="271"/>
      <c r="C99" s="272" t="s">
        <v>695</v>
      </c>
      <c r="D99" s="271"/>
      <c r="E99" s="274">
        <f>Dat_02!F98</f>
        <v>9.9491037799998292</v>
      </c>
      <c r="F99" s="274">
        <f>Dat_02!G98</f>
        <v>89.734800765303333</v>
      </c>
      <c r="G99" s="274">
        <f>Dat_02!H98</f>
        <v>9.9491037799998292</v>
      </c>
      <c r="I99" s="275" t="str">
        <f>Dat_02!J98</f>
        <v/>
      </c>
      <c r="J99" s="287" t="str">
        <f>IF(Dat_02!K98=0,"",Dat_02!K98)</f>
        <v/>
      </c>
    </row>
    <row r="100" spans="2:10">
      <c r="B100" s="271"/>
      <c r="C100" s="272" t="s">
        <v>696</v>
      </c>
      <c r="D100" s="271"/>
      <c r="E100" s="274">
        <f>Dat_02!F99</f>
        <v>28.843987403999993</v>
      </c>
      <c r="F100" s="274">
        <f>Dat_02!G99</f>
        <v>89.734800765303333</v>
      </c>
      <c r="G100" s="274">
        <f>Dat_02!H99</f>
        <v>28.843987403999993</v>
      </c>
      <c r="I100" s="275" t="str">
        <f>Dat_02!J99</f>
        <v/>
      </c>
      <c r="J100" s="287" t="str">
        <f>IF(Dat_02!K99=0,"",Dat_02!K99)</f>
        <v/>
      </c>
    </row>
    <row r="101" spans="2:10">
      <c r="B101" s="271"/>
      <c r="C101" s="272" t="s">
        <v>697</v>
      </c>
      <c r="D101" s="271"/>
      <c r="E101" s="274">
        <f>Dat_02!F100</f>
        <v>25.576473809999584</v>
      </c>
      <c r="F101" s="274">
        <f>Dat_02!G100</f>
        <v>89.734800765303333</v>
      </c>
      <c r="G101" s="274">
        <f>Dat_02!H100</f>
        <v>25.576473809999584</v>
      </c>
      <c r="I101" s="275" t="str">
        <f>Dat_02!J100</f>
        <v/>
      </c>
      <c r="J101" s="287" t="str">
        <f>IF(Dat_02!K100=0,"",Dat_02!K100)</f>
        <v/>
      </c>
    </row>
    <row r="102" spans="2:10">
      <c r="B102" s="271"/>
      <c r="C102" s="272" t="s">
        <v>698</v>
      </c>
      <c r="D102" s="271"/>
      <c r="E102" s="274">
        <f>Dat_02!F101</f>
        <v>15.436841493999896</v>
      </c>
      <c r="F102" s="274">
        <f>Dat_02!G101</f>
        <v>89.734800765303333</v>
      </c>
      <c r="G102" s="274">
        <f>Dat_02!H101</f>
        <v>15.436841493999896</v>
      </c>
      <c r="I102" s="275" t="str">
        <f>Dat_02!J101</f>
        <v/>
      </c>
      <c r="J102" s="287" t="str">
        <f>IF(Dat_02!K101=0,"",Dat_02!K101)</f>
        <v/>
      </c>
    </row>
    <row r="103" spans="2:10">
      <c r="B103" s="271"/>
      <c r="C103" s="272" t="s">
        <v>699</v>
      </c>
      <c r="D103" s="271"/>
      <c r="E103" s="274">
        <f>Dat_02!F102</f>
        <v>2.1950885600001566</v>
      </c>
      <c r="F103" s="274">
        <f>Dat_02!G102</f>
        <v>89.734800765303333</v>
      </c>
      <c r="G103" s="274">
        <f>Dat_02!H102</f>
        <v>2.1950885600001566</v>
      </c>
      <c r="I103" s="275" t="str">
        <f>Dat_02!J102</f>
        <v/>
      </c>
      <c r="J103" s="287" t="str">
        <f>IF(Dat_02!K102=0,"",Dat_02!K102)</f>
        <v/>
      </c>
    </row>
    <row r="104" spans="2:10">
      <c r="B104" s="271"/>
      <c r="C104" s="272" t="s">
        <v>700</v>
      </c>
      <c r="D104" s="271"/>
      <c r="E104" s="274">
        <f>Dat_02!F103</f>
        <v>10.758405394000391</v>
      </c>
      <c r="F104" s="274">
        <f>Dat_02!G103</f>
        <v>89.734800765303333</v>
      </c>
      <c r="G104" s="274">
        <f>Dat_02!H103</f>
        <v>10.758405394000391</v>
      </c>
      <c r="I104" s="275" t="str">
        <f>Dat_02!J103</f>
        <v/>
      </c>
      <c r="J104" s="287" t="str">
        <f>IF(Dat_02!K103=0,"",Dat_02!K103)</f>
        <v/>
      </c>
    </row>
    <row r="105" spans="2:10">
      <c r="B105" s="271"/>
      <c r="C105" s="272" t="s">
        <v>701</v>
      </c>
      <c r="D105" s="271"/>
      <c r="E105" s="274">
        <f>Dat_02!F104</f>
        <v>27.18471618199926</v>
      </c>
      <c r="F105" s="274">
        <f>Dat_02!G104</f>
        <v>89.734800765303333</v>
      </c>
      <c r="G105" s="274">
        <f>Dat_02!H104</f>
        <v>27.18471618199926</v>
      </c>
      <c r="I105" s="275" t="str">
        <f>Dat_02!J104</f>
        <v/>
      </c>
      <c r="J105" s="287" t="str">
        <f>IF(Dat_02!K104=0,"",Dat_02!K104)</f>
        <v/>
      </c>
    </row>
    <row r="106" spans="2:10">
      <c r="B106" s="271"/>
      <c r="C106" s="272" t="s">
        <v>702</v>
      </c>
      <c r="D106" s="271"/>
      <c r="E106" s="274">
        <f>Dat_02!F105</f>
        <v>21.372766288000523</v>
      </c>
      <c r="F106" s="274">
        <f>Dat_02!G105</f>
        <v>89.734800765303333</v>
      </c>
      <c r="G106" s="274">
        <f>Dat_02!H105</f>
        <v>21.372766288000523</v>
      </c>
      <c r="I106" s="275" t="str">
        <f>Dat_02!J105</f>
        <v/>
      </c>
      <c r="J106" s="287" t="str">
        <f>IF(Dat_02!K105=0,"",Dat_02!K105)</f>
        <v/>
      </c>
    </row>
    <row r="107" spans="2:10">
      <c r="B107" s="271"/>
      <c r="C107" s="272" t="s">
        <v>703</v>
      </c>
      <c r="D107" s="271"/>
      <c r="E107" s="274">
        <f>Dat_02!F106</f>
        <v>33.457879177999544</v>
      </c>
      <c r="F107" s="274">
        <f>Dat_02!G106</f>
        <v>89.734800765303333</v>
      </c>
      <c r="G107" s="274">
        <f>Dat_02!H106</f>
        <v>33.457879177999544</v>
      </c>
      <c r="I107" s="275" t="str">
        <f>Dat_02!J106</f>
        <v/>
      </c>
      <c r="J107" s="287" t="str">
        <f>IF(Dat_02!K106=0,"",Dat_02!K106)</f>
        <v/>
      </c>
    </row>
    <row r="108" spans="2:10">
      <c r="B108" s="271"/>
      <c r="C108" s="272" t="s">
        <v>704</v>
      </c>
      <c r="D108" s="271"/>
      <c r="E108" s="274">
        <f>Dat_02!F107</f>
        <v>32.093920494000201</v>
      </c>
      <c r="F108" s="274">
        <f>Dat_02!G107</f>
        <v>89.734800765303333</v>
      </c>
      <c r="G108" s="274">
        <f>Dat_02!H107</f>
        <v>32.093920494000201</v>
      </c>
      <c r="I108" s="275" t="str">
        <f>Dat_02!J107</f>
        <v/>
      </c>
      <c r="J108" s="287" t="str">
        <f>IF(Dat_02!K107=0,"",Dat_02!K107)</f>
        <v/>
      </c>
    </row>
    <row r="109" spans="2:10">
      <c r="B109" s="271"/>
      <c r="C109" s="272" t="s">
        <v>705</v>
      </c>
      <c r="D109" s="271"/>
      <c r="E109" s="274">
        <f>Dat_02!F108</f>
        <v>18.139776781999796</v>
      </c>
      <c r="F109" s="274">
        <f>Dat_02!G108</f>
        <v>89.734800765303333</v>
      </c>
      <c r="G109" s="274">
        <f>Dat_02!H108</f>
        <v>18.139776781999796</v>
      </c>
      <c r="I109" s="275" t="str">
        <f>Dat_02!J108</f>
        <v/>
      </c>
      <c r="J109" s="287" t="str">
        <f>IF(Dat_02!K108=0,"",Dat_02!K108)</f>
        <v/>
      </c>
    </row>
    <row r="110" spans="2:10">
      <c r="B110" s="271"/>
      <c r="C110" s="272" t="s">
        <v>706</v>
      </c>
      <c r="D110" s="271"/>
      <c r="E110" s="274">
        <f>Dat_02!F109</f>
        <v>7.7859623420007376</v>
      </c>
      <c r="F110" s="274">
        <f>Dat_02!G109</f>
        <v>89.734800765303333</v>
      </c>
      <c r="G110" s="274">
        <f>Dat_02!H109</f>
        <v>7.7859623420007376</v>
      </c>
      <c r="I110" s="275" t="str">
        <f>Dat_02!J109</f>
        <v>N</v>
      </c>
      <c r="J110" s="287">
        <f>IF(Dat_02!K109=0,"",Dat_02!K109)</f>
        <v>89.734800765303333</v>
      </c>
    </row>
    <row r="111" spans="2:10">
      <c r="B111" s="271"/>
      <c r="C111" s="272" t="s">
        <v>707</v>
      </c>
      <c r="D111" s="271"/>
      <c r="E111" s="274">
        <f>Dat_02!F110</f>
        <v>14.535573775999961</v>
      </c>
      <c r="F111" s="274">
        <f>Dat_02!G110</f>
        <v>89.734800765303333</v>
      </c>
      <c r="G111" s="274">
        <f>Dat_02!H110</f>
        <v>14.535573775999961</v>
      </c>
      <c r="I111" s="275" t="str">
        <f>Dat_02!J110</f>
        <v/>
      </c>
      <c r="J111" s="287" t="str">
        <f>IF(Dat_02!K110=0,"",Dat_02!K110)</f>
        <v/>
      </c>
    </row>
    <row r="112" spans="2:10">
      <c r="B112" s="271"/>
      <c r="C112" s="272" t="s">
        <v>708</v>
      </c>
      <c r="D112" s="271"/>
      <c r="E112" s="274">
        <f>Dat_02!F111</f>
        <v>12.580275401999382</v>
      </c>
      <c r="F112" s="274">
        <f>Dat_02!G111</f>
        <v>89.734800765303333</v>
      </c>
      <c r="G112" s="274">
        <f>Dat_02!H111</f>
        <v>12.580275401999382</v>
      </c>
      <c r="I112" s="275" t="str">
        <f>Dat_02!J111</f>
        <v/>
      </c>
      <c r="J112" s="287" t="str">
        <f>IF(Dat_02!K111=0,"",Dat_02!K111)</f>
        <v/>
      </c>
    </row>
    <row r="113" spans="2:10">
      <c r="B113" s="271"/>
      <c r="C113" s="272" t="s">
        <v>709</v>
      </c>
      <c r="D113" s="271"/>
      <c r="E113" s="274">
        <f>Dat_02!F112</f>
        <v>33.068154081999971</v>
      </c>
      <c r="F113" s="274">
        <f>Dat_02!G112</f>
        <v>89.734800765303333</v>
      </c>
      <c r="G113" s="274">
        <f>Dat_02!H112</f>
        <v>33.068154081999971</v>
      </c>
      <c r="I113" s="275" t="str">
        <f>Dat_02!J112</f>
        <v/>
      </c>
      <c r="J113" s="287" t="str">
        <f>IF(Dat_02!K112=0,"",Dat_02!K112)</f>
        <v/>
      </c>
    </row>
    <row r="114" spans="2:10">
      <c r="B114" s="271"/>
      <c r="C114" s="272" t="s">
        <v>710</v>
      </c>
      <c r="D114" s="271"/>
      <c r="E114" s="274">
        <f>Dat_02!F113</f>
        <v>22.931885048000126</v>
      </c>
      <c r="F114" s="274">
        <f>Dat_02!G113</f>
        <v>89.734800765303333</v>
      </c>
      <c r="G114" s="274">
        <f>Dat_02!H113</f>
        <v>22.931885048000126</v>
      </c>
      <c r="I114" s="275" t="str">
        <f>Dat_02!J113</f>
        <v/>
      </c>
      <c r="J114" s="287" t="str">
        <f>IF(Dat_02!K113=0,"",Dat_02!K113)</f>
        <v/>
      </c>
    </row>
    <row r="115" spans="2:10">
      <c r="B115" s="271"/>
      <c r="C115" s="272" t="s">
        <v>711</v>
      </c>
      <c r="D115" s="271"/>
      <c r="E115" s="274">
        <f>Dat_02!F114</f>
        <v>15.904532910000347</v>
      </c>
      <c r="F115" s="274">
        <f>Dat_02!G114</f>
        <v>89.734800765303333</v>
      </c>
      <c r="G115" s="274">
        <f>Dat_02!H114</f>
        <v>15.904532910000347</v>
      </c>
      <c r="I115" s="275" t="str">
        <f>Dat_02!J114</f>
        <v/>
      </c>
      <c r="J115" s="287" t="str">
        <f>IF(Dat_02!K114=0,"",Dat_02!K114)</f>
        <v/>
      </c>
    </row>
    <row r="116" spans="2:10">
      <c r="B116" s="271"/>
      <c r="C116" s="272" t="s">
        <v>712</v>
      </c>
      <c r="D116" s="271"/>
      <c r="E116" s="274">
        <f>Dat_02!F115</f>
        <v>13.025878311999739</v>
      </c>
      <c r="F116" s="274">
        <f>Dat_02!G115</f>
        <v>89.734800765303333</v>
      </c>
      <c r="G116" s="274">
        <f>Dat_02!H115</f>
        <v>13.025878311999739</v>
      </c>
      <c r="I116" s="275" t="str">
        <f>Dat_02!J115</f>
        <v/>
      </c>
      <c r="J116" s="287" t="str">
        <f>IF(Dat_02!K115=0,"",Dat_02!K115)</f>
        <v/>
      </c>
    </row>
    <row r="117" spans="2:10">
      <c r="B117" s="271"/>
      <c r="C117" s="272" t="s">
        <v>713</v>
      </c>
      <c r="D117" s="271"/>
      <c r="E117" s="274">
        <f>Dat_02!F116</f>
        <v>10.57376741600031</v>
      </c>
      <c r="F117" s="274">
        <f>Dat_02!G116</f>
        <v>89.734800765303333</v>
      </c>
      <c r="G117" s="274">
        <f>Dat_02!H116</f>
        <v>10.57376741600031</v>
      </c>
      <c r="I117" s="275" t="str">
        <f>Dat_02!J116</f>
        <v/>
      </c>
      <c r="J117" s="287" t="str">
        <f>IF(Dat_02!K116=0,"",Dat_02!K116)</f>
        <v/>
      </c>
    </row>
    <row r="118" spans="2:10">
      <c r="B118" s="271"/>
      <c r="C118" s="272" t="s">
        <v>714</v>
      </c>
      <c r="D118" s="271"/>
      <c r="E118" s="274">
        <f>Dat_02!F117</f>
        <v>17.985621332000253</v>
      </c>
      <c r="F118" s="274">
        <f>Dat_02!G117</f>
        <v>89.734800765303333</v>
      </c>
      <c r="G118" s="274">
        <f>Dat_02!H117</f>
        <v>17.985621332000253</v>
      </c>
      <c r="I118" s="275" t="str">
        <f>Dat_02!J117</f>
        <v/>
      </c>
      <c r="J118" s="287" t="str">
        <f>IF(Dat_02!K117=0,"",Dat_02!K117)</f>
        <v/>
      </c>
    </row>
    <row r="119" spans="2:10">
      <c r="B119" s="271"/>
      <c r="C119" s="272" t="s">
        <v>715</v>
      </c>
      <c r="D119" s="271"/>
      <c r="E119" s="274">
        <f>Dat_02!F118</f>
        <v>17.956019549999681</v>
      </c>
      <c r="F119" s="274">
        <f>Dat_02!G118</f>
        <v>89.734800765303333</v>
      </c>
      <c r="G119" s="274">
        <f>Dat_02!H118</f>
        <v>17.956019549999681</v>
      </c>
      <c r="I119" s="275" t="str">
        <f>Dat_02!J118</f>
        <v/>
      </c>
      <c r="J119" s="287" t="str">
        <f>IF(Dat_02!K118=0,"",Dat_02!K118)</f>
        <v/>
      </c>
    </row>
    <row r="120" spans="2:10">
      <c r="B120" s="271"/>
      <c r="C120" s="272" t="s">
        <v>716</v>
      </c>
      <c r="D120" s="271"/>
      <c r="E120" s="274">
        <f>Dat_02!F119</f>
        <v>23.836756611999604</v>
      </c>
      <c r="F120" s="274">
        <f>Dat_02!G119</f>
        <v>89.734800765303333</v>
      </c>
      <c r="G120" s="274">
        <f>Dat_02!H119</f>
        <v>23.836756611999604</v>
      </c>
      <c r="I120" s="275" t="str">
        <f>Dat_02!J119</f>
        <v/>
      </c>
      <c r="J120" s="287" t="str">
        <f>IF(Dat_02!K119=0,"",Dat_02!K119)</f>
        <v/>
      </c>
    </row>
    <row r="121" spans="2:10">
      <c r="B121" s="271"/>
      <c r="C121" s="272" t="s">
        <v>717</v>
      </c>
      <c r="D121" s="271"/>
      <c r="E121" s="274">
        <f>Dat_02!F120</f>
        <v>26.105798189999813</v>
      </c>
      <c r="F121" s="274">
        <f>Dat_02!G120</f>
        <v>89.734800765303333</v>
      </c>
      <c r="G121" s="274">
        <f>Dat_02!H120</f>
        <v>26.105798189999813</v>
      </c>
      <c r="I121" s="275" t="str">
        <f>Dat_02!J120</f>
        <v/>
      </c>
      <c r="J121" s="287" t="str">
        <f>IF(Dat_02!K120=0,"",Dat_02!K120)</f>
        <v/>
      </c>
    </row>
    <row r="122" spans="2:10">
      <c r="B122" s="271"/>
      <c r="C122" s="272" t="s">
        <v>718</v>
      </c>
      <c r="D122" s="271"/>
      <c r="E122" s="274">
        <f>Dat_02!F121</f>
        <v>8.1135639680006904</v>
      </c>
      <c r="F122" s="274">
        <f>Dat_02!G121</f>
        <v>89.734800765303333</v>
      </c>
      <c r="G122" s="274">
        <f>Dat_02!H121</f>
        <v>8.1135639680006904</v>
      </c>
      <c r="I122" s="275" t="str">
        <f>Dat_02!J121</f>
        <v/>
      </c>
      <c r="J122" s="287" t="str">
        <f>IF(Dat_02!K121=0,"",Dat_02!K121)</f>
        <v/>
      </c>
    </row>
    <row r="123" spans="2:10">
      <c r="B123" s="271"/>
      <c r="C123" s="272" t="s">
        <v>719</v>
      </c>
      <c r="D123" s="271"/>
      <c r="E123" s="274">
        <f>Dat_02!F122</f>
        <v>3.4256280719995829</v>
      </c>
      <c r="F123" s="274">
        <f>Dat_02!G122</f>
        <v>89.734800765303333</v>
      </c>
      <c r="G123" s="274">
        <f>Dat_02!H122</f>
        <v>3.4256280719995829</v>
      </c>
      <c r="I123" s="275" t="str">
        <f>Dat_02!J122</f>
        <v/>
      </c>
      <c r="J123" s="287" t="str">
        <f>IF(Dat_02!K122=0,"",Dat_02!K122)</f>
        <v/>
      </c>
    </row>
    <row r="124" spans="2:10">
      <c r="B124" s="271"/>
      <c r="C124" s="272" t="s">
        <v>720</v>
      </c>
      <c r="D124" s="271"/>
      <c r="E124" s="274">
        <f>Dat_02!F123</f>
        <v>26.152670303999869</v>
      </c>
      <c r="F124" s="274">
        <f>Dat_02!G123</f>
        <v>89.734800765303333</v>
      </c>
      <c r="G124" s="274">
        <f>Dat_02!H123</f>
        <v>26.152670303999869</v>
      </c>
      <c r="I124" s="275" t="str">
        <f>Dat_02!J123</f>
        <v/>
      </c>
      <c r="J124" s="287" t="str">
        <f>IF(Dat_02!K123=0,"",Dat_02!K123)</f>
        <v/>
      </c>
    </row>
    <row r="125" spans="2:10">
      <c r="B125" s="273"/>
      <c r="C125" s="278" t="s">
        <v>721</v>
      </c>
      <c r="D125" s="271"/>
      <c r="E125" s="274">
        <f>Dat_02!F124</f>
        <v>17.432545392000581</v>
      </c>
      <c r="F125" s="274">
        <f>Dat_02!G124</f>
        <v>89.734800765303333</v>
      </c>
      <c r="G125" s="274">
        <f>Dat_02!H124</f>
        <v>17.432545392000581</v>
      </c>
      <c r="I125" s="275" t="str">
        <f>Dat_02!J124</f>
        <v/>
      </c>
      <c r="J125" s="287" t="str">
        <f>IF(Dat_02!K124=0,"",Dat_02!K124)</f>
        <v/>
      </c>
    </row>
    <row r="126" spans="2:10">
      <c r="B126" s="271" t="s">
        <v>722</v>
      </c>
      <c r="C126" s="272" t="s">
        <v>723</v>
      </c>
      <c r="D126" s="273"/>
      <c r="E126" s="274">
        <f>Dat_02!F125</f>
        <v>8.8544509540000451</v>
      </c>
      <c r="F126" s="274">
        <f>Dat_02!G125</f>
        <v>112.02604617689678</v>
      </c>
      <c r="G126" s="274">
        <f>Dat_02!H125</f>
        <v>8.8544509540000451</v>
      </c>
      <c r="I126" s="275" t="str">
        <f>Dat_02!J125</f>
        <v/>
      </c>
      <c r="J126" s="287" t="str">
        <f>IF(Dat_02!K125=0,"",Dat_02!K125)</f>
        <v/>
      </c>
    </row>
    <row r="127" spans="2:10">
      <c r="B127" s="273"/>
      <c r="C127" s="272" t="s">
        <v>724</v>
      </c>
      <c r="D127" s="273"/>
      <c r="E127" s="274">
        <f>Dat_02!F126</f>
        <v>31.234745385999865</v>
      </c>
      <c r="F127" s="274">
        <f>Dat_02!G126</f>
        <v>112.02604617689678</v>
      </c>
      <c r="G127" s="274">
        <f>Dat_02!H126</f>
        <v>31.234745385999865</v>
      </c>
      <c r="I127" s="275" t="str">
        <f>Dat_02!J126</f>
        <v/>
      </c>
      <c r="J127" s="287" t="str">
        <f>IF(Dat_02!K126=0,"",Dat_02!K126)</f>
        <v/>
      </c>
    </row>
    <row r="128" spans="2:10">
      <c r="B128" s="271"/>
      <c r="C128" s="272" t="s">
        <v>725</v>
      </c>
      <c r="D128" s="273"/>
      <c r="E128" s="274">
        <f>Dat_02!F127</f>
        <v>27.489775494000138</v>
      </c>
      <c r="F128" s="274">
        <f>Dat_02!G127</f>
        <v>112.02604617689678</v>
      </c>
      <c r="G128" s="274">
        <f>Dat_02!H127</f>
        <v>27.489775494000138</v>
      </c>
      <c r="I128" s="275" t="str">
        <f>Dat_02!J127</f>
        <v/>
      </c>
      <c r="J128" s="287" t="str">
        <f>IF(Dat_02!K127=0,"",Dat_02!K127)</f>
        <v/>
      </c>
    </row>
    <row r="129" spans="2:10">
      <c r="B129" s="271"/>
      <c r="C129" s="272" t="s">
        <v>726</v>
      </c>
      <c r="D129" s="271"/>
      <c r="E129" s="274">
        <f>Dat_02!F128</f>
        <v>6.640168649999687</v>
      </c>
      <c r="F129" s="274">
        <f>Dat_02!G128</f>
        <v>112.02604617689678</v>
      </c>
      <c r="G129" s="274">
        <f>Dat_02!H128</f>
        <v>6.640168649999687</v>
      </c>
      <c r="I129" s="275" t="str">
        <f>Dat_02!J128</f>
        <v/>
      </c>
      <c r="J129" s="287" t="str">
        <f>IF(Dat_02!K128=0,"",Dat_02!K128)</f>
        <v/>
      </c>
    </row>
    <row r="130" spans="2:10">
      <c r="B130" s="271"/>
      <c r="C130" s="272" t="s">
        <v>727</v>
      </c>
      <c r="D130" s="271"/>
      <c r="E130" s="274">
        <f>Dat_02!F129</f>
        <v>14.456189891999545</v>
      </c>
      <c r="F130" s="274">
        <f>Dat_02!G129</f>
        <v>112.02604617689678</v>
      </c>
      <c r="G130" s="274">
        <f>Dat_02!H129</f>
        <v>14.456189891999545</v>
      </c>
      <c r="I130" s="275" t="str">
        <f>Dat_02!J129</f>
        <v/>
      </c>
      <c r="J130" s="287" t="str">
        <f>IF(Dat_02!K129=0,"",Dat_02!K129)</f>
        <v/>
      </c>
    </row>
    <row r="131" spans="2:10">
      <c r="B131" s="271"/>
      <c r="C131" s="272" t="s">
        <v>728</v>
      </c>
      <c r="D131" s="271"/>
      <c r="E131" s="274">
        <f>Dat_02!F130</f>
        <v>14.707701754000245</v>
      </c>
      <c r="F131" s="274">
        <f>Dat_02!G130</f>
        <v>112.02604617689678</v>
      </c>
      <c r="G131" s="274">
        <f>Dat_02!H130</f>
        <v>14.707701754000245</v>
      </c>
      <c r="I131" s="275" t="str">
        <f>Dat_02!J130</f>
        <v/>
      </c>
      <c r="J131" s="287" t="str">
        <f>IF(Dat_02!K130=0,"",Dat_02!K130)</f>
        <v/>
      </c>
    </row>
    <row r="132" spans="2:10">
      <c r="B132" s="271"/>
      <c r="C132" s="272" t="s">
        <v>729</v>
      </c>
      <c r="D132" s="271"/>
      <c r="E132" s="274">
        <f>Dat_02!F131</f>
        <v>28.234186062000102</v>
      </c>
      <c r="F132" s="274">
        <f>Dat_02!G131</f>
        <v>112.02604617689678</v>
      </c>
      <c r="G132" s="274">
        <f>Dat_02!H131</f>
        <v>28.234186062000102</v>
      </c>
      <c r="I132" s="275" t="str">
        <f>Dat_02!J131</f>
        <v/>
      </c>
      <c r="J132" s="287" t="str">
        <f>IF(Dat_02!K131=0,"",Dat_02!K131)</f>
        <v/>
      </c>
    </row>
    <row r="133" spans="2:10">
      <c r="B133" s="271"/>
      <c r="C133" s="272" t="s">
        <v>730</v>
      </c>
      <c r="D133" s="271"/>
      <c r="E133" s="274">
        <f>Dat_02!F132</f>
        <v>24.086839598000438</v>
      </c>
      <c r="F133" s="274">
        <f>Dat_02!G132</f>
        <v>112.02604617689678</v>
      </c>
      <c r="G133" s="274">
        <f>Dat_02!H132</f>
        <v>24.086839598000438</v>
      </c>
      <c r="I133" s="275" t="str">
        <f>Dat_02!J132</f>
        <v/>
      </c>
      <c r="J133" s="287" t="str">
        <f>IF(Dat_02!K132=0,"",Dat_02!K132)</f>
        <v/>
      </c>
    </row>
    <row r="134" spans="2:10">
      <c r="B134" s="271"/>
      <c r="C134" s="272" t="s">
        <v>731</v>
      </c>
      <c r="D134" s="271"/>
      <c r="E134" s="274">
        <f>Dat_02!F133</f>
        <v>37.908427159999526</v>
      </c>
      <c r="F134" s="274">
        <f>Dat_02!G133</f>
        <v>112.02604617689678</v>
      </c>
      <c r="G134" s="274">
        <f>Dat_02!H133</f>
        <v>37.908427159999526</v>
      </c>
      <c r="I134" s="275" t="str">
        <f>Dat_02!J133</f>
        <v/>
      </c>
      <c r="J134" s="287" t="str">
        <f>IF(Dat_02!K133=0,"",Dat_02!K133)</f>
        <v/>
      </c>
    </row>
    <row r="135" spans="2:10">
      <c r="B135" s="271"/>
      <c r="C135" s="272" t="s">
        <v>732</v>
      </c>
      <c r="D135" s="271"/>
      <c r="E135" s="274">
        <f>Dat_02!F134</f>
        <v>75.787528893999863</v>
      </c>
      <c r="F135" s="274">
        <f>Dat_02!G134</f>
        <v>112.02604617689678</v>
      </c>
      <c r="G135" s="274">
        <f>Dat_02!H134</f>
        <v>75.787528893999863</v>
      </c>
      <c r="I135" s="275" t="str">
        <f>Dat_02!J134</f>
        <v/>
      </c>
      <c r="J135" s="287" t="str">
        <f>IF(Dat_02!K134=0,"",Dat_02!K134)</f>
        <v/>
      </c>
    </row>
    <row r="136" spans="2:10">
      <c r="B136" s="271"/>
      <c r="C136" s="272" t="s">
        <v>733</v>
      </c>
      <c r="D136" s="271"/>
      <c r="E136" s="274">
        <f>Dat_02!F135</f>
        <v>133.71425564600011</v>
      </c>
      <c r="F136" s="274">
        <f>Dat_02!G135</f>
        <v>112.02604617689678</v>
      </c>
      <c r="G136" s="274">
        <f>Dat_02!H135</f>
        <v>112.02604617689678</v>
      </c>
      <c r="I136" s="275" t="str">
        <f>Dat_02!J135</f>
        <v/>
      </c>
      <c r="J136" s="287" t="str">
        <f>IF(Dat_02!K135=0,"",Dat_02!K135)</f>
        <v/>
      </c>
    </row>
    <row r="137" spans="2:10">
      <c r="B137" s="271"/>
      <c r="C137" s="272" t="s">
        <v>734</v>
      </c>
      <c r="D137" s="271"/>
      <c r="E137" s="274">
        <f>Dat_02!F136</f>
        <v>106.06486796800039</v>
      </c>
      <c r="F137" s="274">
        <f>Dat_02!G136</f>
        <v>112.02604617689678</v>
      </c>
      <c r="G137" s="274">
        <f>Dat_02!H136</f>
        <v>106.06486796800039</v>
      </c>
      <c r="I137" s="275" t="str">
        <f>Dat_02!J136</f>
        <v/>
      </c>
      <c r="J137" s="287" t="str">
        <f>IF(Dat_02!K136=0,"",Dat_02!K136)</f>
        <v/>
      </c>
    </row>
    <row r="138" spans="2:10">
      <c r="B138" s="271"/>
      <c r="C138" s="272" t="s">
        <v>735</v>
      </c>
      <c r="D138" s="271"/>
      <c r="E138" s="274">
        <f>Dat_02!F137</f>
        <v>61.569184114000187</v>
      </c>
      <c r="F138" s="274">
        <f>Dat_02!G137</f>
        <v>112.02604617689678</v>
      </c>
      <c r="G138" s="274">
        <f>Dat_02!H137</f>
        <v>61.569184114000187</v>
      </c>
      <c r="I138" s="275" t="str">
        <f>Dat_02!J137</f>
        <v/>
      </c>
      <c r="J138" s="287" t="str">
        <f>IF(Dat_02!K137=0,"",Dat_02!K137)</f>
        <v/>
      </c>
    </row>
    <row r="139" spans="2:10">
      <c r="B139" s="271"/>
      <c r="C139" s="272" t="s">
        <v>736</v>
      </c>
      <c r="D139" s="271"/>
      <c r="E139" s="274">
        <f>Dat_02!F138</f>
        <v>98.005116379999322</v>
      </c>
      <c r="F139" s="274">
        <f>Dat_02!G138</f>
        <v>112.02604617689678</v>
      </c>
      <c r="G139" s="274">
        <f>Dat_02!H138</f>
        <v>98.005116379999322</v>
      </c>
      <c r="I139" s="275" t="str">
        <f>Dat_02!J138</f>
        <v/>
      </c>
      <c r="J139" s="287" t="str">
        <f>IF(Dat_02!K138=0,"",Dat_02!K138)</f>
        <v/>
      </c>
    </row>
    <row r="140" spans="2:10">
      <c r="B140" s="271"/>
      <c r="C140" s="272" t="s">
        <v>737</v>
      </c>
      <c r="D140" s="271"/>
      <c r="E140" s="274">
        <f>Dat_02!F139</f>
        <v>101.76139547400032</v>
      </c>
      <c r="F140" s="274">
        <f>Dat_02!G139</f>
        <v>112.02604617689678</v>
      </c>
      <c r="G140" s="274">
        <f>Dat_02!H139</f>
        <v>101.76139547400032</v>
      </c>
      <c r="I140" s="275" t="str">
        <f>Dat_02!J139</f>
        <v>D</v>
      </c>
      <c r="J140" s="287">
        <f>IF(Dat_02!K139=0,"",Dat_02!K139)</f>
        <v>112.02604617689678</v>
      </c>
    </row>
    <row r="141" spans="2:10">
      <c r="B141" s="271"/>
      <c r="C141" s="272" t="s">
        <v>738</v>
      </c>
      <c r="D141" s="271"/>
      <c r="E141" s="274">
        <f>Dat_02!F140</f>
        <v>74.413492190000255</v>
      </c>
      <c r="F141" s="274">
        <f>Dat_02!G140</f>
        <v>112.02604617689678</v>
      </c>
      <c r="G141" s="274">
        <f>Dat_02!H140</f>
        <v>74.413492190000255</v>
      </c>
      <c r="I141" s="275" t="str">
        <f>Dat_02!J140</f>
        <v/>
      </c>
      <c r="J141" s="287" t="str">
        <f>IF(Dat_02!K140=0,"",Dat_02!K140)</f>
        <v/>
      </c>
    </row>
    <row r="142" spans="2:10">
      <c r="B142" s="271"/>
      <c r="C142" s="272" t="s">
        <v>739</v>
      </c>
      <c r="D142" s="271"/>
      <c r="E142" s="274">
        <f>Dat_02!F141</f>
        <v>49.984638545999779</v>
      </c>
      <c r="F142" s="274">
        <f>Dat_02!G141</f>
        <v>112.02604617689678</v>
      </c>
      <c r="G142" s="274">
        <f>Dat_02!H141</f>
        <v>49.984638545999779</v>
      </c>
      <c r="I142" s="275" t="str">
        <f>Dat_02!J141</f>
        <v/>
      </c>
      <c r="J142" s="287" t="str">
        <f>IF(Dat_02!K141=0,"",Dat_02!K141)</f>
        <v/>
      </c>
    </row>
    <row r="143" spans="2:10">
      <c r="B143" s="271"/>
      <c r="C143" s="272" t="s">
        <v>740</v>
      </c>
      <c r="D143" s="271"/>
      <c r="E143" s="274">
        <f>Dat_02!F142</f>
        <v>61.124411660000057</v>
      </c>
      <c r="F143" s="274">
        <f>Dat_02!G142</f>
        <v>112.02604617689678</v>
      </c>
      <c r="G143" s="274">
        <f>Dat_02!H142</f>
        <v>61.124411660000057</v>
      </c>
      <c r="I143" s="275" t="str">
        <f>Dat_02!J142</f>
        <v/>
      </c>
      <c r="J143" s="287" t="str">
        <f>IF(Dat_02!K142=0,"",Dat_02!K142)</f>
        <v/>
      </c>
    </row>
    <row r="144" spans="2:10">
      <c r="B144" s="271"/>
      <c r="C144" s="272" t="s">
        <v>741</v>
      </c>
      <c r="D144" s="271"/>
      <c r="E144" s="274">
        <f>Dat_02!F143</f>
        <v>55.687786108000267</v>
      </c>
      <c r="F144" s="274">
        <f>Dat_02!G143</f>
        <v>112.02604617689678</v>
      </c>
      <c r="G144" s="274">
        <f>Dat_02!H143</f>
        <v>55.687786108000267</v>
      </c>
      <c r="I144" s="275" t="str">
        <f>Dat_02!J143</f>
        <v/>
      </c>
      <c r="J144" s="287" t="str">
        <f>IF(Dat_02!K143=0,"",Dat_02!K143)</f>
        <v/>
      </c>
    </row>
    <row r="145" spans="2:10">
      <c r="B145" s="271"/>
      <c r="C145" s="272" t="s">
        <v>742</v>
      </c>
      <c r="D145" s="271"/>
      <c r="E145" s="274">
        <f>Dat_02!F144</f>
        <v>60.014038807999576</v>
      </c>
      <c r="F145" s="274">
        <f>Dat_02!G144</f>
        <v>112.02604617689678</v>
      </c>
      <c r="G145" s="274">
        <f>Dat_02!H144</f>
        <v>60.014038807999576</v>
      </c>
      <c r="I145" s="275" t="str">
        <f>Dat_02!J144</f>
        <v/>
      </c>
      <c r="J145" s="287" t="str">
        <f>IF(Dat_02!K144=0,"",Dat_02!K144)</f>
        <v/>
      </c>
    </row>
    <row r="146" spans="2:10">
      <c r="B146" s="271"/>
      <c r="C146" s="272" t="s">
        <v>743</v>
      </c>
      <c r="D146" s="271"/>
      <c r="E146" s="274">
        <f>Dat_02!F145</f>
        <v>43.888313440000069</v>
      </c>
      <c r="F146" s="274">
        <f>Dat_02!G145</f>
        <v>112.02604617689678</v>
      </c>
      <c r="G146" s="274">
        <f>Dat_02!H145</f>
        <v>43.888313440000069</v>
      </c>
      <c r="I146" s="275" t="str">
        <f>Dat_02!J145</f>
        <v/>
      </c>
      <c r="J146" s="287" t="str">
        <f>IF(Dat_02!K145=0,"",Dat_02!K145)</f>
        <v/>
      </c>
    </row>
    <row r="147" spans="2:10">
      <c r="B147" s="271"/>
      <c r="C147" s="272" t="s">
        <v>744</v>
      </c>
      <c r="D147" s="271"/>
      <c r="E147" s="274">
        <f>Dat_02!F146</f>
        <v>45.149051252000262</v>
      </c>
      <c r="F147" s="274">
        <f>Dat_02!G146</f>
        <v>112.02604617689678</v>
      </c>
      <c r="G147" s="274">
        <f>Dat_02!H146</f>
        <v>45.149051252000262</v>
      </c>
      <c r="I147" s="275" t="str">
        <f>Dat_02!J146</f>
        <v/>
      </c>
      <c r="J147" s="287" t="str">
        <f>IF(Dat_02!K146=0,"",Dat_02!K146)</f>
        <v/>
      </c>
    </row>
    <row r="148" spans="2:10">
      <c r="B148" s="271"/>
      <c r="C148" s="272" t="s">
        <v>745</v>
      </c>
      <c r="D148" s="271"/>
      <c r="E148" s="274">
        <f>Dat_02!F147</f>
        <v>116.80852258400007</v>
      </c>
      <c r="F148" s="274">
        <f>Dat_02!G147</f>
        <v>112.02604617689678</v>
      </c>
      <c r="G148" s="274">
        <f>Dat_02!H147</f>
        <v>112.02604617689678</v>
      </c>
      <c r="I148" s="275" t="str">
        <f>Dat_02!J147</f>
        <v/>
      </c>
      <c r="J148" s="287" t="str">
        <f>IF(Dat_02!K147=0,"",Dat_02!K147)</f>
        <v/>
      </c>
    </row>
    <row r="149" spans="2:10">
      <c r="B149" s="271"/>
      <c r="C149" s="272" t="s">
        <v>746</v>
      </c>
      <c r="D149" s="271"/>
      <c r="E149" s="274">
        <f>Dat_02!F148</f>
        <v>36.160617945999505</v>
      </c>
      <c r="F149" s="274">
        <f>Dat_02!G148</f>
        <v>112.02604617689678</v>
      </c>
      <c r="G149" s="274">
        <f>Dat_02!H148</f>
        <v>36.160617945999505</v>
      </c>
      <c r="I149" s="275" t="str">
        <f>Dat_02!J148</f>
        <v/>
      </c>
      <c r="J149" s="287" t="str">
        <f>IF(Dat_02!K148=0,"",Dat_02!K148)</f>
        <v/>
      </c>
    </row>
    <row r="150" spans="2:10">
      <c r="B150" s="271"/>
      <c r="C150" s="272" t="s">
        <v>747</v>
      </c>
      <c r="D150" s="271"/>
      <c r="E150" s="274">
        <f>Dat_02!F149</f>
        <v>36.19546463200053</v>
      </c>
      <c r="F150" s="274">
        <f>Dat_02!G149</f>
        <v>112.02604617689678</v>
      </c>
      <c r="G150" s="274">
        <f>Dat_02!H149</f>
        <v>36.19546463200053</v>
      </c>
      <c r="I150" s="275" t="str">
        <f>Dat_02!J149</f>
        <v/>
      </c>
      <c r="J150" s="287" t="str">
        <f>IF(Dat_02!K149=0,"",Dat_02!K149)</f>
        <v/>
      </c>
    </row>
    <row r="151" spans="2:10">
      <c r="B151" s="271"/>
      <c r="C151" s="272" t="s">
        <v>748</v>
      </c>
      <c r="D151" s="271"/>
      <c r="E151" s="274">
        <f>Dat_02!F150</f>
        <v>60.816156899999754</v>
      </c>
      <c r="F151" s="274">
        <f>Dat_02!G150</f>
        <v>112.02604617689678</v>
      </c>
      <c r="G151" s="274">
        <f>Dat_02!H150</f>
        <v>60.816156899999754</v>
      </c>
      <c r="I151" s="275" t="str">
        <f>Dat_02!J150</f>
        <v/>
      </c>
      <c r="J151" s="287" t="str">
        <f>IF(Dat_02!K150=0,"",Dat_02!K150)</f>
        <v/>
      </c>
    </row>
    <row r="152" spans="2:10">
      <c r="B152" s="271"/>
      <c r="C152" s="272" t="s">
        <v>749</v>
      </c>
      <c r="D152" s="271"/>
      <c r="E152" s="274">
        <f>Dat_02!F151</f>
        <v>66.296639185999865</v>
      </c>
      <c r="F152" s="274">
        <f>Dat_02!G151</f>
        <v>112.02604617689678</v>
      </c>
      <c r="G152" s="274">
        <f>Dat_02!H151</f>
        <v>66.296639185999865</v>
      </c>
      <c r="I152" s="275" t="str">
        <f>Dat_02!J151</f>
        <v/>
      </c>
      <c r="J152" s="287" t="str">
        <f>IF(Dat_02!K151=0,"",Dat_02!K151)</f>
        <v/>
      </c>
    </row>
    <row r="153" spans="2:10">
      <c r="B153" s="271"/>
      <c r="C153" s="272" t="s">
        <v>750</v>
      </c>
      <c r="D153" s="271"/>
      <c r="E153" s="274">
        <f>Dat_02!F152</f>
        <v>41.25654523999993</v>
      </c>
      <c r="F153" s="274">
        <f>Dat_02!G152</f>
        <v>112.02604617689678</v>
      </c>
      <c r="G153" s="274">
        <f>Dat_02!H152</f>
        <v>41.25654523999993</v>
      </c>
      <c r="I153" s="275" t="str">
        <f>Dat_02!J152</f>
        <v/>
      </c>
      <c r="J153" s="287" t="str">
        <f>IF(Dat_02!K152=0,"",Dat_02!K152)</f>
        <v/>
      </c>
    </row>
    <row r="154" spans="2:10">
      <c r="B154" s="271"/>
      <c r="C154" s="272" t="s">
        <v>751</v>
      </c>
      <c r="D154" s="271"/>
      <c r="E154" s="274">
        <f>Dat_02!F153</f>
        <v>45.083249121999515</v>
      </c>
      <c r="F154" s="274">
        <f>Dat_02!G153</f>
        <v>112.02604617689678</v>
      </c>
      <c r="G154" s="274">
        <f>Dat_02!H153</f>
        <v>45.083249121999515</v>
      </c>
      <c r="I154" s="275" t="str">
        <f>Dat_02!J153</f>
        <v/>
      </c>
      <c r="J154" s="287" t="str">
        <f>IF(Dat_02!K153=0,"",Dat_02!K153)</f>
        <v/>
      </c>
    </row>
    <row r="155" spans="2:10">
      <c r="B155" s="271"/>
      <c r="C155" s="272" t="s">
        <v>752</v>
      </c>
      <c r="D155" s="271"/>
      <c r="E155" s="274">
        <f>Dat_02!F154</f>
        <v>89.630860876000924</v>
      </c>
      <c r="F155" s="274">
        <f>Dat_02!G154</f>
        <v>112.02604617689678</v>
      </c>
      <c r="G155" s="274">
        <f>Dat_02!H154</f>
        <v>89.630860876000924</v>
      </c>
      <c r="I155" s="275" t="str">
        <f>Dat_02!J154</f>
        <v/>
      </c>
      <c r="J155" s="287" t="str">
        <f>IF(Dat_02!K154=0,"",Dat_02!K154)</f>
        <v/>
      </c>
    </row>
    <row r="156" spans="2:10">
      <c r="B156" s="273"/>
      <c r="C156" s="278" t="s">
        <v>753</v>
      </c>
      <c r="D156" s="273"/>
      <c r="E156" s="274">
        <f>Dat_02!F155</f>
        <v>80.858669753999109</v>
      </c>
      <c r="F156" s="274">
        <f>Dat_02!G155</f>
        <v>112.02604617689678</v>
      </c>
      <c r="G156" s="274">
        <f>Dat_02!H155</f>
        <v>80.858669753999109</v>
      </c>
      <c r="I156" s="275" t="str">
        <f>Dat_02!J155</f>
        <v/>
      </c>
      <c r="J156" s="287" t="str">
        <f>IF(Dat_02!K155=0,"",Dat_02!K155)</f>
        <v/>
      </c>
    </row>
    <row r="157" spans="2:10">
      <c r="B157" s="271" t="s">
        <v>754</v>
      </c>
      <c r="C157" s="272" t="s">
        <v>755</v>
      </c>
      <c r="D157" s="273"/>
      <c r="E157" s="274">
        <f>Dat_02!F156</f>
        <v>107.01719805200038</v>
      </c>
      <c r="F157" s="274">
        <f>Dat_02!G156</f>
        <v>124.98280708097418</v>
      </c>
      <c r="G157" s="274">
        <f>Dat_02!H156</f>
        <v>107.01719805200038</v>
      </c>
      <c r="I157" s="275" t="str">
        <f>Dat_02!J156</f>
        <v/>
      </c>
      <c r="J157" s="287" t="str">
        <f>IF(Dat_02!K156=0,"",Dat_02!K156)</f>
        <v/>
      </c>
    </row>
    <row r="158" spans="2:10">
      <c r="B158" s="273"/>
      <c r="C158" s="272" t="s">
        <v>756</v>
      </c>
      <c r="D158" s="273"/>
      <c r="E158" s="274">
        <f>Dat_02!F157</f>
        <v>106.73138875999985</v>
      </c>
      <c r="F158" s="274">
        <f>Dat_02!G157</f>
        <v>124.98280708097418</v>
      </c>
      <c r="G158" s="274">
        <f>Dat_02!H157</f>
        <v>106.73138875999985</v>
      </c>
      <c r="I158" s="275" t="str">
        <f>Dat_02!J157</f>
        <v/>
      </c>
      <c r="J158" s="287" t="str">
        <f>IF(Dat_02!K157=0,"",Dat_02!K157)</f>
        <v/>
      </c>
    </row>
    <row r="159" spans="2:10">
      <c r="B159" s="271"/>
      <c r="C159" s="272" t="s">
        <v>757</v>
      </c>
      <c r="D159" s="271"/>
      <c r="E159" s="274">
        <f>Dat_02!F158</f>
        <v>124.19056760000058</v>
      </c>
      <c r="F159" s="274">
        <f>Dat_02!G158</f>
        <v>124.98280708097418</v>
      </c>
      <c r="G159" s="274">
        <f>Dat_02!H158</f>
        <v>124.19056760000058</v>
      </c>
      <c r="I159" s="275" t="str">
        <f>Dat_02!J158</f>
        <v/>
      </c>
      <c r="J159" s="287" t="str">
        <f>IF(Dat_02!K158=0,"",Dat_02!K158)</f>
        <v/>
      </c>
    </row>
    <row r="160" spans="2:10">
      <c r="B160" s="271"/>
      <c r="C160" s="272" t="s">
        <v>758</v>
      </c>
      <c r="D160" s="271"/>
      <c r="E160" s="274">
        <f>Dat_02!F159</f>
        <v>119.25147284599919</v>
      </c>
      <c r="F160" s="274">
        <f>Dat_02!G159</f>
        <v>124.98280708097418</v>
      </c>
      <c r="G160" s="274">
        <f>Dat_02!H159</f>
        <v>119.25147284599919</v>
      </c>
      <c r="I160" s="275" t="str">
        <f>Dat_02!J159</f>
        <v/>
      </c>
      <c r="J160" s="287" t="str">
        <f>IF(Dat_02!K159=0,"",Dat_02!K159)</f>
        <v/>
      </c>
    </row>
    <row r="161" spans="2:10">
      <c r="B161" s="271"/>
      <c r="C161" s="272" t="s">
        <v>759</v>
      </c>
      <c r="D161" s="271"/>
      <c r="E161" s="274">
        <f>Dat_02!F160</f>
        <v>120.05119129400025</v>
      </c>
      <c r="F161" s="274">
        <f>Dat_02!G160</f>
        <v>124.98280708097418</v>
      </c>
      <c r="G161" s="274">
        <f>Dat_02!H160</f>
        <v>120.05119129400025</v>
      </c>
      <c r="I161" s="275" t="str">
        <f>Dat_02!J160</f>
        <v/>
      </c>
      <c r="J161" s="287" t="str">
        <f>IF(Dat_02!K160=0,"",Dat_02!K160)</f>
        <v/>
      </c>
    </row>
    <row r="162" spans="2:10">
      <c r="B162" s="271"/>
      <c r="C162" s="272" t="s">
        <v>760</v>
      </c>
      <c r="D162" s="271"/>
      <c r="E162" s="274">
        <f>Dat_02!F161</f>
        <v>105.57671850599999</v>
      </c>
      <c r="F162" s="274">
        <f>Dat_02!G161</f>
        <v>124.98280708097418</v>
      </c>
      <c r="G162" s="274">
        <f>Dat_02!H161</f>
        <v>105.57671850599999</v>
      </c>
      <c r="I162" s="275" t="str">
        <f>Dat_02!J161</f>
        <v/>
      </c>
      <c r="J162" s="287" t="str">
        <f>IF(Dat_02!K161=0,"",Dat_02!K161)</f>
        <v/>
      </c>
    </row>
    <row r="163" spans="2:10">
      <c r="B163" s="271"/>
      <c r="C163" s="272" t="s">
        <v>761</v>
      </c>
      <c r="D163" s="271"/>
      <c r="E163" s="274">
        <f>Dat_02!F162</f>
        <v>98.755893232000162</v>
      </c>
      <c r="F163" s="274">
        <f>Dat_02!G162</f>
        <v>124.98280708097418</v>
      </c>
      <c r="G163" s="274">
        <f>Dat_02!H162</f>
        <v>98.755893232000162</v>
      </c>
      <c r="I163" s="275" t="str">
        <f>Dat_02!J162</f>
        <v/>
      </c>
      <c r="J163" s="287" t="str">
        <f>IF(Dat_02!K162=0,"",Dat_02!K162)</f>
        <v/>
      </c>
    </row>
    <row r="164" spans="2:10">
      <c r="B164" s="271"/>
      <c r="C164" s="272" t="s">
        <v>762</v>
      </c>
      <c r="D164" s="271"/>
      <c r="E164" s="274">
        <f>Dat_02!F163</f>
        <v>99.806716161999802</v>
      </c>
      <c r="F164" s="274">
        <f>Dat_02!G163</f>
        <v>124.98280708097418</v>
      </c>
      <c r="G164" s="274">
        <f>Dat_02!H163</f>
        <v>99.806716161999802</v>
      </c>
      <c r="I164" s="275" t="str">
        <f>Dat_02!J163</f>
        <v/>
      </c>
      <c r="J164" s="287" t="str">
        <f>IF(Dat_02!K163=0,"",Dat_02!K163)</f>
        <v/>
      </c>
    </row>
    <row r="165" spans="2:10">
      <c r="B165" s="271"/>
      <c r="C165" s="272" t="s">
        <v>763</v>
      </c>
      <c r="D165" s="271"/>
      <c r="E165" s="274">
        <f>Dat_02!F164</f>
        <v>89.057788776000649</v>
      </c>
      <c r="F165" s="274">
        <f>Dat_02!G164</f>
        <v>124.98280708097418</v>
      </c>
      <c r="G165" s="274">
        <f>Dat_02!H164</f>
        <v>89.057788776000649</v>
      </c>
      <c r="I165" s="275" t="str">
        <f>Dat_02!J164</f>
        <v/>
      </c>
      <c r="J165" s="287" t="str">
        <f>IF(Dat_02!K164=0,"",Dat_02!K164)</f>
        <v/>
      </c>
    </row>
    <row r="166" spans="2:10">
      <c r="B166" s="271"/>
      <c r="C166" s="272" t="s">
        <v>764</v>
      </c>
      <c r="D166" s="271"/>
      <c r="E166" s="274">
        <f>Dat_02!F165</f>
        <v>97.746319657999436</v>
      </c>
      <c r="F166" s="274">
        <f>Dat_02!G165</f>
        <v>124.98280708097418</v>
      </c>
      <c r="G166" s="274">
        <f>Dat_02!H165</f>
        <v>97.746319657999436</v>
      </c>
      <c r="I166" s="275" t="str">
        <f>Dat_02!J165</f>
        <v/>
      </c>
      <c r="J166" s="287" t="str">
        <f>IF(Dat_02!K165=0,"",Dat_02!K165)</f>
        <v/>
      </c>
    </row>
    <row r="167" spans="2:10">
      <c r="B167" s="271"/>
      <c r="C167" s="272" t="s">
        <v>765</v>
      </c>
      <c r="D167" s="271"/>
      <c r="E167" s="274">
        <f>Dat_02!F166</f>
        <v>91.451193731999965</v>
      </c>
      <c r="F167" s="274">
        <f>Dat_02!G166</f>
        <v>124.98280708097418</v>
      </c>
      <c r="G167" s="274">
        <f>Dat_02!H166</f>
        <v>91.451193731999965</v>
      </c>
      <c r="I167" s="275" t="str">
        <f>Dat_02!J166</f>
        <v/>
      </c>
      <c r="J167" s="287" t="str">
        <f>IF(Dat_02!K166=0,"",Dat_02!K166)</f>
        <v/>
      </c>
    </row>
    <row r="168" spans="2:10">
      <c r="B168" s="271"/>
      <c r="C168" s="272" t="s">
        <v>766</v>
      </c>
      <c r="D168" s="271"/>
      <c r="E168" s="274">
        <f>Dat_02!F167</f>
        <v>99.354976072000142</v>
      </c>
      <c r="F168" s="274">
        <f>Dat_02!G167</f>
        <v>124.98280708097418</v>
      </c>
      <c r="G168" s="274">
        <f>Dat_02!H167</f>
        <v>99.354976072000142</v>
      </c>
      <c r="I168" s="275" t="str">
        <f>Dat_02!J167</f>
        <v/>
      </c>
      <c r="J168" s="287" t="str">
        <f>IF(Dat_02!K167=0,"",Dat_02!K167)</f>
        <v/>
      </c>
    </row>
    <row r="169" spans="2:10">
      <c r="B169" s="271"/>
      <c r="C169" s="272" t="s">
        <v>767</v>
      </c>
      <c r="D169" s="271"/>
      <c r="E169" s="274">
        <f>Dat_02!F168</f>
        <v>81.710791740000388</v>
      </c>
      <c r="F169" s="274">
        <f>Dat_02!G168</f>
        <v>124.98280708097418</v>
      </c>
      <c r="G169" s="274">
        <f>Dat_02!H168</f>
        <v>81.710791740000388</v>
      </c>
      <c r="I169" s="275" t="str">
        <f>Dat_02!J168</f>
        <v/>
      </c>
      <c r="J169" s="287" t="str">
        <f>IF(Dat_02!K168=0,"",Dat_02!K168)</f>
        <v/>
      </c>
    </row>
    <row r="170" spans="2:10">
      <c r="B170" s="271"/>
      <c r="C170" s="272" t="s">
        <v>768</v>
      </c>
      <c r="D170" s="271"/>
      <c r="E170" s="274">
        <f>Dat_02!F169</f>
        <v>77.973660599999278</v>
      </c>
      <c r="F170" s="274">
        <f>Dat_02!G169</f>
        <v>124.98280708097418</v>
      </c>
      <c r="G170" s="274">
        <f>Dat_02!H169</f>
        <v>77.973660599999278</v>
      </c>
      <c r="I170" s="275" t="str">
        <f>Dat_02!J169</f>
        <v/>
      </c>
      <c r="J170" s="287" t="str">
        <f>IF(Dat_02!K169=0,"",Dat_02!K169)</f>
        <v/>
      </c>
    </row>
    <row r="171" spans="2:10">
      <c r="B171" s="271"/>
      <c r="C171" s="272" t="s">
        <v>769</v>
      </c>
      <c r="D171" s="271"/>
      <c r="E171" s="274">
        <f>Dat_02!F170</f>
        <v>81.400291526000757</v>
      </c>
      <c r="F171" s="274">
        <f>Dat_02!G170</f>
        <v>124.98280708097418</v>
      </c>
      <c r="G171" s="274">
        <f>Dat_02!H170</f>
        <v>81.400291526000757</v>
      </c>
      <c r="I171" s="275" t="str">
        <f>Dat_02!J170</f>
        <v>E</v>
      </c>
      <c r="J171" s="287">
        <f>IF(Dat_02!K170=0,"",Dat_02!K170)</f>
        <v>124.98280708097418</v>
      </c>
    </row>
    <row r="172" spans="2:10">
      <c r="B172" s="271"/>
      <c r="C172" s="272" t="s">
        <v>770</v>
      </c>
      <c r="D172" s="271"/>
      <c r="E172" s="274">
        <f>Dat_02!F171</f>
        <v>81.138783311999532</v>
      </c>
      <c r="F172" s="274">
        <f>Dat_02!G171</f>
        <v>124.98280708097418</v>
      </c>
      <c r="G172" s="274">
        <f>Dat_02!H171</f>
        <v>81.138783311999532</v>
      </c>
      <c r="I172" s="275" t="str">
        <f>Dat_02!J171</f>
        <v/>
      </c>
      <c r="J172" s="287" t="str">
        <f>IF(Dat_02!K171=0,"",Dat_02!K171)</f>
        <v/>
      </c>
    </row>
    <row r="173" spans="2:10">
      <c r="B173" s="271"/>
      <c r="C173" s="272" t="s">
        <v>771</v>
      </c>
      <c r="D173" s="271"/>
      <c r="E173" s="274">
        <f>Dat_02!F172</f>
        <v>93.616283954000266</v>
      </c>
      <c r="F173" s="274">
        <f>Dat_02!G172</f>
        <v>124.98280708097418</v>
      </c>
      <c r="G173" s="274">
        <f>Dat_02!H172</f>
        <v>93.616283954000266</v>
      </c>
      <c r="I173" s="275" t="str">
        <f>Dat_02!J172</f>
        <v/>
      </c>
      <c r="J173" s="287" t="str">
        <f>IF(Dat_02!K172=0,"",Dat_02!K172)</f>
        <v/>
      </c>
    </row>
    <row r="174" spans="2:10">
      <c r="B174" s="271"/>
      <c r="C174" s="272" t="s">
        <v>772</v>
      </c>
      <c r="D174" s="271"/>
      <c r="E174" s="274">
        <f>Dat_02!F173</f>
        <v>74.600712667999915</v>
      </c>
      <c r="F174" s="274">
        <f>Dat_02!G173</f>
        <v>124.98280708097418</v>
      </c>
      <c r="G174" s="274">
        <f>Dat_02!H173</f>
        <v>74.600712667999915</v>
      </c>
      <c r="I174" s="275" t="str">
        <f>Dat_02!J173</f>
        <v/>
      </c>
      <c r="J174" s="287" t="str">
        <f>IF(Dat_02!K173=0,"",Dat_02!K173)</f>
        <v/>
      </c>
    </row>
    <row r="175" spans="2:10">
      <c r="B175" s="271"/>
      <c r="C175" s="272" t="s">
        <v>773</v>
      </c>
      <c r="D175" s="271"/>
      <c r="E175" s="274">
        <f>Dat_02!F174</f>
        <v>60.50250124600025</v>
      </c>
      <c r="F175" s="274">
        <f>Dat_02!G174</f>
        <v>124.98280708097418</v>
      </c>
      <c r="G175" s="274">
        <f>Dat_02!H174</f>
        <v>60.50250124600025</v>
      </c>
      <c r="I175" s="275" t="str">
        <f>Dat_02!J174</f>
        <v/>
      </c>
      <c r="J175" s="287" t="str">
        <f>IF(Dat_02!K174=0,"",Dat_02!K174)</f>
        <v/>
      </c>
    </row>
    <row r="176" spans="2:10">
      <c r="B176" s="271"/>
      <c r="C176" s="272" t="s">
        <v>774</v>
      </c>
      <c r="D176" s="271"/>
      <c r="E176" s="274">
        <f>Dat_02!F175</f>
        <v>56.853155999999871</v>
      </c>
      <c r="F176" s="274">
        <f>Dat_02!G175</f>
        <v>124.98280708097418</v>
      </c>
      <c r="G176" s="274">
        <f>Dat_02!H175</f>
        <v>56.853155999999871</v>
      </c>
      <c r="I176" s="275" t="str">
        <f>Dat_02!J175</f>
        <v/>
      </c>
      <c r="J176" s="287" t="str">
        <f>IF(Dat_02!K175=0,"",Dat_02!K175)</f>
        <v/>
      </c>
    </row>
    <row r="177" spans="2:10">
      <c r="B177" s="271"/>
      <c r="C177" s="272" t="s">
        <v>775</v>
      </c>
      <c r="D177" s="271"/>
      <c r="E177" s="274">
        <f>Dat_02!F176</f>
        <v>86.302323279999484</v>
      </c>
      <c r="F177" s="274">
        <f>Dat_02!G176</f>
        <v>124.98280708097418</v>
      </c>
      <c r="G177" s="274">
        <f>Dat_02!H176</f>
        <v>86.302323279999484</v>
      </c>
      <c r="I177" s="275" t="str">
        <f>Dat_02!J176</f>
        <v/>
      </c>
      <c r="J177" s="287" t="str">
        <f>IF(Dat_02!K176=0,"",Dat_02!K176)</f>
        <v/>
      </c>
    </row>
    <row r="178" spans="2:10">
      <c r="B178" s="271"/>
      <c r="C178" s="272" t="s">
        <v>776</v>
      </c>
      <c r="D178" s="271"/>
      <c r="E178" s="274">
        <f>Dat_02!F177</f>
        <v>93.464488322000363</v>
      </c>
      <c r="F178" s="274">
        <f>Dat_02!G177</f>
        <v>124.98280708097418</v>
      </c>
      <c r="G178" s="274">
        <f>Dat_02!H177</f>
        <v>93.464488322000363</v>
      </c>
      <c r="I178" s="275" t="str">
        <f>Dat_02!J177</f>
        <v/>
      </c>
      <c r="J178" s="287" t="str">
        <f>IF(Dat_02!K177=0,"",Dat_02!K177)</f>
        <v/>
      </c>
    </row>
    <row r="179" spans="2:10">
      <c r="B179" s="271"/>
      <c r="C179" s="272" t="s">
        <v>777</v>
      </c>
      <c r="D179" s="271"/>
      <c r="E179" s="274">
        <f>Dat_02!F178</f>
        <v>71.189762038000012</v>
      </c>
      <c r="F179" s="274">
        <f>Dat_02!G178</f>
        <v>124.98280708097418</v>
      </c>
      <c r="G179" s="274">
        <f>Dat_02!H178</f>
        <v>71.189762038000012</v>
      </c>
      <c r="I179" s="275" t="str">
        <f>Dat_02!J178</f>
        <v/>
      </c>
      <c r="J179" s="287" t="str">
        <f>IF(Dat_02!K178=0,"",Dat_02!K178)</f>
        <v/>
      </c>
    </row>
    <row r="180" spans="2:10">
      <c r="B180" s="271"/>
      <c r="C180" s="272" t="s">
        <v>778</v>
      </c>
      <c r="D180" s="271"/>
      <c r="E180" s="274">
        <f>Dat_02!F179</f>
        <v>75.819592997999592</v>
      </c>
      <c r="F180" s="274">
        <f>Dat_02!G179</f>
        <v>124.98280708097418</v>
      </c>
      <c r="G180" s="274">
        <f>Dat_02!H179</f>
        <v>75.819592997999592</v>
      </c>
      <c r="I180" s="275" t="str">
        <f>Dat_02!J179</f>
        <v/>
      </c>
      <c r="J180" s="287" t="str">
        <f>IF(Dat_02!K179=0,"",Dat_02!K179)</f>
        <v/>
      </c>
    </row>
    <row r="181" spans="2:10">
      <c r="B181" s="271"/>
      <c r="C181" s="272" t="s">
        <v>779</v>
      </c>
      <c r="D181" s="271"/>
      <c r="E181" s="274">
        <f>Dat_02!F180</f>
        <v>73.803920154000323</v>
      </c>
      <c r="F181" s="274">
        <f>Dat_02!G180</f>
        <v>124.98280708097418</v>
      </c>
      <c r="G181" s="274">
        <f>Dat_02!H180</f>
        <v>73.803920154000323</v>
      </c>
      <c r="I181" s="275" t="str">
        <f>Dat_02!J180</f>
        <v/>
      </c>
      <c r="J181" s="287" t="str">
        <f>IF(Dat_02!K180=0,"",Dat_02!K180)</f>
        <v/>
      </c>
    </row>
    <row r="182" spans="2:10">
      <c r="B182" s="271"/>
      <c r="C182" s="272" t="s">
        <v>780</v>
      </c>
      <c r="D182" s="271"/>
      <c r="E182" s="274">
        <f>Dat_02!F181</f>
        <v>88.085838406000491</v>
      </c>
      <c r="F182" s="274">
        <f>Dat_02!G181</f>
        <v>124.98280708097418</v>
      </c>
      <c r="G182" s="274">
        <f>Dat_02!H181</f>
        <v>88.085838406000491</v>
      </c>
      <c r="I182" s="275" t="str">
        <f>Dat_02!J181</f>
        <v/>
      </c>
      <c r="J182" s="287" t="str">
        <f>IF(Dat_02!K181=0,"",Dat_02!K181)</f>
        <v/>
      </c>
    </row>
    <row r="183" spans="2:10">
      <c r="B183" s="271"/>
      <c r="C183" s="272" t="s">
        <v>781</v>
      </c>
      <c r="D183" s="271"/>
      <c r="E183" s="274">
        <f>Dat_02!F182</f>
        <v>76.303520011999368</v>
      </c>
      <c r="F183" s="274">
        <f>Dat_02!G182</f>
        <v>124.98280708097418</v>
      </c>
      <c r="G183" s="274">
        <f>Dat_02!H182</f>
        <v>76.303520011999368</v>
      </c>
      <c r="I183" s="275" t="str">
        <f>Dat_02!J182</f>
        <v/>
      </c>
      <c r="J183" s="287" t="str">
        <f>IF(Dat_02!K182=0,"",Dat_02!K182)</f>
        <v/>
      </c>
    </row>
    <row r="184" spans="2:10">
      <c r="B184" s="271"/>
      <c r="C184" s="272" t="s">
        <v>782</v>
      </c>
      <c r="D184" s="271"/>
      <c r="E184" s="274">
        <f>Dat_02!F183</f>
        <v>74.452592027999998</v>
      </c>
      <c r="F184" s="274">
        <f>Dat_02!G183</f>
        <v>124.98280708097418</v>
      </c>
      <c r="G184" s="274">
        <f>Dat_02!H183</f>
        <v>74.452592027999998</v>
      </c>
      <c r="I184" s="275" t="str">
        <f>Dat_02!J183</f>
        <v/>
      </c>
      <c r="J184" s="287" t="str">
        <f>IF(Dat_02!K183=0,"",Dat_02!K183)</f>
        <v/>
      </c>
    </row>
    <row r="185" spans="2:10">
      <c r="B185" s="271"/>
      <c r="C185" s="272" t="s">
        <v>783</v>
      </c>
      <c r="D185" s="271"/>
      <c r="E185" s="274">
        <f>Dat_02!F184</f>
        <v>75.976408010000327</v>
      </c>
      <c r="F185" s="274">
        <f>Dat_02!G184</f>
        <v>124.98280708097418</v>
      </c>
      <c r="G185" s="274">
        <f>Dat_02!H184</f>
        <v>75.976408010000327</v>
      </c>
      <c r="I185" s="275" t="str">
        <f>Dat_02!J184</f>
        <v/>
      </c>
      <c r="J185" s="287" t="str">
        <f>IF(Dat_02!K184=0,"",Dat_02!K184)</f>
        <v/>
      </c>
    </row>
    <row r="186" spans="2:10">
      <c r="B186" s="273"/>
      <c r="C186" s="278" t="s">
        <v>784</v>
      </c>
      <c r="D186" s="271"/>
      <c r="E186" s="274">
        <f>Dat_02!F185</f>
        <v>62.36761392399977</v>
      </c>
      <c r="F186" s="274">
        <f>Dat_02!G185</f>
        <v>124.98280708097418</v>
      </c>
      <c r="G186" s="274">
        <f>Dat_02!H185</f>
        <v>62.36761392399977</v>
      </c>
      <c r="I186" s="275" t="str">
        <f>Dat_02!J185</f>
        <v/>
      </c>
      <c r="J186" s="287" t="str">
        <f>IF(Dat_02!K185=0,"",Dat_02!K185)</f>
        <v/>
      </c>
    </row>
    <row r="187" spans="2:10">
      <c r="B187" s="273"/>
      <c r="C187" s="278" t="s">
        <v>785</v>
      </c>
      <c r="D187" s="273"/>
      <c r="E187" s="274">
        <f>Dat_02!F186</f>
        <v>65.397373878000082</v>
      </c>
      <c r="F187" s="274">
        <f>Dat_02!G186</f>
        <v>124.98280708097418</v>
      </c>
      <c r="G187" s="274">
        <f>Dat_02!H186</f>
        <v>65.397373878000082</v>
      </c>
      <c r="I187" s="275" t="str">
        <f>Dat_02!J186</f>
        <v/>
      </c>
      <c r="J187" s="287" t="str">
        <f>IF(Dat_02!K186=0,"",Dat_02!K186)</f>
        <v/>
      </c>
    </row>
    <row r="188" spans="2:10">
      <c r="B188" s="271" t="s">
        <v>786</v>
      </c>
      <c r="C188" s="272" t="s">
        <v>787</v>
      </c>
      <c r="D188" s="273"/>
      <c r="E188" s="274">
        <f>Dat_02!F187</f>
        <v>61.320107000000412</v>
      </c>
      <c r="F188" s="274">
        <f>Dat_02!G187</f>
        <v>122.23474632144273</v>
      </c>
      <c r="G188" s="274">
        <f>Dat_02!H187</f>
        <v>61.320107000000412</v>
      </c>
      <c r="I188" s="275" t="str">
        <f>Dat_02!J187</f>
        <v/>
      </c>
      <c r="J188" s="287" t="str">
        <f>IF(Dat_02!K187=0,"",Dat_02!K187)</f>
        <v/>
      </c>
    </row>
    <row r="189" spans="2:10">
      <c r="B189" s="273"/>
      <c r="C189" s="272" t="s">
        <v>788</v>
      </c>
      <c r="D189" s="273"/>
      <c r="E189" s="274">
        <f>Dat_02!F188</f>
        <v>70.408047835999724</v>
      </c>
      <c r="F189" s="274">
        <f>Dat_02!G188</f>
        <v>122.23474632144273</v>
      </c>
      <c r="G189" s="274">
        <f>Dat_02!H188</f>
        <v>70.408047835999724</v>
      </c>
      <c r="I189" s="275" t="str">
        <f>Dat_02!J188</f>
        <v/>
      </c>
      <c r="J189" s="287" t="str">
        <f>IF(Dat_02!K188=0,"",Dat_02!K188)</f>
        <v/>
      </c>
    </row>
    <row r="190" spans="2:10">
      <c r="B190" s="271"/>
      <c r="C190" s="272" t="s">
        <v>789</v>
      </c>
      <c r="D190" s="271"/>
      <c r="E190" s="274">
        <f>Dat_02!F189</f>
        <v>60.044947275999668</v>
      </c>
      <c r="F190" s="274">
        <f>Dat_02!G189</f>
        <v>122.23474632144273</v>
      </c>
      <c r="G190" s="274">
        <f>Dat_02!H189</f>
        <v>60.044947275999668</v>
      </c>
      <c r="I190" s="275" t="str">
        <f>Dat_02!J189</f>
        <v/>
      </c>
      <c r="J190" s="287" t="str">
        <f>IF(Dat_02!K189=0,"",Dat_02!K189)</f>
        <v/>
      </c>
    </row>
    <row r="191" spans="2:10">
      <c r="B191" s="271"/>
      <c r="C191" s="272" t="s">
        <v>790</v>
      </c>
      <c r="D191" s="271"/>
      <c r="E191" s="274">
        <f>Dat_02!F190</f>
        <v>82.093600379999714</v>
      </c>
      <c r="F191" s="274">
        <f>Dat_02!G190</f>
        <v>122.23474632144273</v>
      </c>
      <c r="G191" s="274">
        <f>Dat_02!H190</f>
        <v>82.093600379999714</v>
      </c>
      <c r="I191" s="275" t="str">
        <f>Dat_02!J190</f>
        <v/>
      </c>
      <c r="J191" s="287" t="str">
        <f>IF(Dat_02!K190=0,"",Dat_02!K190)</f>
        <v/>
      </c>
    </row>
    <row r="192" spans="2:10">
      <c r="B192" s="271"/>
      <c r="C192" s="272" t="s">
        <v>791</v>
      </c>
      <c r="D192" s="271"/>
      <c r="E192" s="274">
        <f>Dat_02!F191</f>
        <v>79.307979846000663</v>
      </c>
      <c r="F192" s="274">
        <f>Dat_02!G191</f>
        <v>122.23474632144273</v>
      </c>
      <c r="G192" s="274">
        <f>Dat_02!H191</f>
        <v>79.307979846000663</v>
      </c>
      <c r="I192" s="275" t="str">
        <f>Dat_02!J191</f>
        <v/>
      </c>
      <c r="J192" s="287" t="str">
        <f>IF(Dat_02!K191=0,"",Dat_02!K191)</f>
        <v/>
      </c>
    </row>
    <row r="193" spans="2:10">
      <c r="B193" s="271"/>
      <c r="C193" s="272" t="s">
        <v>792</v>
      </c>
      <c r="D193" s="271"/>
      <c r="E193" s="274">
        <f>Dat_02!F192</f>
        <v>78.384310319999443</v>
      </c>
      <c r="F193" s="274">
        <f>Dat_02!G192</f>
        <v>122.23474632144273</v>
      </c>
      <c r="G193" s="274">
        <f>Dat_02!H192</f>
        <v>78.384310319999443</v>
      </c>
      <c r="I193" s="275" t="str">
        <f>Dat_02!J192</f>
        <v/>
      </c>
      <c r="J193" s="287" t="str">
        <f>IF(Dat_02!K192=0,"",Dat_02!K192)</f>
        <v/>
      </c>
    </row>
    <row r="194" spans="2:10">
      <c r="B194" s="271"/>
      <c r="C194" s="272" t="s">
        <v>793</v>
      </c>
      <c r="D194" s="271"/>
      <c r="E194" s="274">
        <f>Dat_02!F193</f>
        <v>63.714278916000666</v>
      </c>
      <c r="F194" s="274">
        <f>Dat_02!G193</f>
        <v>122.23474632144273</v>
      </c>
      <c r="G194" s="274">
        <f>Dat_02!H193</f>
        <v>63.714278916000666</v>
      </c>
      <c r="I194" s="275" t="str">
        <f>Dat_02!J193</f>
        <v/>
      </c>
      <c r="J194" s="287" t="str">
        <f>IF(Dat_02!K193=0,"",Dat_02!K193)</f>
        <v/>
      </c>
    </row>
    <row r="195" spans="2:10">
      <c r="B195" s="271"/>
      <c r="C195" s="272" t="s">
        <v>794</v>
      </c>
      <c r="D195" s="271"/>
      <c r="E195" s="274">
        <f>Dat_02!F194</f>
        <v>63.773546533999586</v>
      </c>
      <c r="F195" s="274">
        <f>Dat_02!G194</f>
        <v>122.23474632144273</v>
      </c>
      <c r="G195" s="274">
        <f>Dat_02!H194</f>
        <v>63.773546533999586</v>
      </c>
      <c r="I195" s="275" t="str">
        <f>Dat_02!J194</f>
        <v/>
      </c>
      <c r="J195" s="287" t="str">
        <f>IF(Dat_02!K194=0,"",Dat_02!K194)</f>
        <v/>
      </c>
    </row>
    <row r="196" spans="2:10">
      <c r="B196" s="271"/>
      <c r="C196" s="272" t="s">
        <v>795</v>
      </c>
      <c r="D196" s="271"/>
      <c r="E196" s="274">
        <f>Dat_02!F195</f>
        <v>69.168721578000103</v>
      </c>
      <c r="F196" s="274">
        <f>Dat_02!G195</f>
        <v>122.23474632144273</v>
      </c>
      <c r="G196" s="274">
        <f>Dat_02!H195</f>
        <v>69.168721578000103</v>
      </c>
      <c r="I196" s="275" t="str">
        <f>Dat_02!J195</f>
        <v/>
      </c>
      <c r="J196" s="287" t="str">
        <f>IF(Dat_02!K195=0,"",Dat_02!K195)</f>
        <v/>
      </c>
    </row>
    <row r="197" spans="2:10">
      <c r="B197" s="271"/>
      <c r="C197" s="272" t="s">
        <v>796</v>
      </c>
      <c r="D197" s="271"/>
      <c r="E197" s="274">
        <f>Dat_02!F196</f>
        <v>68.617211094000126</v>
      </c>
      <c r="F197" s="274">
        <f>Dat_02!G196</f>
        <v>122.23474632144273</v>
      </c>
      <c r="G197" s="274">
        <f>Dat_02!H196</f>
        <v>68.617211094000126</v>
      </c>
      <c r="I197" s="275" t="str">
        <f>Dat_02!J196</f>
        <v/>
      </c>
      <c r="J197" s="287" t="str">
        <f>IF(Dat_02!K196=0,"",Dat_02!K196)</f>
        <v/>
      </c>
    </row>
    <row r="198" spans="2:10">
      <c r="B198" s="271"/>
      <c r="C198" s="272" t="s">
        <v>797</v>
      </c>
      <c r="D198" s="271"/>
      <c r="E198" s="274">
        <f>Dat_02!F197</f>
        <v>96.284544532000254</v>
      </c>
      <c r="F198" s="274">
        <f>Dat_02!G197</f>
        <v>122.23474632144273</v>
      </c>
      <c r="G198" s="274">
        <f>Dat_02!H197</f>
        <v>96.284544532000254</v>
      </c>
      <c r="I198" s="275" t="str">
        <f>Dat_02!J197</f>
        <v/>
      </c>
      <c r="J198" s="287" t="str">
        <f>IF(Dat_02!K197=0,"",Dat_02!K197)</f>
        <v/>
      </c>
    </row>
    <row r="199" spans="2:10">
      <c r="B199" s="271"/>
      <c r="C199" s="272" t="s">
        <v>798</v>
      </c>
      <c r="D199" s="271"/>
      <c r="E199" s="274">
        <f>Dat_02!F198</f>
        <v>69.455795871999698</v>
      </c>
      <c r="F199" s="274">
        <f>Dat_02!G198</f>
        <v>122.23474632144273</v>
      </c>
      <c r="G199" s="274">
        <f>Dat_02!H198</f>
        <v>69.455795871999698</v>
      </c>
      <c r="I199" s="275" t="str">
        <f>Dat_02!J198</f>
        <v/>
      </c>
      <c r="J199" s="287" t="str">
        <f>IF(Dat_02!K198=0,"",Dat_02!K198)</f>
        <v/>
      </c>
    </row>
    <row r="200" spans="2:10">
      <c r="B200" s="271"/>
      <c r="C200" s="272" t="s">
        <v>799</v>
      </c>
      <c r="D200" s="271"/>
      <c r="E200" s="274">
        <f>Dat_02!F199</f>
        <v>93.814750927999995</v>
      </c>
      <c r="F200" s="274">
        <f>Dat_02!G199</f>
        <v>122.23474632144273</v>
      </c>
      <c r="G200" s="274">
        <f>Dat_02!H199</f>
        <v>93.814750927999995</v>
      </c>
      <c r="I200" s="275" t="str">
        <f>Dat_02!J199</f>
        <v/>
      </c>
      <c r="J200" s="287" t="str">
        <f>IF(Dat_02!K199=0,"",Dat_02!K199)</f>
        <v/>
      </c>
    </row>
    <row r="201" spans="2:10">
      <c r="B201" s="271"/>
      <c r="C201" s="272" t="s">
        <v>800</v>
      </c>
      <c r="D201" s="271"/>
      <c r="E201" s="274">
        <f>Dat_02!F200</f>
        <v>113.11947389800008</v>
      </c>
      <c r="F201" s="274">
        <f>Dat_02!G200</f>
        <v>122.23474632144273</v>
      </c>
      <c r="G201" s="274">
        <f>Dat_02!H200</f>
        <v>113.11947389800008</v>
      </c>
      <c r="I201" s="275" t="str">
        <f>Dat_02!J200</f>
        <v/>
      </c>
      <c r="J201" s="287" t="str">
        <f>IF(Dat_02!K200=0,"",Dat_02!K200)</f>
        <v/>
      </c>
    </row>
    <row r="202" spans="2:10">
      <c r="B202" s="271"/>
      <c r="C202" s="272" t="s">
        <v>801</v>
      </c>
      <c r="D202" s="271"/>
      <c r="E202" s="274">
        <f>Dat_02!F201</f>
        <v>132.86094856600002</v>
      </c>
      <c r="F202" s="274">
        <f>Dat_02!G201</f>
        <v>122.23474632144273</v>
      </c>
      <c r="G202" s="274">
        <f>Dat_02!H201</f>
        <v>122.23474632144273</v>
      </c>
      <c r="I202" s="275" t="str">
        <f>Dat_02!J201</f>
        <v>F</v>
      </c>
      <c r="J202" s="287">
        <f>IF(Dat_02!K201=0,"",Dat_02!K201)</f>
        <v>122.23474632144273</v>
      </c>
    </row>
    <row r="203" spans="2:10">
      <c r="B203" s="271"/>
      <c r="C203" s="272" t="s">
        <v>802</v>
      </c>
      <c r="D203" s="271"/>
      <c r="E203" s="274">
        <f>Dat_02!F202</f>
        <v>127.98583556600002</v>
      </c>
      <c r="F203" s="274">
        <f>Dat_02!G202</f>
        <v>122.23474632144273</v>
      </c>
      <c r="G203" s="274">
        <f>Dat_02!H202</f>
        <v>122.23474632144273</v>
      </c>
      <c r="I203" s="275" t="str">
        <f>Dat_02!J202</f>
        <v/>
      </c>
      <c r="J203" s="287" t="str">
        <f>IF(Dat_02!K202=0,"",Dat_02!K202)</f>
        <v/>
      </c>
    </row>
    <row r="204" spans="2:10">
      <c r="B204" s="271"/>
      <c r="C204" s="272" t="s">
        <v>803</v>
      </c>
      <c r="D204" s="271"/>
      <c r="E204" s="274">
        <f>Dat_02!F203</f>
        <v>137.88671529399974</v>
      </c>
      <c r="F204" s="274">
        <f>Dat_02!G203</f>
        <v>122.23474632144273</v>
      </c>
      <c r="G204" s="274">
        <f>Dat_02!H203</f>
        <v>122.23474632144273</v>
      </c>
      <c r="I204" s="275" t="str">
        <f>Dat_02!J203</f>
        <v/>
      </c>
      <c r="J204" s="287" t="str">
        <f>IF(Dat_02!K203=0,"",Dat_02!K203)</f>
        <v/>
      </c>
    </row>
    <row r="205" spans="2:10">
      <c r="B205" s="271"/>
      <c r="C205" s="272" t="s">
        <v>804</v>
      </c>
      <c r="D205" s="271"/>
      <c r="E205" s="274">
        <f>Dat_02!F204</f>
        <v>132.59916086599983</v>
      </c>
      <c r="F205" s="274">
        <f>Dat_02!G204</f>
        <v>122.23474632144273</v>
      </c>
      <c r="G205" s="274">
        <f>Dat_02!H204</f>
        <v>122.23474632144273</v>
      </c>
      <c r="I205" s="275" t="str">
        <f>Dat_02!J204</f>
        <v/>
      </c>
      <c r="J205" s="287" t="str">
        <f>IF(Dat_02!K204=0,"",Dat_02!K204)</f>
        <v/>
      </c>
    </row>
    <row r="206" spans="2:10">
      <c r="B206" s="271"/>
      <c r="C206" s="272" t="s">
        <v>805</v>
      </c>
      <c r="D206" s="271"/>
      <c r="E206" s="274">
        <f>Dat_02!F205</f>
        <v>134.07246881600045</v>
      </c>
      <c r="F206" s="274">
        <f>Dat_02!G205</f>
        <v>122.23474632144273</v>
      </c>
      <c r="G206" s="274">
        <f>Dat_02!H205</f>
        <v>122.23474632144273</v>
      </c>
      <c r="I206" s="275" t="str">
        <f>Dat_02!J205</f>
        <v/>
      </c>
      <c r="J206" s="287" t="str">
        <f>IF(Dat_02!K205=0,"",Dat_02!K205)</f>
        <v/>
      </c>
    </row>
    <row r="207" spans="2:10">
      <c r="B207" s="271"/>
      <c r="C207" s="272" t="s">
        <v>806</v>
      </c>
      <c r="D207" s="271"/>
      <c r="E207" s="274">
        <f>Dat_02!F206</f>
        <v>133.95991540599948</v>
      </c>
      <c r="F207" s="274">
        <f>Dat_02!G206</f>
        <v>122.23474632144273</v>
      </c>
      <c r="G207" s="274">
        <f>Dat_02!H206</f>
        <v>122.23474632144273</v>
      </c>
      <c r="I207" s="275" t="str">
        <f>Dat_02!J206</f>
        <v/>
      </c>
      <c r="J207" s="287" t="str">
        <f>IF(Dat_02!K206=0,"",Dat_02!K206)</f>
        <v/>
      </c>
    </row>
    <row r="208" spans="2:10">
      <c r="B208" s="271"/>
      <c r="C208" s="272" t="s">
        <v>807</v>
      </c>
      <c r="D208" s="271"/>
      <c r="E208" s="274">
        <f>Dat_02!F207</f>
        <v>117.93145274400037</v>
      </c>
      <c r="F208" s="274">
        <f>Dat_02!G207</f>
        <v>122.23474632144273</v>
      </c>
      <c r="G208" s="274">
        <f>Dat_02!H207</f>
        <v>117.93145274400037</v>
      </c>
      <c r="I208" s="275" t="str">
        <f>Dat_02!J207</f>
        <v/>
      </c>
      <c r="J208" s="287" t="str">
        <f>IF(Dat_02!K207=0,"",Dat_02!K207)</f>
        <v/>
      </c>
    </row>
    <row r="209" spans="2:10">
      <c r="B209" s="271"/>
      <c r="C209" s="272" t="s">
        <v>808</v>
      </c>
      <c r="D209" s="271"/>
      <c r="E209" s="274">
        <f>Dat_02!F208</f>
        <v>100.07782309400037</v>
      </c>
      <c r="F209" s="274">
        <f>Dat_02!G208</f>
        <v>122.23474632144273</v>
      </c>
      <c r="G209" s="274">
        <f>Dat_02!H208</f>
        <v>100.07782309400037</v>
      </c>
      <c r="I209" s="275" t="str">
        <f>Dat_02!J208</f>
        <v/>
      </c>
      <c r="J209" s="287" t="str">
        <f>IF(Dat_02!K208=0,"",Dat_02!K208)</f>
        <v/>
      </c>
    </row>
    <row r="210" spans="2:10">
      <c r="B210" s="271"/>
      <c r="C210" s="272" t="s">
        <v>809</v>
      </c>
      <c r="D210" s="271"/>
      <c r="E210" s="274">
        <f>Dat_02!F209</f>
        <v>63.076357363999243</v>
      </c>
      <c r="F210" s="274">
        <f>Dat_02!G209</f>
        <v>122.23474632144273</v>
      </c>
      <c r="G210" s="274">
        <f>Dat_02!H209</f>
        <v>63.076357363999243</v>
      </c>
      <c r="I210" s="275" t="str">
        <f>Dat_02!J209</f>
        <v/>
      </c>
      <c r="J210" s="287" t="str">
        <f>IF(Dat_02!K209=0,"",Dat_02!K209)</f>
        <v/>
      </c>
    </row>
    <row r="211" spans="2:10">
      <c r="B211" s="271"/>
      <c r="C211" s="272" t="s">
        <v>810</v>
      </c>
      <c r="D211" s="271"/>
      <c r="E211" s="274">
        <f>Dat_02!F210</f>
        <v>95.794510968000537</v>
      </c>
      <c r="F211" s="274">
        <f>Dat_02!G210</f>
        <v>122.23474632144273</v>
      </c>
      <c r="G211" s="274">
        <f>Dat_02!H210</f>
        <v>95.794510968000537</v>
      </c>
      <c r="I211" s="275" t="str">
        <f>Dat_02!J210</f>
        <v/>
      </c>
      <c r="J211" s="287" t="str">
        <f>IF(Dat_02!K210=0,"",Dat_02!K210)</f>
        <v/>
      </c>
    </row>
    <row r="212" spans="2:10">
      <c r="B212" s="271"/>
      <c r="C212" s="272" t="s">
        <v>811</v>
      </c>
      <c r="D212" s="271"/>
      <c r="E212" s="274">
        <f>Dat_02!F211</f>
        <v>87.302452556000148</v>
      </c>
      <c r="F212" s="274">
        <f>Dat_02!G211</f>
        <v>122.23474632144273</v>
      </c>
      <c r="G212" s="274">
        <f>Dat_02!H211</f>
        <v>87.302452556000148</v>
      </c>
      <c r="I212" s="275" t="str">
        <f>Dat_02!J211</f>
        <v/>
      </c>
      <c r="J212" s="287" t="str">
        <f>IF(Dat_02!K211=0,"",Dat_02!K211)</f>
        <v/>
      </c>
    </row>
    <row r="213" spans="2:10">
      <c r="B213" s="271"/>
      <c r="C213" s="272" t="s">
        <v>812</v>
      </c>
      <c r="D213" s="271"/>
      <c r="E213" s="274">
        <f>Dat_02!F212</f>
        <v>94.367169517999599</v>
      </c>
      <c r="F213" s="274">
        <f>Dat_02!G212</f>
        <v>122.23474632144273</v>
      </c>
      <c r="G213" s="274">
        <f>Dat_02!H212</f>
        <v>94.367169517999599</v>
      </c>
      <c r="I213" s="275" t="str">
        <f>Dat_02!J212</f>
        <v/>
      </c>
      <c r="J213" s="287" t="str">
        <f>IF(Dat_02!K212=0,"",Dat_02!K212)</f>
        <v/>
      </c>
    </row>
    <row r="214" spans="2:10">
      <c r="B214" s="271"/>
      <c r="C214" s="272" t="s">
        <v>813</v>
      </c>
      <c r="D214" s="271"/>
      <c r="E214" s="274">
        <f>Dat_02!F213</f>
        <v>72.189071089999842</v>
      </c>
      <c r="F214" s="274">
        <f>Dat_02!G213</f>
        <v>122.23474632144273</v>
      </c>
      <c r="G214" s="274">
        <f>Dat_02!H213</f>
        <v>72.189071089999842</v>
      </c>
      <c r="I214" s="275" t="str">
        <f>Dat_02!J213</f>
        <v/>
      </c>
      <c r="J214" s="287" t="str">
        <f>IF(Dat_02!K213=0,"",Dat_02!K213)</f>
        <v/>
      </c>
    </row>
    <row r="215" spans="2:10">
      <c r="B215" s="271"/>
      <c r="C215" s="272" t="s">
        <v>814</v>
      </c>
      <c r="D215" s="271"/>
      <c r="E215" s="274">
        <f>Dat_02!F214</f>
        <v>105.34451449199975</v>
      </c>
      <c r="F215" s="274">
        <f>Dat_02!G214</f>
        <v>122.23474632144273</v>
      </c>
      <c r="G215" s="274">
        <f>Dat_02!H214</f>
        <v>105.34451449199975</v>
      </c>
      <c r="I215" s="275" t="str">
        <f>Dat_02!J214</f>
        <v/>
      </c>
      <c r="J215" s="287" t="str">
        <f>IF(Dat_02!K214=0,"",Dat_02!K214)</f>
        <v/>
      </c>
    </row>
    <row r="216" spans="2:10">
      <c r="B216" s="271" t="s">
        <v>815</v>
      </c>
      <c r="C216" s="272" t="s">
        <v>816</v>
      </c>
      <c r="D216" s="271"/>
      <c r="E216" s="274">
        <f>Dat_02!F215</f>
        <v>177.84236484800084</v>
      </c>
      <c r="F216" s="274">
        <f>Dat_02!G215</f>
        <v>123.04544911502903</v>
      </c>
      <c r="G216" s="274">
        <f>Dat_02!H215</f>
        <v>123.04544911502903</v>
      </c>
      <c r="I216" s="275" t="str">
        <f>Dat_02!J215</f>
        <v/>
      </c>
      <c r="J216" s="287" t="str">
        <f>IF(Dat_02!K215=0,"",Dat_02!K215)</f>
        <v/>
      </c>
    </row>
    <row r="217" spans="2:10">
      <c r="B217" s="273"/>
      <c r="C217" s="278" t="s">
        <v>817</v>
      </c>
      <c r="D217" s="273"/>
      <c r="E217" s="274">
        <f>Dat_02!F216</f>
        <v>201.21331654199966</v>
      </c>
      <c r="F217" s="274">
        <f>Dat_02!G216</f>
        <v>123.04544911502903</v>
      </c>
      <c r="G217" s="274">
        <f>Dat_02!H216</f>
        <v>123.04544911502903</v>
      </c>
      <c r="I217" s="275" t="str">
        <f>Dat_02!J216</f>
        <v/>
      </c>
      <c r="J217" s="287" t="str">
        <f>IF(Dat_02!K216=0,"",Dat_02!K216)</f>
        <v/>
      </c>
    </row>
    <row r="218" spans="2:10">
      <c r="B218" s="273"/>
      <c r="C218" s="278" t="s">
        <v>818</v>
      </c>
      <c r="D218" s="273"/>
      <c r="E218" s="274">
        <f>Dat_02!F217</f>
        <v>231.2695520580003</v>
      </c>
      <c r="F218" s="274">
        <f>Dat_02!G217</f>
        <v>123.04544911502903</v>
      </c>
      <c r="G218" s="274">
        <f>Dat_02!H217</f>
        <v>123.04544911502903</v>
      </c>
      <c r="I218" s="275" t="str">
        <f>Dat_02!J217</f>
        <v/>
      </c>
      <c r="J218" s="287" t="str">
        <f>IF(Dat_02!K217=0,"",Dat_02!K217)</f>
        <v/>
      </c>
    </row>
    <row r="219" spans="2:10">
      <c r="B219" s="271"/>
      <c r="C219" s="272" t="s">
        <v>819</v>
      </c>
      <c r="D219" s="273"/>
      <c r="E219" s="274">
        <f>Dat_02!F218</f>
        <v>266.24853154999954</v>
      </c>
      <c r="F219" s="274">
        <f>Dat_02!G218</f>
        <v>123.04544911502903</v>
      </c>
      <c r="G219" s="274">
        <f>Dat_02!H218</f>
        <v>123.04544911502903</v>
      </c>
      <c r="I219" s="275" t="str">
        <f>Dat_02!J218</f>
        <v/>
      </c>
      <c r="J219" s="287" t="str">
        <f>IF(Dat_02!K218=0,"",Dat_02!K218)</f>
        <v/>
      </c>
    </row>
    <row r="220" spans="2:10">
      <c r="B220" s="273"/>
      <c r="C220" s="272" t="s">
        <v>820</v>
      </c>
      <c r="D220" s="273"/>
      <c r="E220" s="274">
        <f>Dat_02!F219</f>
        <v>280.92749480800012</v>
      </c>
      <c r="F220" s="274">
        <f>Dat_02!G219</f>
        <v>123.04544911502903</v>
      </c>
      <c r="G220" s="274">
        <f>Dat_02!H219</f>
        <v>123.04544911502903</v>
      </c>
      <c r="I220" s="275" t="str">
        <f>Dat_02!J219</f>
        <v/>
      </c>
      <c r="J220" s="287" t="str">
        <f>IF(Dat_02!K219=0,"",Dat_02!K219)</f>
        <v/>
      </c>
    </row>
    <row r="221" spans="2:10">
      <c r="B221" s="271"/>
      <c r="C221" s="272" t="s">
        <v>821</v>
      </c>
      <c r="D221" s="271"/>
      <c r="E221" s="274">
        <f>Dat_02!F220</f>
        <v>238.41332341399979</v>
      </c>
      <c r="F221" s="274">
        <f>Dat_02!G220</f>
        <v>123.04544911502903</v>
      </c>
      <c r="G221" s="274">
        <f>Dat_02!H220</f>
        <v>123.04544911502903</v>
      </c>
      <c r="I221" s="275" t="str">
        <f>Dat_02!J220</f>
        <v/>
      </c>
      <c r="J221" s="287" t="str">
        <f>IF(Dat_02!K220=0,"",Dat_02!K220)</f>
        <v/>
      </c>
    </row>
    <row r="222" spans="2:10">
      <c r="B222" s="271"/>
      <c r="C222" s="272" t="s">
        <v>822</v>
      </c>
      <c r="D222" s="271"/>
      <c r="E222" s="274">
        <f>Dat_02!F221</f>
        <v>215.94878561599978</v>
      </c>
      <c r="F222" s="274">
        <f>Dat_02!G221</f>
        <v>123.04544911502903</v>
      </c>
      <c r="G222" s="274">
        <f>Dat_02!H221</f>
        <v>123.04544911502903</v>
      </c>
      <c r="I222" s="275" t="str">
        <f>Dat_02!J221</f>
        <v/>
      </c>
      <c r="J222" s="287" t="str">
        <f>IF(Dat_02!K221=0,"",Dat_02!K221)</f>
        <v/>
      </c>
    </row>
    <row r="223" spans="2:10">
      <c r="B223" s="271"/>
      <c r="C223" s="272" t="s">
        <v>823</v>
      </c>
      <c r="D223" s="271"/>
      <c r="E223" s="274">
        <f>Dat_02!F222</f>
        <v>181.87081796600015</v>
      </c>
      <c r="F223" s="274">
        <f>Dat_02!G222</f>
        <v>123.04544911502903</v>
      </c>
      <c r="G223" s="274">
        <f>Dat_02!H222</f>
        <v>123.04544911502903</v>
      </c>
      <c r="I223" s="275" t="str">
        <f>Dat_02!J222</f>
        <v/>
      </c>
      <c r="J223" s="287" t="str">
        <f>IF(Dat_02!K222=0,"",Dat_02!K222)</f>
        <v/>
      </c>
    </row>
    <row r="224" spans="2:10">
      <c r="B224" s="271"/>
      <c r="C224" s="272" t="s">
        <v>824</v>
      </c>
      <c r="D224" s="271"/>
      <c r="E224" s="274">
        <f>Dat_02!F223</f>
        <v>259.52632841599979</v>
      </c>
      <c r="F224" s="274">
        <f>Dat_02!G223</f>
        <v>123.04544911502903</v>
      </c>
      <c r="G224" s="274">
        <f>Dat_02!H223</f>
        <v>123.04544911502903</v>
      </c>
      <c r="I224" s="275" t="str">
        <f>Dat_02!J223</f>
        <v/>
      </c>
      <c r="J224" s="287" t="str">
        <f>IF(Dat_02!K223=0,"",Dat_02!K223)</f>
        <v/>
      </c>
    </row>
    <row r="225" spans="2:10">
      <c r="B225" s="271"/>
      <c r="C225" s="272" t="s">
        <v>825</v>
      </c>
      <c r="D225" s="271"/>
      <c r="E225" s="274">
        <f>Dat_02!F224</f>
        <v>508.30870281800009</v>
      </c>
      <c r="F225" s="274">
        <f>Dat_02!G224</f>
        <v>123.04544911502903</v>
      </c>
      <c r="G225" s="274">
        <f>Dat_02!H224</f>
        <v>123.04544911502903</v>
      </c>
      <c r="I225" s="275" t="str">
        <f>Dat_02!J224</f>
        <v/>
      </c>
      <c r="J225" s="287" t="str">
        <f>IF(Dat_02!K224=0,"",Dat_02!K224)</f>
        <v/>
      </c>
    </row>
    <row r="226" spans="2:10">
      <c r="B226" s="271"/>
      <c r="C226" s="272" t="s">
        <v>826</v>
      </c>
      <c r="D226" s="271"/>
      <c r="E226" s="274">
        <f>Dat_02!F225</f>
        <v>449.3443916520007</v>
      </c>
      <c r="F226" s="274">
        <f>Dat_02!G225</f>
        <v>123.04544911502903</v>
      </c>
      <c r="G226" s="274">
        <f>Dat_02!H225</f>
        <v>123.04544911502903</v>
      </c>
      <c r="I226" s="275" t="str">
        <f>Dat_02!J225</f>
        <v/>
      </c>
      <c r="J226" s="287" t="str">
        <f>IF(Dat_02!K225=0,"",Dat_02!K225)</f>
        <v/>
      </c>
    </row>
    <row r="227" spans="2:10">
      <c r="B227" s="271"/>
      <c r="C227" s="272" t="s">
        <v>827</v>
      </c>
      <c r="D227" s="271"/>
      <c r="E227" s="274">
        <f>Dat_02!F226</f>
        <v>403.96196181799945</v>
      </c>
      <c r="F227" s="274">
        <f>Dat_02!G226</f>
        <v>123.04544911502903</v>
      </c>
      <c r="G227" s="274">
        <f>Dat_02!H226</f>
        <v>123.04544911502903</v>
      </c>
      <c r="I227" s="275" t="str">
        <f>Dat_02!J226</f>
        <v/>
      </c>
      <c r="J227" s="287" t="str">
        <f>IF(Dat_02!K226=0,"",Dat_02!K226)</f>
        <v/>
      </c>
    </row>
    <row r="228" spans="2:10">
      <c r="B228" s="271"/>
      <c r="C228" s="272" t="s">
        <v>828</v>
      </c>
      <c r="D228" s="271"/>
      <c r="E228" s="274">
        <f>Dat_02!F227</f>
        <v>296.94879119600023</v>
      </c>
      <c r="F228" s="274">
        <f>Dat_02!G227</f>
        <v>123.04544911502903</v>
      </c>
      <c r="G228" s="274">
        <f>Dat_02!H227</f>
        <v>123.04544911502903</v>
      </c>
      <c r="I228" s="275" t="str">
        <f>Dat_02!J227</f>
        <v/>
      </c>
      <c r="J228" s="287" t="str">
        <f>IF(Dat_02!K227=0,"",Dat_02!K227)</f>
        <v/>
      </c>
    </row>
    <row r="229" spans="2:10">
      <c r="B229" s="271"/>
      <c r="C229" s="272" t="s">
        <v>829</v>
      </c>
      <c r="D229" s="271"/>
      <c r="E229" s="274">
        <f>Dat_02!F228</f>
        <v>477.20425982599983</v>
      </c>
      <c r="F229" s="274">
        <f>Dat_02!G228</f>
        <v>123.04544911502903</v>
      </c>
      <c r="G229" s="274">
        <f>Dat_02!H228</f>
        <v>123.04544911502903</v>
      </c>
      <c r="I229" s="275" t="str">
        <f>Dat_02!J228</f>
        <v/>
      </c>
      <c r="J229" s="287" t="str">
        <f>IF(Dat_02!K228=0,"",Dat_02!K228)</f>
        <v/>
      </c>
    </row>
    <row r="230" spans="2:10">
      <c r="B230" s="271"/>
      <c r="C230" s="272" t="s">
        <v>830</v>
      </c>
      <c r="D230" s="271"/>
      <c r="E230" s="274">
        <f>Dat_02!F229</f>
        <v>391.25128665199975</v>
      </c>
      <c r="F230" s="274">
        <f>Dat_02!G229</f>
        <v>123.04544911502903</v>
      </c>
      <c r="G230" s="274">
        <f>Dat_02!H229</f>
        <v>123.04544911502903</v>
      </c>
      <c r="I230" s="275" t="str">
        <f>Dat_02!J229</f>
        <v>M</v>
      </c>
      <c r="J230" s="287">
        <f>IF(Dat_02!K229=0,"",Dat_02!K229)</f>
        <v>123.04544911502903</v>
      </c>
    </row>
    <row r="231" spans="2:10">
      <c r="B231" s="271"/>
      <c r="C231" s="272" t="s">
        <v>831</v>
      </c>
      <c r="D231" s="271"/>
      <c r="E231" s="274">
        <f>Dat_02!F230</f>
        <v>371.4945364660008</v>
      </c>
      <c r="F231" s="274">
        <f>Dat_02!G230</f>
        <v>123.04544911502903</v>
      </c>
      <c r="G231" s="274">
        <f>Dat_02!H230</f>
        <v>123.04544911502903</v>
      </c>
      <c r="I231" s="275" t="str">
        <f>Dat_02!J230</f>
        <v/>
      </c>
      <c r="J231" s="287" t="str">
        <f>IF(Dat_02!K230=0,"",Dat_02!K230)</f>
        <v/>
      </c>
    </row>
    <row r="232" spans="2:10">
      <c r="B232" s="271"/>
      <c r="C232" s="272" t="s">
        <v>832</v>
      </c>
      <c r="D232" s="271"/>
      <c r="E232" s="274">
        <f>Dat_02!F231</f>
        <v>365.9887692500003</v>
      </c>
      <c r="F232" s="274">
        <f>Dat_02!G231</f>
        <v>123.04544911502903</v>
      </c>
      <c r="G232" s="274">
        <f>Dat_02!H231</f>
        <v>123.04544911502903</v>
      </c>
      <c r="I232" s="275" t="str">
        <f>Dat_02!J231</f>
        <v/>
      </c>
      <c r="J232" s="287" t="str">
        <f>IF(Dat_02!K231=0,"",Dat_02!K231)</f>
        <v/>
      </c>
    </row>
    <row r="233" spans="2:10">
      <c r="B233" s="271"/>
      <c r="C233" s="272" t="s">
        <v>833</v>
      </c>
      <c r="D233" s="271"/>
      <c r="E233" s="274">
        <f>Dat_02!F232</f>
        <v>320.52866902999887</v>
      </c>
      <c r="F233" s="274">
        <f>Dat_02!G232</f>
        <v>123.04544911502903</v>
      </c>
      <c r="G233" s="274">
        <f>Dat_02!H232</f>
        <v>123.04544911502903</v>
      </c>
      <c r="I233" s="275" t="str">
        <f>Dat_02!J232</f>
        <v/>
      </c>
      <c r="J233" s="287" t="str">
        <f>IF(Dat_02!K232=0,"",Dat_02!K232)</f>
        <v/>
      </c>
    </row>
    <row r="234" spans="2:10">
      <c r="B234" s="271"/>
      <c r="C234" s="272" t="s">
        <v>834</v>
      </c>
      <c r="D234" s="271"/>
      <c r="E234" s="274">
        <f>Dat_02!F233</f>
        <v>319.05099580199982</v>
      </c>
      <c r="F234" s="274">
        <f>Dat_02!G233</f>
        <v>123.04544911502903</v>
      </c>
      <c r="G234" s="274">
        <f>Dat_02!H233</f>
        <v>123.04544911502903</v>
      </c>
      <c r="I234" s="275" t="str">
        <f>Dat_02!J233</f>
        <v/>
      </c>
      <c r="J234" s="287" t="str">
        <f>IF(Dat_02!K233=0,"",Dat_02!K233)</f>
        <v/>
      </c>
    </row>
    <row r="235" spans="2:10">
      <c r="B235" s="271"/>
      <c r="C235" s="272" t="s">
        <v>835</v>
      </c>
      <c r="D235" s="271"/>
      <c r="E235" s="274">
        <f>Dat_02!F234</f>
        <v>243.51388871799972</v>
      </c>
      <c r="F235" s="274">
        <f>Dat_02!G234</f>
        <v>123.04544911502903</v>
      </c>
      <c r="G235" s="274">
        <f>Dat_02!H234</f>
        <v>123.04544911502903</v>
      </c>
      <c r="I235" s="275" t="str">
        <f>Dat_02!J234</f>
        <v/>
      </c>
      <c r="J235" s="287" t="str">
        <f>IF(Dat_02!K234=0,"",Dat_02!K234)</f>
        <v/>
      </c>
    </row>
    <row r="236" spans="2:10">
      <c r="B236" s="271"/>
      <c r="C236" s="272" t="s">
        <v>836</v>
      </c>
      <c r="D236" s="271"/>
      <c r="E236" s="274">
        <f>Dat_02!F235</f>
        <v>212.09023434800108</v>
      </c>
      <c r="F236" s="274">
        <f>Dat_02!G235</f>
        <v>123.04544911502903</v>
      </c>
      <c r="G236" s="274">
        <f>Dat_02!H235</f>
        <v>123.04544911502903</v>
      </c>
      <c r="I236" s="275" t="str">
        <f>Dat_02!J235</f>
        <v/>
      </c>
      <c r="J236" s="287" t="str">
        <f>IF(Dat_02!K235=0,"",Dat_02!K235)</f>
        <v/>
      </c>
    </row>
    <row r="237" spans="2:10">
      <c r="B237" s="271"/>
      <c r="C237" s="272" t="s">
        <v>837</v>
      </c>
      <c r="D237" s="271"/>
      <c r="E237" s="274">
        <f>Dat_02!F236</f>
        <v>258.98466436999956</v>
      </c>
      <c r="F237" s="274">
        <f>Dat_02!G236</f>
        <v>123.04544911502903</v>
      </c>
      <c r="G237" s="274">
        <f>Dat_02!H236</f>
        <v>123.04544911502903</v>
      </c>
      <c r="I237" s="275" t="str">
        <f>Dat_02!J236</f>
        <v/>
      </c>
      <c r="J237" s="287" t="str">
        <f>IF(Dat_02!K236=0,"",Dat_02!K236)</f>
        <v/>
      </c>
    </row>
    <row r="238" spans="2:10">
      <c r="B238" s="271"/>
      <c r="C238" s="272" t="s">
        <v>838</v>
      </c>
      <c r="D238" s="271"/>
      <c r="E238" s="274">
        <f>Dat_02!F237</f>
        <v>223.58447867200002</v>
      </c>
      <c r="F238" s="274">
        <f>Dat_02!G237</f>
        <v>123.04544911502903</v>
      </c>
      <c r="G238" s="274">
        <f>Dat_02!H237</f>
        <v>123.04544911502903</v>
      </c>
      <c r="I238" s="275" t="str">
        <f>Dat_02!J237</f>
        <v/>
      </c>
      <c r="J238" s="287" t="str">
        <f>IF(Dat_02!K237=0,"",Dat_02!K237)</f>
        <v/>
      </c>
    </row>
    <row r="239" spans="2:10">
      <c r="B239" s="271"/>
      <c r="C239" s="272" t="s">
        <v>839</v>
      </c>
      <c r="D239" s="271"/>
      <c r="E239" s="274">
        <f>Dat_02!F238</f>
        <v>227.46795467600012</v>
      </c>
      <c r="F239" s="274">
        <f>Dat_02!G238</f>
        <v>123.04544911502903</v>
      </c>
      <c r="G239" s="274">
        <f>Dat_02!H238</f>
        <v>123.04544911502903</v>
      </c>
      <c r="I239" s="275" t="str">
        <f>Dat_02!J238</f>
        <v/>
      </c>
      <c r="J239" s="287" t="str">
        <f>IF(Dat_02!K238=0,"",Dat_02!K238)</f>
        <v/>
      </c>
    </row>
    <row r="240" spans="2:10">
      <c r="B240" s="271"/>
      <c r="C240" s="272" t="s">
        <v>840</v>
      </c>
      <c r="D240" s="271"/>
      <c r="E240" s="274">
        <f>Dat_02!F239</f>
        <v>197.46003954999972</v>
      </c>
      <c r="F240" s="274">
        <f>Dat_02!G239</f>
        <v>123.04544911502903</v>
      </c>
      <c r="G240" s="274">
        <f>Dat_02!H239</f>
        <v>123.04544911502903</v>
      </c>
      <c r="I240" s="275" t="str">
        <f>Dat_02!J239</f>
        <v/>
      </c>
      <c r="J240" s="287" t="str">
        <f>IF(Dat_02!K239=0,"",Dat_02!K239)</f>
        <v/>
      </c>
    </row>
    <row r="241" spans="2:10">
      <c r="B241" s="271"/>
      <c r="C241" s="272" t="s">
        <v>841</v>
      </c>
      <c r="D241" s="271"/>
      <c r="E241" s="274">
        <f>Dat_02!F240</f>
        <v>175.2711053020009</v>
      </c>
      <c r="F241" s="274">
        <f>Dat_02!G240</f>
        <v>123.04544911502903</v>
      </c>
      <c r="G241" s="274">
        <f>Dat_02!H240</f>
        <v>123.04544911502903</v>
      </c>
      <c r="I241" s="275" t="str">
        <f>Dat_02!J240</f>
        <v/>
      </c>
      <c r="J241" s="287" t="str">
        <f>IF(Dat_02!K240=0,"",Dat_02!K240)</f>
        <v/>
      </c>
    </row>
    <row r="242" spans="2:10">
      <c r="B242" s="271"/>
      <c r="C242" s="272" t="s">
        <v>842</v>
      </c>
      <c r="D242" s="271"/>
      <c r="E242" s="274">
        <f>Dat_02!F241</f>
        <v>197.21633737199971</v>
      </c>
      <c r="F242" s="274">
        <f>Dat_02!G241</f>
        <v>123.04544911502903</v>
      </c>
      <c r="G242" s="274">
        <f>Dat_02!H241</f>
        <v>123.04544911502903</v>
      </c>
      <c r="I242" s="275" t="str">
        <f>Dat_02!J241</f>
        <v/>
      </c>
      <c r="J242" s="287" t="str">
        <f>IF(Dat_02!K241=0,"",Dat_02!K241)</f>
        <v/>
      </c>
    </row>
    <row r="243" spans="2:10">
      <c r="B243" s="271"/>
      <c r="C243" s="272" t="s">
        <v>843</v>
      </c>
      <c r="D243" s="271"/>
      <c r="E243" s="274">
        <f>Dat_02!F242</f>
        <v>183.23074393400037</v>
      </c>
      <c r="F243" s="274">
        <f>Dat_02!G242</f>
        <v>123.04544911502903</v>
      </c>
      <c r="G243" s="274">
        <f>Dat_02!H242</f>
        <v>123.04544911502903</v>
      </c>
      <c r="I243" s="275" t="str">
        <f>Dat_02!J242</f>
        <v/>
      </c>
      <c r="J243" s="287" t="str">
        <f>IF(Dat_02!K242=0,"",Dat_02!K242)</f>
        <v/>
      </c>
    </row>
    <row r="244" spans="2:10">
      <c r="B244" s="271"/>
      <c r="C244" s="272" t="s">
        <v>844</v>
      </c>
      <c r="D244" s="271"/>
      <c r="E244" s="274">
        <f>Dat_02!F243</f>
        <v>190.70274734999958</v>
      </c>
      <c r="F244" s="274">
        <f>Dat_02!G243</f>
        <v>123.04544911502903</v>
      </c>
      <c r="G244" s="274">
        <f>Dat_02!H243</f>
        <v>123.04544911502903</v>
      </c>
      <c r="I244" s="275" t="str">
        <f>Dat_02!J243</f>
        <v/>
      </c>
      <c r="J244" s="287" t="str">
        <f>IF(Dat_02!K243=0,"",Dat_02!K243)</f>
        <v/>
      </c>
    </row>
    <row r="245" spans="2:10">
      <c r="B245" s="271"/>
      <c r="C245" s="272" t="s">
        <v>845</v>
      </c>
      <c r="D245" s="271"/>
      <c r="E245" s="274">
        <f>Dat_02!F244</f>
        <v>202.95921934199893</v>
      </c>
      <c r="F245" s="274">
        <f>Dat_02!G244</f>
        <v>123.04544911502903</v>
      </c>
      <c r="G245" s="274">
        <f>Dat_02!H244</f>
        <v>123.04544911502903</v>
      </c>
      <c r="I245" s="275" t="str">
        <f>Dat_02!J244</f>
        <v/>
      </c>
      <c r="J245" s="287" t="str">
        <f>IF(Dat_02!K244=0,"",Dat_02!K244)</f>
        <v/>
      </c>
    </row>
    <row r="246" spans="2:10">
      <c r="B246" s="271"/>
      <c r="C246" s="272" t="s">
        <v>846</v>
      </c>
      <c r="D246" s="271"/>
      <c r="E246" s="274">
        <f>Dat_02!F245</f>
        <v>207.65022919400008</v>
      </c>
      <c r="F246" s="274">
        <f>Dat_02!G245</f>
        <v>123.04544911502903</v>
      </c>
      <c r="G246" s="274">
        <f>Dat_02!H245</f>
        <v>123.04544911502903</v>
      </c>
      <c r="I246" s="275" t="str">
        <f>Dat_02!J245</f>
        <v/>
      </c>
      <c r="J246" s="287" t="str">
        <f>IF(Dat_02!K245=0,"",Dat_02!K245)</f>
        <v/>
      </c>
    </row>
    <row r="247" spans="2:10">
      <c r="B247" s="273" t="s">
        <v>847</v>
      </c>
      <c r="C247" s="278" t="s">
        <v>848</v>
      </c>
      <c r="D247" s="271"/>
      <c r="E247" s="274">
        <f>Dat_02!F246</f>
        <v>180.1779771360001</v>
      </c>
      <c r="F247" s="274">
        <f>Dat_02!G246</f>
        <v>124.98173132994</v>
      </c>
      <c r="G247" s="274">
        <f>Dat_02!H246</f>
        <v>124.98173132994</v>
      </c>
      <c r="I247" s="275" t="str">
        <f>Dat_02!J246</f>
        <v/>
      </c>
      <c r="J247" s="287" t="str">
        <f>IF(Dat_02!K246=0,"",Dat_02!K246)</f>
        <v/>
      </c>
    </row>
    <row r="248" spans="2:10">
      <c r="B248" s="271"/>
      <c r="C248" s="272" t="s">
        <v>849</v>
      </c>
      <c r="D248" s="273"/>
      <c r="E248" s="274">
        <f>Dat_02!F247</f>
        <v>206.09566746400034</v>
      </c>
      <c r="F248" s="274">
        <f>Dat_02!G247</f>
        <v>124.98173132994</v>
      </c>
      <c r="G248" s="274">
        <f>Dat_02!H247</f>
        <v>124.98173132994</v>
      </c>
      <c r="I248" s="275" t="str">
        <f>Dat_02!J247</f>
        <v/>
      </c>
      <c r="J248" s="287" t="str">
        <f>IF(Dat_02!K247=0,"",Dat_02!K247)</f>
        <v/>
      </c>
    </row>
    <row r="249" spans="2:10">
      <c r="B249" s="271"/>
      <c r="C249" s="272" t="s">
        <v>850</v>
      </c>
      <c r="D249" s="273"/>
      <c r="E249" s="274">
        <f>Dat_02!F248</f>
        <v>216.60406777199995</v>
      </c>
      <c r="F249" s="274">
        <f>Dat_02!G248</f>
        <v>124.98173132994</v>
      </c>
      <c r="G249" s="274">
        <f>Dat_02!H248</f>
        <v>124.98173132994</v>
      </c>
      <c r="I249" s="275" t="str">
        <f>Dat_02!J248</f>
        <v/>
      </c>
      <c r="J249" s="287" t="str">
        <f>IF(Dat_02!K248=0,"",Dat_02!K248)</f>
        <v/>
      </c>
    </row>
    <row r="250" spans="2:10">
      <c r="B250" s="271"/>
      <c r="C250" s="272" t="s">
        <v>851</v>
      </c>
      <c r="D250" s="273"/>
      <c r="E250" s="274">
        <f>Dat_02!F249</f>
        <v>250.18848915600012</v>
      </c>
      <c r="F250" s="274">
        <f>Dat_02!G249</f>
        <v>124.98173132994</v>
      </c>
      <c r="G250" s="274">
        <f>Dat_02!H249</f>
        <v>124.98173132994</v>
      </c>
      <c r="I250" s="275" t="str">
        <f>Dat_02!J249</f>
        <v/>
      </c>
      <c r="J250" s="287" t="str">
        <f>IF(Dat_02!K249=0,"",Dat_02!K249)</f>
        <v/>
      </c>
    </row>
    <row r="251" spans="2:10">
      <c r="B251" s="271"/>
      <c r="C251" s="272" t="s">
        <v>852</v>
      </c>
      <c r="D251" s="273"/>
      <c r="E251" s="274">
        <f>Dat_02!F250</f>
        <v>195.87765150199959</v>
      </c>
      <c r="F251" s="274">
        <f>Dat_02!G250</f>
        <v>124.98173132994</v>
      </c>
      <c r="G251" s="274">
        <f>Dat_02!H250</f>
        <v>124.98173132994</v>
      </c>
      <c r="I251" s="275" t="str">
        <f>Dat_02!J250</f>
        <v/>
      </c>
      <c r="J251" s="287" t="str">
        <f>IF(Dat_02!K250=0,"",Dat_02!K250)</f>
        <v/>
      </c>
    </row>
    <row r="252" spans="2:10">
      <c r="B252" s="271"/>
      <c r="C252" s="272" t="s">
        <v>853</v>
      </c>
      <c r="D252" s="271"/>
      <c r="E252" s="274">
        <f>Dat_02!F251</f>
        <v>212.39436045800008</v>
      </c>
      <c r="F252" s="274">
        <f>Dat_02!G251</f>
        <v>124.98173132994</v>
      </c>
      <c r="G252" s="274">
        <f>Dat_02!H251</f>
        <v>124.98173132994</v>
      </c>
      <c r="I252" s="275" t="str">
        <f>Dat_02!J251</f>
        <v/>
      </c>
      <c r="J252" s="287" t="str">
        <f>IF(Dat_02!K251=0,"",Dat_02!K251)</f>
        <v/>
      </c>
    </row>
    <row r="253" spans="2:10">
      <c r="B253" s="271"/>
      <c r="C253" s="272" t="s">
        <v>854</v>
      </c>
      <c r="D253" s="271"/>
      <c r="E253" s="274">
        <f>Dat_02!F252</f>
        <v>220.86361666800002</v>
      </c>
      <c r="F253" s="274">
        <f>Dat_02!G252</f>
        <v>124.98173132994</v>
      </c>
      <c r="G253" s="274">
        <f>Dat_02!H252</f>
        <v>124.98173132994</v>
      </c>
      <c r="I253" s="275" t="str">
        <f>Dat_02!J252</f>
        <v/>
      </c>
      <c r="J253" s="287" t="str">
        <f>IF(Dat_02!K252=0,"",Dat_02!K252)</f>
        <v/>
      </c>
    </row>
    <row r="254" spans="2:10">
      <c r="B254" s="271"/>
      <c r="C254" s="272" t="s">
        <v>855</v>
      </c>
      <c r="D254" s="271"/>
      <c r="E254" s="274">
        <f>Dat_02!F253</f>
        <v>216.13327302600061</v>
      </c>
      <c r="F254" s="274">
        <f>Dat_02!G253</f>
        <v>124.98173132994</v>
      </c>
      <c r="G254" s="274">
        <f>Dat_02!H253</f>
        <v>124.98173132994</v>
      </c>
      <c r="I254" s="275" t="str">
        <f>Dat_02!J253</f>
        <v/>
      </c>
      <c r="J254" s="287" t="str">
        <f>IF(Dat_02!K253=0,"",Dat_02!K253)</f>
        <v/>
      </c>
    </row>
    <row r="255" spans="2:10">
      <c r="B255" s="271"/>
      <c r="C255" s="272" t="s">
        <v>856</v>
      </c>
      <c r="D255" s="271"/>
      <c r="E255" s="274">
        <f>Dat_02!F254</f>
        <v>334.93295785799927</v>
      </c>
      <c r="F255" s="274">
        <f>Dat_02!G254</f>
        <v>124.98173132994</v>
      </c>
      <c r="G255" s="274">
        <f>Dat_02!H254</f>
        <v>124.98173132994</v>
      </c>
      <c r="I255" s="275" t="str">
        <f>Dat_02!J254</f>
        <v/>
      </c>
      <c r="J255" s="287" t="str">
        <f>IF(Dat_02!K254=0,"",Dat_02!K254)</f>
        <v/>
      </c>
    </row>
    <row r="256" spans="2:10">
      <c r="B256" s="271"/>
      <c r="C256" s="272" t="s">
        <v>857</v>
      </c>
      <c r="D256" s="271"/>
      <c r="E256" s="274">
        <f>Dat_02!F255</f>
        <v>294.37602051600055</v>
      </c>
      <c r="F256" s="274">
        <f>Dat_02!G255</f>
        <v>124.98173132994</v>
      </c>
      <c r="G256" s="274">
        <f>Dat_02!H255</f>
        <v>124.98173132994</v>
      </c>
      <c r="I256" s="275" t="str">
        <f>Dat_02!J255</f>
        <v/>
      </c>
      <c r="J256" s="287" t="str">
        <f>IF(Dat_02!K255=0,"",Dat_02!K255)</f>
        <v/>
      </c>
    </row>
    <row r="257" spans="2:10">
      <c r="B257" s="271"/>
      <c r="C257" s="272" t="s">
        <v>858</v>
      </c>
      <c r="D257" s="271"/>
      <c r="E257" s="274">
        <f>Dat_02!F256</f>
        <v>235.15734599800001</v>
      </c>
      <c r="F257" s="274">
        <f>Dat_02!G256</f>
        <v>124.98173132994</v>
      </c>
      <c r="G257" s="274">
        <f>Dat_02!H256</f>
        <v>124.98173132994</v>
      </c>
      <c r="I257" s="275" t="str">
        <f>Dat_02!J256</f>
        <v/>
      </c>
      <c r="J257" s="287" t="str">
        <f>IF(Dat_02!K256=0,"",Dat_02!K256)</f>
        <v/>
      </c>
    </row>
    <row r="258" spans="2:10">
      <c r="B258" s="271"/>
      <c r="C258" s="272" t="s">
        <v>859</v>
      </c>
      <c r="D258" s="271"/>
      <c r="E258" s="274">
        <f>Dat_02!F257</f>
        <v>308.46663389200057</v>
      </c>
      <c r="F258" s="274">
        <f>Dat_02!G257</f>
        <v>124.98173132994</v>
      </c>
      <c r="G258" s="274">
        <f>Dat_02!H257</f>
        <v>124.98173132994</v>
      </c>
      <c r="I258" s="275" t="str">
        <f>Dat_02!J257</f>
        <v/>
      </c>
      <c r="J258" s="287" t="str">
        <f>IF(Dat_02!K257=0,"",Dat_02!K257)</f>
        <v/>
      </c>
    </row>
    <row r="259" spans="2:10">
      <c r="B259" s="271"/>
      <c r="C259" s="272" t="s">
        <v>860</v>
      </c>
      <c r="D259" s="271"/>
      <c r="E259" s="274">
        <f>Dat_02!F258</f>
        <v>282.15263153599909</v>
      </c>
      <c r="F259" s="274">
        <f>Dat_02!G258</f>
        <v>124.98173132994</v>
      </c>
      <c r="G259" s="274">
        <f>Dat_02!H258</f>
        <v>124.98173132994</v>
      </c>
      <c r="I259" s="275" t="str">
        <f>Dat_02!J258</f>
        <v/>
      </c>
      <c r="J259" s="287" t="str">
        <f>IF(Dat_02!K258=0,"",Dat_02!K258)</f>
        <v/>
      </c>
    </row>
    <row r="260" spans="2:10">
      <c r="B260" s="271"/>
      <c r="C260" s="272" t="s">
        <v>861</v>
      </c>
      <c r="D260" s="271"/>
      <c r="E260" s="274">
        <f>Dat_02!F259</f>
        <v>249.16407000800029</v>
      </c>
      <c r="F260" s="274">
        <f>Dat_02!G259</f>
        <v>124.98173132994</v>
      </c>
      <c r="G260" s="274">
        <f>Dat_02!H259</f>
        <v>124.98173132994</v>
      </c>
      <c r="I260" s="275" t="str">
        <f>Dat_02!J259</f>
        <v/>
      </c>
      <c r="J260" s="287" t="str">
        <f>IF(Dat_02!K259=0,"",Dat_02!K259)</f>
        <v/>
      </c>
    </row>
    <row r="261" spans="2:10">
      <c r="B261" s="271"/>
      <c r="C261" s="272" t="s">
        <v>862</v>
      </c>
      <c r="D261" s="271"/>
      <c r="E261" s="274">
        <f>Dat_02!F260</f>
        <v>240.53084356599945</v>
      </c>
      <c r="F261" s="274">
        <f>Dat_02!G260</f>
        <v>124.98173132994</v>
      </c>
      <c r="G261" s="274">
        <f>Dat_02!H260</f>
        <v>124.98173132994</v>
      </c>
      <c r="I261" s="275" t="str">
        <f>Dat_02!J260</f>
        <v>A</v>
      </c>
      <c r="J261" s="287">
        <f>IF(Dat_02!K260=0,"",Dat_02!K260)</f>
        <v>124.98173132994</v>
      </c>
    </row>
    <row r="262" spans="2:10">
      <c r="B262" s="271"/>
      <c r="C262" s="272" t="s">
        <v>863</v>
      </c>
      <c r="D262" s="271"/>
      <c r="E262" s="274">
        <f>Dat_02!F261</f>
        <v>294.79101259800137</v>
      </c>
      <c r="F262" s="274">
        <f>Dat_02!G261</f>
        <v>124.98173132994</v>
      </c>
      <c r="G262" s="274">
        <f>Dat_02!H261</f>
        <v>124.98173132994</v>
      </c>
      <c r="I262" s="275" t="str">
        <f>Dat_02!J261</f>
        <v/>
      </c>
      <c r="J262" s="287" t="str">
        <f>IF(Dat_02!K261=0,"",Dat_02!K261)</f>
        <v/>
      </c>
    </row>
    <row r="263" spans="2:10">
      <c r="B263" s="271"/>
      <c r="C263" s="272" t="s">
        <v>864</v>
      </c>
      <c r="D263" s="271"/>
      <c r="E263" s="274">
        <f>Dat_02!F262</f>
        <v>272.17601526600009</v>
      </c>
      <c r="F263" s="274">
        <f>Dat_02!G262</f>
        <v>124.98173132994</v>
      </c>
      <c r="G263" s="274">
        <f>Dat_02!H262</f>
        <v>124.98173132994</v>
      </c>
      <c r="I263" s="275" t="str">
        <f>Dat_02!J262</f>
        <v/>
      </c>
      <c r="J263" s="287" t="str">
        <f>IF(Dat_02!K262=0,"",Dat_02!K262)</f>
        <v/>
      </c>
    </row>
    <row r="264" spans="2:10">
      <c r="B264" s="271"/>
      <c r="C264" s="272" t="s">
        <v>865</v>
      </c>
      <c r="D264" s="271"/>
      <c r="E264" s="274">
        <f>Dat_02!F263</f>
        <v>249.62302130199927</v>
      </c>
      <c r="F264" s="274">
        <f>Dat_02!G263</f>
        <v>124.98173132994</v>
      </c>
      <c r="G264" s="274">
        <f>Dat_02!H263</f>
        <v>124.98173132994</v>
      </c>
      <c r="I264" s="275" t="str">
        <f>Dat_02!J263</f>
        <v/>
      </c>
      <c r="J264" s="287" t="str">
        <f>IF(Dat_02!K263=0,"",Dat_02!K263)</f>
        <v/>
      </c>
    </row>
    <row r="265" spans="2:10">
      <c r="B265" s="271"/>
      <c r="C265" s="272" t="s">
        <v>866</v>
      </c>
      <c r="D265" s="271"/>
      <c r="E265" s="274">
        <f>Dat_02!F264</f>
        <v>265.68243051200056</v>
      </c>
      <c r="F265" s="274">
        <f>Dat_02!G264</f>
        <v>124.98173132994</v>
      </c>
      <c r="G265" s="274">
        <f>Dat_02!H264</f>
        <v>124.98173132994</v>
      </c>
      <c r="I265" s="275" t="str">
        <f>Dat_02!J264</f>
        <v/>
      </c>
      <c r="J265" s="287" t="str">
        <f>IF(Dat_02!K264=0,"",Dat_02!K264)</f>
        <v/>
      </c>
    </row>
    <row r="266" spans="2:10">
      <c r="B266" s="271"/>
      <c r="C266" s="272" t="s">
        <v>867</v>
      </c>
      <c r="D266" s="271"/>
      <c r="E266" s="274">
        <f>Dat_02!F265</f>
        <v>247.99493344799862</v>
      </c>
      <c r="F266" s="274">
        <f>Dat_02!G265</f>
        <v>124.98173132994</v>
      </c>
      <c r="G266" s="274">
        <f>Dat_02!H265</f>
        <v>124.98173132994</v>
      </c>
      <c r="I266" s="275" t="str">
        <f>Dat_02!J265</f>
        <v/>
      </c>
      <c r="J266" s="287" t="str">
        <f>IF(Dat_02!K265=0,"",Dat_02!K265)</f>
        <v/>
      </c>
    </row>
    <row r="267" spans="2:10">
      <c r="B267" s="271"/>
      <c r="C267" s="272" t="s">
        <v>868</v>
      </c>
      <c r="D267" s="271"/>
      <c r="E267" s="274">
        <f>Dat_02!F266</f>
        <v>221.08185609600059</v>
      </c>
      <c r="F267" s="274">
        <f>Dat_02!G266</f>
        <v>124.98173132994</v>
      </c>
      <c r="G267" s="274">
        <f>Dat_02!H266</f>
        <v>124.98173132994</v>
      </c>
      <c r="I267" s="275" t="str">
        <f>Dat_02!J266</f>
        <v/>
      </c>
      <c r="J267" s="287" t="str">
        <f>IF(Dat_02!K266=0,"",Dat_02!K266)</f>
        <v/>
      </c>
    </row>
    <row r="268" spans="2:10">
      <c r="B268" s="271"/>
      <c r="C268" s="272" t="s">
        <v>869</v>
      </c>
      <c r="D268" s="271"/>
      <c r="E268" s="274">
        <f>Dat_02!F267</f>
        <v>211.49666788000064</v>
      </c>
      <c r="F268" s="274">
        <f>Dat_02!G267</f>
        <v>124.98173132994</v>
      </c>
      <c r="G268" s="274">
        <f>Dat_02!H267</f>
        <v>124.98173132994</v>
      </c>
      <c r="I268" s="275" t="str">
        <f>Dat_02!J267</f>
        <v/>
      </c>
      <c r="J268" s="287" t="str">
        <f>IF(Dat_02!K267=0,"",Dat_02!K267)</f>
        <v/>
      </c>
    </row>
    <row r="269" spans="2:10">
      <c r="B269" s="271"/>
      <c r="C269" s="272" t="s">
        <v>870</v>
      </c>
      <c r="D269" s="271"/>
      <c r="E269" s="274">
        <f>Dat_02!F268</f>
        <v>195.82711338799999</v>
      </c>
      <c r="F269" s="274">
        <f>Dat_02!G268</f>
        <v>124.98173132994</v>
      </c>
      <c r="G269" s="274">
        <f>Dat_02!H268</f>
        <v>124.98173132994</v>
      </c>
      <c r="I269" s="275" t="str">
        <f>Dat_02!J268</f>
        <v/>
      </c>
      <c r="J269" s="287" t="str">
        <f>IF(Dat_02!K268=0,"",Dat_02!K268)</f>
        <v/>
      </c>
    </row>
    <row r="270" spans="2:10">
      <c r="B270" s="271"/>
      <c r="C270" s="272" t="s">
        <v>871</v>
      </c>
      <c r="D270" s="271"/>
      <c r="E270" s="274">
        <f>Dat_02!F269</f>
        <v>189.65950698399868</v>
      </c>
      <c r="F270" s="274">
        <f>Dat_02!G269</f>
        <v>124.98173132994</v>
      </c>
      <c r="G270" s="274">
        <f>Dat_02!H269</f>
        <v>124.98173132994</v>
      </c>
      <c r="I270" s="275" t="str">
        <f>Dat_02!J269</f>
        <v/>
      </c>
      <c r="J270" s="287" t="str">
        <f>IF(Dat_02!K269=0,"",Dat_02!K269)</f>
        <v/>
      </c>
    </row>
    <row r="271" spans="2:10">
      <c r="B271" s="271"/>
      <c r="C271" s="272" t="s">
        <v>872</v>
      </c>
      <c r="D271" s="271"/>
      <c r="E271" s="274">
        <f>Dat_02!F270</f>
        <v>188.47121192400013</v>
      </c>
      <c r="F271" s="274">
        <f>Dat_02!G270</f>
        <v>124.98173132994</v>
      </c>
      <c r="G271" s="274">
        <f>Dat_02!H270</f>
        <v>124.98173132994</v>
      </c>
      <c r="I271" s="275" t="str">
        <f>Dat_02!J270</f>
        <v/>
      </c>
      <c r="J271" s="287" t="str">
        <f>IF(Dat_02!K270=0,"",Dat_02!K270)</f>
        <v/>
      </c>
    </row>
    <row r="272" spans="2:10">
      <c r="B272" s="271"/>
      <c r="C272" s="272" t="s">
        <v>873</v>
      </c>
      <c r="D272" s="271"/>
      <c r="E272" s="274">
        <f>Dat_02!F271</f>
        <v>206.04346000400139</v>
      </c>
      <c r="F272" s="274">
        <f>Dat_02!G271</f>
        <v>124.98173132994</v>
      </c>
      <c r="G272" s="274">
        <f>Dat_02!H271</f>
        <v>124.98173132994</v>
      </c>
      <c r="I272" s="275" t="str">
        <f>Dat_02!J271</f>
        <v/>
      </c>
      <c r="J272" s="287" t="str">
        <f>IF(Dat_02!K271=0,"",Dat_02!K271)</f>
        <v/>
      </c>
    </row>
    <row r="273" spans="2:10">
      <c r="B273" s="271"/>
      <c r="C273" s="272" t="s">
        <v>874</v>
      </c>
      <c r="D273" s="271"/>
      <c r="E273" s="274">
        <f>Dat_02!F272</f>
        <v>187.73323937799853</v>
      </c>
      <c r="F273" s="274">
        <f>Dat_02!G272</f>
        <v>124.98173132994</v>
      </c>
      <c r="G273" s="274">
        <f>Dat_02!H272</f>
        <v>124.98173132994</v>
      </c>
      <c r="I273" s="275" t="str">
        <f>Dat_02!J272</f>
        <v/>
      </c>
      <c r="J273" s="287" t="str">
        <f>IF(Dat_02!K272=0,"",Dat_02!K272)</f>
        <v/>
      </c>
    </row>
    <row r="274" spans="2:10">
      <c r="B274" s="271"/>
      <c r="C274" s="272" t="s">
        <v>875</v>
      </c>
      <c r="D274" s="271"/>
      <c r="E274" s="274">
        <f>Dat_02!F273</f>
        <v>172.92096333800154</v>
      </c>
      <c r="F274" s="274">
        <f>Dat_02!G273</f>
        <v>124.98173132994</v>
      </c>
      <c r="G274" s="274">
        <f>Dat_02!H273</f>
        <v>124.98173132994</v>
      </c>
      <c r="I274" s="275" t="str">
        <f>Dat_02!J273</f>
        <v/>
      </c>
      <c r="J274" s="287" t="str">
        <f>IF(Dat_02!K273=0,"",Dat_02!K273)</f>
        <v/>
      </c>
    </row>
    <row r="275" spans="2:10">
      <c r="B275" s="271"/>
      <c r="C275" s="272" t="s">
        <v>876</v>
      </c>
      <c r="D275" s="271"/>
      <c r="E275" s="274">
        <f>Dat_02!F274</f>
        <v>178.40271254399872</v>
      </c>
      <c r="F275" s="274">
        <f>Dat_02!G274</f>
        <v>124.98173132994</v>
      </c>
      <c r="G275" s="274">
        <f>Dat_02!H274</f>
        <v>124.98173132994</v>
      </c>
      <c r="I275" s="275" t="str">
        <f>Dat_02!J274</f>
        <v/>
      </c>
      <c r="J275" s="287" t="str">
        <f>IF(Dat_02!K274=0,"",Dat_02!K274)</f>
        <v/>
      </c>
    </row>
    <row r="276" spans="2:10">
      <c r="B276" s="271"/>
      <c r="C276" s="272" t="s">
        <v>877</v>
      </c>
      <c r="D276" s="271"/>
      <c r="E276" s="274">
        <f>Dat_02!F275</f>
        <v>184.24671902800131</v>
      </c>
      <c r="F276" s="274">
        <f>Dat_02!G275</f>
        <v>124.98173132994</v>
      </c>
      <c r="G276" s="274">
        <f>Dat_02!H275</f>
        <v>124.98173132994</v>
      </c>
      <c r="I276" s="275" t="str">
        <f>Dat_02!J275</f>
        <v/>
      </c>
      <c r="J276" s="287" t="str">
        <f>IF(Dat_02!K275=0,"",Dat_02!K275)</f>
        <v/>
      </c>
    </row>
    <row r="277" spans="2:10">
      <c r="B277" s="271" t="s">
        <v>878</v>
      </c>
      <c r="C277" s="272" t="s">
        <v>879</v>
      </c>
      <c r="D277" s="271"/>
      <c r="E277" s="274">
        <f>Dat_02!F276</f>
        <v>162.62139220799986</v>
      </c>
      <c r="F277" s="274">
        <f>Dat_02!G276</f>
        <v>106.79032108965163</v>
      </c>
      <c r="G277" s="274">
        <f>Dat_02!H276</f>
        <v>106.79032108965163</v>
      </c>
      <c r="I277" s="275" t="str">
        <f>Dat_02!J276</f>
        <v/>
      </c>
      <c r="J277" s="287" t="str">
        <f>IF(Dat_02!K276=0,"",Dat_02!K276)</f>
        <v/>
      </c>
    </row>
    <row r="278" spans="2:10">
      <c r="B278" s="273"/>
      <c r="C278" s="278" t="s">
        <v>880</v>
      </c>
      <c r="D278" s="273"/>
      <c r="E278" s="274">
        <f>Dat_02!F277</f>
        <v>129.33470725199848</v>
      </c>
      <c r="F278" s="274">
        <f>Dat_02!G277</f>
        <v>106.79032108965163</v>
      </c>
      <c r="G278" s="274">
        <f>Dat_02!H277</f>
        <v>106.79032108965163</v>
      </c>
      <c r="I278" s="275" t="str">
        <f>Dat_02!J277</f>
        <v/>
      </c>
      <c r="J278" s="287" t="str">
        <f>IF(Dat_02!K277=0,"",Dat_02!K277)</f>
        <v/>
      </c>
    </row>
    <row r="279" spans="2:10">
      <c r="B279" s="271"/>
      <c r="C279" s="272" t="s">
        <v>881</v>
      </c>
      <c r="D279" s="273"/>
      <c r="E279" s="274">
        <f>Dat_02!F278</f>
        <v>130.67415226000128</v>
      </c>
      <c r="F279" s="274">
        <f>Dat_02!G278</f>
        <v>106.79032108965163</v>
      </c>
      <c r="G279" s="274">
        <f>Dat_02!H278</f>
        <v>106.79032108965163</v>
      </c>
      <c r="I279" s="275" t="str">
        <f>Dat_02!J278</f>
        <v/>
      </c>
      <c r="J279" s="287" t="str">
        <f>IF(Dat_02!K278=0,"",Dat_02!K278)</f>
        <v/>
      </c>
    </row>
    <row r="280" spans="2:10">
      <c r="B280" s="271"/>
      <c r="C280" s="272" t="s">
        <v>882</v>
      </c>
      <c r="D280" s="271"/>
      <c r="E280" s="274">
        <f>Dat_02!F279</f>
        <v>133.53077605199883</v>
      </c>
      <c r="F280" s="274">
        <f>Dat_02!G279</f>
        <v>106.79032108965163</v>
      </c>
      <c r="G280" s="274">
        <f>Dat_02!H279</f>
        <v>106.79032108965163</v>
      </c>
      <c r="I280" s="275" t="str">
        <f>Dat_02!J279</f>
        <v/>
      </c>
      <c r="J280" s="287" t="str">
        <f>IF(Dat_02!K279=0,"",Dat_02!K279)</f>
        <v/>
      </c>
    </row>
    <row r="281" spans="2:10">
      <c r="B281" s="271"/>
      <c r="C281" s="272" t="s">
        <v>883</v>
      </c>
      <c r="D281" s="271"/>
      <c r="E281" s="274">
        <f>Dat_02!F280</f>
        <v>122.01502003200133</v>
      </c>
      <c r="F281" s="274">
        <f>Dat_02!G280</f>
        <v>106.79032108965163</v>
      </c>
      <c r="G281" s="274">
        <f>Dat_02!H280</f>
        <v>106.79032108965163</v>
      </c>
      <c r="I281" s="275" t="str">
        <f>Dat_02!J280</f>
        <v/>
      </c>
      <c r="J281" s="287" t="str">
        <f>IF(Dat_02!K280=0,"",Dat_02!K280)</f>
        <v/>
      </c>
    </row>
    <row r="282" spans="2:10">
      <c r="B282" s="271"/>
      <c r="C282" s="272" t="s">
        <v>884</v>
      </c>
      <c r="D282" s="271"/>
      <c r="E282" s="274">
        <f>Dat_02!F281</f>
        <v>137.70207570200012</v>
      </c>
      <c r="F282" s="274">
        <f>Dat_02!G281</f>
        <v>106.79032108965163</v>
      </c>
      <c r="G282" s="274">
        <f>Dat_02!H281</f>
        <v>106.79032108965163</v>
      </c>
      <c r="I282" s="275" t="str">
        <f>Dat_02!J281</f>
        <v/>
      </c>
      <c r="J282" s="287" t="str">
        <f>IF(Dat_02!K281=0,"",Dat_02!K281)</f>
        <v/>
      </c>
    </row>
    <row r="283" spans="2:10">
      <c r="B283" s="271"/>
      <c r="C283" s="272" t="s">
        <v>885</v>
      </c>
      <c r="D283" s="271"/>
      <c r="E283" s="274">
        <f>Dat_02!F282</f>
        <v>104.67893061999892</v>
      </c>
      <c r="F283" s="274">
        <f>Dat_02!G282</f>
        <v>106.79032108965163</v>
      </c>
      <c r="G283" s="274">
        <f>Dat_02!H282</f>
        <v>104.67893061999892</v>
      </c>
      <c r="I283" s="275" t="str">
        <f>Dat_02!J282</f>
        <v/>
      </c>
      <c r="J283" s="287" t="str">
        <f>IF(Dat_02!K282=0,"",Dat_02!K282)</f>
        <v/>
      </c>
    </row>
    <row r="284" spans="2:10">
      <c r="B284" s="271"/>
      <c r="C284" s="272" t="s">
        <v>886</v>
      </c>
      <c r="D284" s="271"/>
      <c r="E284" s="274">
        <f>Dat_02!F283</f>
        <v>144.64593666000002</v>
      </c>
      <c r="F284" s="274">
        <f>Dat_02!G283</f>
        <v>106.79032108965163</v>
      </c>
      <c r="G284" s="274">
        <f>Dat_02!H283</f>
        <v>106.79032108965163</v>
      </c>
      <c r="I284" s="275" t="str">
        <f>Dat_02!J283</f>
        <v/>
      </c>
      <c r="J284" s="287" t="str">
        <f>IF(Dat_02!K283=0,"",Dat_02!K283)</f>
        <v/>
      </c>
    </row>
    <row r="285" spans="2:10">
      <c r="B285" s="271"/>
      <c r="C285" s="272" t="s">
        <v>887</v>
      </c>
      <c r="D285" s="271"/>
      <c r="E285" s="274">
        <f>Dat_02!F284</f>
        <v>131.46211709399992</v>
      </c>
      <c r="F285" s="274">
        <f>Dat_02!G284</f>
        <v>106.79032108965163</v>
      </c>
      <c r="G285" s="274">
        <f>Dat_02!H284</f>
        <v>106.79032108965163</v>
      </c>
      <c r="I285" s="275" t="str">
        <f>Dat_02!J284</f>
        <v/>
      </c>
      <c r="J285" s="287" t="str">
        <f>IF(Dat_02!K284=0,"",Dat_02!K284)</f>
        <v/>
      </c>
    </row>
    <row r="286" spans="2:10">
      <c r="B286" s="271"/>
      <c r="C286" s="272" t="s">
        <v>888</v>
      </c>
      <c r="D286" s="271"/>
      <c r="E286" s="274">
        <f>Dat_02!F285</f>
        <v>120.06027501200124</v>
      </c>
      <c r="F286" s="274">
        <f>Dat_02!G285</f>
        <v>106.79032108965163</v>
      </c>
      <c r="G286" s="274">
        <f>Dat_02!H285</f>
        <v>106.79032108965163</v>
      </c>
      <c r="I286" s="275" t="str">
        <f>Dat_02!J285</f>
        <v/>
      </c>
      <c r="J286" s="287" t="str">
        <f>IF(Dat_02!K285=0,"",Dat_02!K285)</f>
        <v/>
      </c>
    </row>
    <row r="287" spans="2:10">
      <c r="B287" s="271"/>
      <c r="C287" s="272" t="s">
        <v>889</v>
      </c>
      <c r="D287" s="271"/>
      <c r="E287" s="274">
        <f>Dat_02!F286</f>
        <v>101.69412799999904</v>
      </c>
      <c r="F287" s="274">
        <f>Dat_02!G286</f>
        <v>106.79032108965163</v>
      </c>
      <c r="G287" s="274">
        <f>Dat_02!H286</f>
        <v>101.69412799999904</v>
      </c>
      <c r="I287" s="275" t="str">
        <f>Dat_02!J286</f>
        <v/>
      </c>
      <c r="J287" s="287" t="str">
        <f>IF(Dat_02!K286=0,"",Dat_02!K286)</f>
        <v/>
      </c>
    </row>
    <row r="288" spans="2:10">
      <c r="B288" s="271"/>
      <c r="C288" s="272" t="s">
        <v>890</v>
      </c>
      <c r="D288" s="271"/>
      <c r="E288" s="274">
        <f>Dat_02!F287</f>
        <v>136.71276595999944</v>
      </c>
      <c r="F288" s="274">
        <f>Dat_02!G287</f>
        <v>106.79032108965163</v>
      </c>
      <c r="G288" s="274">
        <f>Dat_02!H287</f>
        <v>106.79032108965163</v>
      </c>
      <c r="I288" s="275" t="str">
        <f>Dat_02!J287</f>
        <v/>
      </c>
      <c r="J288" s="287" t="str">
        <f>IF(Dat_02!K287=0,"",Dat_02!K287)</f>
        <v/>
      </c>
    </row>
    <row r="289" spans="2:10">
      <c r="B289" s="271"/>
      <c r="C289" s="272" t="s">
        <v>891</v>
      </c>
      <c r="D289" s="271"/>
      <c r="E289" s="274">
        <f>Dat_02!F288</f>
        <v>128.57641445799976</v>
      </c>
      <c r="F289" s="274">
        <f>Dat_02!G288</f>
        <v>106.79032108965163</v>
      </c>
      <c r="G289" s="274">
        <f>Dat_02!H288</f>
        <v>106.79032108965163</v>
      </c>
      <c r="I289" s="275" t="str">
        <f>Dat_02!J288</f>
        <v/>
      </c>
      <c r="J289" s="287" t="str">
        <f>IF(Dat_02!K288=0,"",Dat_02!K288)</f>
        <v/>
      </c>
    </row>
    <row r="290" spans="2:10">
      <c r="B290" s="271"/>
      <c r="C290" s="272" t="s">
        <v>892</v>
      </c>
      <c r="D290" s="271"/>
      <c r="E290" s="274">
        <f>Dat_02!F289</f>
        <v>129.40926332800001</v>
      </c>
      <c r="F290" s="274">
        <f>Dat_02!G289</f>
        <v>106.79032108965163</v>
      </c>
      <c r="G290" s="274">
        <f>Dat_02!H289</f>
        <v>106.79032108965163</v>
      </c>
      <c r="I290" s="275" t="str">
        <f>Dat_02!J289</f>
        <v/>
      </c>
      <c r="J290" s="287" t="str">
        <f>IF(Dat_02!K289=0,"",Dat_02!K289)</f>
        <v/>
      </c>
    </row>
    <row r="291" spans="2:10">
      <c r="B291" s="271"/>
      <c r="C291" s="272" t="s">
        <v>893</v>
      </c>
      <c r="D291" s="271"/>
      <c r="E291" s="274">
        <f>Dat_02!F290</f>
        <v>99.633403692001764</v>
      </c>
      <c r="F291" s="274">
        <f>Dat_02!G290</f>
        <v>106.79032108965163</v>
      </c>
      <c r="G291" s="274">
        <f>Dat_02!H290</f>
        <v>99.633403692001764</v>
      </c>
      <c r="I291" s="275" t="str">
        <f>Dat_02!J290</f>
        <v>M</v>
      </c>
      <c r="J291" s="287">
        <f>IF(Dat_02!K290=0,"",Dat_02!K290)</f>
        <v>106.79032108965163</v>
      </c>
    </row>
    <row r="292" spans="2:10">
      <c r="B292" s="271"/>
      <c r="C292" s="272" t="s">
        <v>894</v>
      </c>
      <c r="D292" s="271"/>
      <c r="E292" s="274">
        <f>Dat_02!F291</f>
        <v>89.53252367199832</v>
      </c>
      <c r="F292" s="274">
        <f>Dat_02!G291</f>
        <v>106.79032108965163</v>
      </c>
      <c r="G292" s="274">
        <f>Dat_02!H291</f>
        <v>89.53252367199832</v>
      </c>
      <c r="I292" s="275" t="str">
        <f>Dat_02!J291</f>
        <v/>
      </c>
      <c r="J292" s="287" t="str">
        <f>IF(Dat_02!K291=0,"",Dat_02!K291)</f>
        <v/>
      </c>
    </row>
    <row r="293" spans="2:10">
      <c r="B293" s="271"/>
      <c r="C293" s="272" t="s">
        <v>895</v>
      </c>
      <c r="D293" s="271"/>
      <c r="E293" s="274">
        <f>Dat_02!F292</f>
        <v>87.690675502001014</v>
      </c>
      <c r="F293" s="274">
        <f>Dat_02!G292</f>
        <v>106.79032108965163</v>
      </c>
      <c r="G293" s="274">
        <f>Dat_02!H292</f>
        <v>87.690675502001014</v>
      </c>
      <c r="I293" s="275" t="str">
        <f>Dat_02!J292</f>
        <v/>
      </c>
      <c r="J293" s="287" t="str">
        <f>IF(Dat_02!K292=0,"",Dat_02!K292)</f>
        <v/>
      </c>
    </row>
    <row r="294" spans="2:10">
      <c r="B294" s="271"/>
      <c r="C294" s="272" t="s">
        <v>896</v>
      </c>
      <c r="D294" s="271"/>
      <c r="E294" s="274">
        <f>Dat_02!F293</f>
        <v>85.365028687999157</v>
      </c>
      <c r="F294" s="274">
        <f>Dat_02!G293</f>
        <v>106.79032108965163</v>
      </c>
      <c r="G294" s="274">
        <f>Dat_02!H293</f>
        <v>85.365028687999157</v>
      </c>
      <c r="I294" s="275" t="str">
        <f>Dat_02!J293</f>
        <v/>
      </c>
      <c r="J294" s="287" t="str">
        <f>IF(Dat_02!K293=0,"",Dat_02!K293)</f>
        <v/>
      </c>
    </row>
    <row r="295" spans="2:10">
      <c r="B295" s="271"/>
      <c r="C295" s="272" t="s">
        <v>897</v>
      </c>
      <c r="D295" s="271"/>
      <c r="E295" s="274">
        <f>Dat_02!F294</f>
        <v>106.91501158400048</v>
      </c>
      <c r="F295" s="274">
        <f>Dat_02!G294</f>
        <v>106.79032108965163</v>
      </c>
      <c r="G295" s="274">
        <f>Dat_02!H294</f>
        <v>106.79032108965163</v>
      </c>
      <c r="I295" s="275" t="str">
        <f>Dat_02!J294</f>
        <v/>
      </c>
      <c r="J295" s="287" t="str">
        <f>IF(Dat_02!K294=0,"",Dat_02!K294)</f>
        <v/>
      </c>
    </row>
    <row r="296" spans="2:10">
      <c r="B296" s="271"/>
      <c r="C296" s="272" t="s">
        <v>898</v>
      </c>
      <c r="D296" s="271"/>
      <c r="E296" s="274">
        <f>Dat_02!F295</f>
        <v>94.498085524000132</v>
      </c>
      <c r="F296" s="274">
        <f>Dat_02!G295</f>
        <v>106.79032108965163</v>
      </c>
      <c r="G296" s="274">
        <f>Dat_02!H295</f>
        <v>94.498085524000132</v>
      </c>
      <c r="I296" s="275" t="str">
        <f>Dat_02!J295</f>
        <v/>
      </c>
      <c r="J296" s="287" t="str">
        <f>IF(Dat_02!K295=0,"",Dat_02!K295)</f>
        <v/>
      </c>
    </row>
    <row r="297" spans="2:10">
      <c r="B297" s="271"/>
      <c r="C297" s="272" t="s">
        <v>899</v>
      </c>
      <c r="D297" s="271"/>
      <c r="E297" s="274">
        <f>Dat_02!F296</f>
        <v>111.66420437600006</v>
      </c>
      <c r="F297" s="274">
        <f>Dat_02!G296</f>
        <v>106.79032108965163</v>
      </c>
      <c r="G297" s="274">
        <f>Dat_02!H296</f>
        <v>106.79032108965163</v>
      </c>
      <c r="I297" s="275" t="str">
        <f>Dat_02!J296</f>
        <v/>
      </c>
      <c r="J297" s="287" t="str">
        <f>IF(Dat_02!K296=0,"",Dat_02!K296)</f>
        <v/>
      </c>
    </row>
    <row r="298" spans="2:10">
      <c r="B298" s="271"/>
      <c r="C298" s="272" t="s">
        <v>900</v>
      </c>
      <c r="D298" s="271"/>
      <c r="E298" s="274">
        <f>Dat_02!F297</f>
        <v>105.49031820600081</v>
      </c>
      <c r="F298" s="274">
        <f>Dat_02!G297</f>
        <v>106.79032108965163</v>
      </c>
      <c r="G298" s="274">
        <f>Dat_02!H297</f>
        <v>105.49031820600081</v>
      </c>
      <c r="I298" s="275" t="str">
        <f>Dat_02!J297</f>
        <v/>
      </c>
      <c r="J298" s="287" t="str">
        <f>IF(Dat_02!K297=0,"",Dat_02!K297)</f>
        <v/>
      </c>
    </row>
    <row r="299" spans="2:10">
      <c r="B299" s="271"/>
      <c r="C299" s="272" t="s">
        <v>901</v>
      </c>
      <c r="D299" s="271"/>
      <c r="E299" s="274">
        <f>Dat_02!F298</f>
        <v>86.771898835999281</v>
      </c>
      <c r="F299" s="274">
        <f>Dat_02!G298</f>
        <v>106.79032108965163</v>
      </c>
      <c r="G299" s="274">
        <f>Dat_02!H298</f>
        <v>86.771898835999281</v>
      </c>
      <c r="I299" s="275" t="str">
        <f>Dat_02!J298</f>
        <v/>
      </c>
      <c r="J299" s="287" t="str">
        <f>IF(Dat_02!K298=0,"",Dat_02!K298)</f>
        <v/>
      </c>
    </row>
    <row r="300" spans="2:10">
      <c r="B300" s="271"/>
      <c r="C300" s="272" t="s">
        <v>902</v>
      </c>
      <c r="D300" s="271"/>
      <c r="E300" s="274">
        <f>Dat_02!F299</f>
        <v>113.33406326600067</v>
      </c>
      <c r="F300" s="274">
        <f>Dat_02!G299</f>
        <v>106.79032108965163</v>
      </c>
      <c r="G300" s="274">
        <f>Dat_02!H299</f>
        <v>106.79032108965163</v>
      </c>
      <c r="I300" s="275" t="str">
        <f>Dat_02!J299</f>
        <v/>
      </c>
      <c r="J300" s="287" t="str">
        <f>IF(Dat_02!K299=0,"",Dat_02!K299)</f>
        <v/>
      </c>
    </row>
    <row r="301" spans="2:10">
      <c r="B301" s="271"/>
      <c r="C301" s="272" t="s">
        <v>903</v>
      </c>
      <c r="D301" s="271"/>
      <c r="E301" s="274">
        <f>Dat_02!F300</f>
        <v>105.60525400799881</v>
      </c>
      <c r="F301" s="274">
        <f>Dat_02!G300</f>
        <v>106.79032108965163</v>
      </c>
      <c r="G301" s="274">
        <f>Dat_02!H300</f>
        <v>105.60525400799881</v>
      </c>
      <c r="I301" s="275" t="str">
        <f>Dat_02!J300</f>
        <v/>
      </c>
      <c r="J301" s="287" t="str">
        <f>IF(Dat_02!K300=0,"",Dat_02!K300)</f>
        <v/>
      </c>
    </row>
    <row r="302" spans="2:10">
      <c r="B302" s="271"/>
      <c r="C302" s="272" t="s">
        <v>904</v>
      </c>
      <c r="D302" s="271"/>
      <c r="E302" s="274">
        <f>Dat_02!F301</f>
        <v>133.78903350000027</v>
      </c>
      <c r="F302" s="274">
        <f>Dat_02!G301</f>
        <v>106.79032108965163</v>
      </c>
      <c r="G302" s="274">
        <f>Dat_02!H301</f>
        <v>106.79032108965163</v>
      </c>
      <c r="I302" s="275" t="str">
        <f>Dat_02!J301</f>
        <v/>
      </c>
      <c r="J302" s="287" t="str">
        <f>IF(Dat_02!K301=0,"",Dat_02!K301)</f>
        <v/>
      </c>
    </row>
    <row r="303" spans="2:10">
      <c r="B303" s="271"/>
      <c r="C303" s="272" t="s">
        <v>905</v>
      </c>
      <c r="D303" s="271"/>
      <c r="E303" s="274">
        <f>Dat_02!F302</f>
        <v>111.33093025200046</v>
      </c>
      <c r="F303" s="274">
        <f>Dat_02!G302</f>
        <v>106.79032108965163</v>
      </c>
      <c r="G303" s="274">
        <f>Dat_02!H302</f>
        <v>106.79032108965163</v>
      </c>
      <c r="I303" s="275" t="str">
        <f>Dat_02!J302</f>
        <v/>
      </c>
      <c r="J303" s="287" t="str">
        <f>IF(Dat_02!K302=0,"",Dat_02!K302)</f>
        <v/>
      </c>
    </row>
    <row r="304" spans="2:10">
      <c r="B304" s="271"/>
      <c r="C304" s="272" t="s">
        <v>906</v>
      </c>
      <c r="D304" s="271"/>
      <c r="E304" s="274">
        <f>Dat_02!F303</f>
        <v>131.28679254600058</v>
      </c>
      <c r="F304" s="274">
        <f>Dat_02!G303</f>
        <v>106.79032108965163</v>
      </c>
      <c r="G304" s="274">
        <f>Dat_02!H303</f>
        <v>106.79032108965163</v>
      </c>
      <c r="I304" s="275" t="str">
        <f>Dat_02!J303</f>
        <v/>
      </c>
      <c r="J304" s="287" t="str">
        <f>IF(Dat_02!K303=0,"",Dat_02!K303)</f>
        <v/>
      </c>
    </row>
    <row r="305" spans="2:10">
      <c r="B305" s="271"/>
      <c r="C305" s="272" t="s">
        <v>907</v>
      </c>
      <c r="D305" s="271"/>
      <c r="E305" s="274">
        <f>Dat_02!F304</f>
        <v>195.54347330799871</v>
      </c>
      <c r="F305" s="274">
        <f>Dat_02!G304</f>
        <v>106.79032108965163</v>
      </c>
      <c r="G305" s="274">
        <f>Dat_02!H304</f>
        <v>106.79032108965163</v>
      </c>
      <c r="I305" s="275" t="str">
        <f>Dat_02!J304</f>
        <v/>
      </c>
      <c r="J305" s="287" t="str">
        <f>IF(Dat_02!K304=0,"",Dat_02!K304)</f>
        <v/>
      </c>
    </row>
    <row r="306" spans="2:10">
      <c r="B306" s="271"/>
      <c r="C306" s="272" t="s">
        <v>908</v>
      </c>
      <c r="D306" s="271"/>
      <c r="E306" s="274">
        <f>Dat_02!F305</f>
        <v>100.98178129200043</v>
      </c>
      <c r="F306" s="274">
        <f>Dat_02!G305</f>
        <v>106.79032108965163</v>
      </c>
      <c r="G306" s="274">
        <f>Dat_02!H305</f>
        <v>100.98178129200043</v>
      </c>
      <c r="I306" s="275" t="str">
        <f>Dat_02!J305</f>
        <v/>
      </c>
      <c r="J306" s="287" t="str">
        <f>IF(Dat_02!K305=0,"",Dat_02!K305)</f>
        <v/>
      </c>
    </row>
    <row r="307" spans="2:10">
      <c r="B307" s="271"/>
      <c r="C307" s="272" t="s">
        <v>909</v>
      </c>
      <c r="D307" s="271"/>
      <c r="E307" s="274">
        <f>Dat_02!F306</f>
        <v>133.8371004339995</v>
      </c>
      <c r="F307" s="274">
        <f>Dat_02!G306</f>
        <v>106.79032108965163</v>
      </c>
      <c r="G307" s="274">
        <f>Dat_02!H306</f>
        <v>106.79032108965163</v>
      </c>
      <c r="I307" s="275" t="str">
        <f>Dat_02!J306</f>
        <v/>
      </c>
      <c r="J307" s="287" t="str">
        <f>IF(Dat_02!K306=0,"",Dat_02!K306)</f>
        <v/>
      </c>
    </row>
    <row r="308" spans="2:10">
      <c r="B308" s="273" t="s">
        <v>910</v>
      </c>
      <c r="C308" s="278" t="s">
        <v>911</v>
      </c>
      <c r="D308" s="271"/>
      <c r="E308" s="274">
        <f>Dat_02!F307</f>
        <v>132.96366703799978</v>
      </c>
      <c r="F308" s="274">
        <f>Dat_02!G307</f>
        <v>64.364342968573325</v>
      </c>
      <c r="G308" s="274">
        <f>Dat_02!H307</f>
        <v>64.364342968573325</v>
      </c>
      <c r="I308" s="275" t="str">
        <f>Dat_02!J307</f>
        <v/>
      </c>
      <c r="J308" s="287" t="str">
        <f>IF(Dat_02!K307=0,"",Dat_02!K307)</f>
        <v/>
      </c>
    </row>
    <row r="309" spans="2:10">
      <c r="B309" s="271"/>
      <c r="C309" s="272" t="s">
        <v>912</v>
      </c>
      <c r="D309" s="273"/>
      <c r="E309" s="274">
        <f>Dat_02!F308</f>
        <v>110.02470957600039</v>
      </c>
      <c r="F309" s="274">
        <f>Dat_02!G308</f>
        <v>64.364342968573325</v>
      </c>
      <c r="G309" s="274">
        <f>Dat_02!H308</f>
        <v>64.364342968573325</v>
      </c>
      <c r="I309" s="275" t="str">
        <f>Dat_02!J308</f>
        <v/>
      </c>
      <c r="J309" s="287" t="str">
        <f>IF(Dat_02!K308=0,"",Dat_02!K308)</f>
        <v/>
      </c>
    </row>
    <row r="310" spans="2:10">
      <c r="B310" s="271"/>
      <c r="C310" s="272" t="s">
        <v>913</v>
      </c>
      <c r="D310" s="273"/>
      <c r="E310" s="274">
        <f>Dat_02!F309</f>
        <v>132.97998542200034</v>
      </c>
      <c r="F310" s="274">
        <f>Dat_02!G309</f>
        <v>64.364342968573325</v>
      </c>
      <c r="G310" s="274">
        <f>Dat_02!H309</f>
        <v>64.364342968573325</v>
      </c>
      <c r="I310" s="275" t="str">
        <f>Dat_02!J309</f>
        <v/>
      </c>
      <c r="J310" s="287" t="str">
        <f>IF(Dat_02!K309=0,"",Dat_02!K309)</f>
        <v/>
      </c>
    </row>
    <row r="311" spans="2:10">
      <c r="B311" s="271"/>
      <c r="C311" s="272" t="s">
        <v>914</v>
      </c>
      <c r="D311" s="271"/>
      <c r="E311" s="274">
        <f>Dat_02!F310</f>
        <v>124.64686112600039</v>
      </c>
      <c r="F311" s="274">
        <f>Dat_02!G310</f>
        <v>64.364342968573325</v>
      </c>
      <c r="G311" s="274">
        <f>Dat_02!H310</f>
        <v>64.364342968573325</v>
      </c>
      <c r="I311" s="275" t="str">
        <f>Dat_02!J310</f>
        <v/>
      </c>
      <c r="J311" s="287" t="str">
        <f>IF(Dat_02!K310=0,"",Dat_02!K310)</f>
        <v/>
      </c>
    </row>
    <row r="312" spans="2:10">
      <c r="B312" s="271"/>
      <c r="C312" s="272" t="s">
        <v>915</v>
      </c>
      <c r="D312" s="271"/>
      <c r="E312" s="274">
        <f>Dat_02!F311</f>
        <v>107.88153764799873</v>
      </c>
      <c r="F312" s="274">
        <f>Dat_02!G311</f>
        <v>64.364342968573325</v>
      </c>
      <c r="G312" s="274">
        <f>Dat_02!H311</f>
        <v>64.364342968573325</v>
      </c>
      <c r="I312" s="275" t="str">
        <f>Dat_02!J311</f>
        <v/>
      </c>
      <c r="J312" s="287" t="str">
        <f>IF(Dat_02!K311=0,"",Dat_02!K311)</f>
        <v/>
      </c>
    </row>
    <row r="313" spans="2:10">
      <c r="B313" s="271"/>
      <c r="C313" s="272" t="s">
        <v>916</v>
      </c>
      <c r="D313" s="271"/>
      <c r="E313" s="274">
        <f>Dat_02!F312</f>
        <v>151.11151027200125</v>
      </c>
      <c r="F313" s="274">
        <f>Dat_02!G312</f>
        <v>64.364342968573325</v>
      </c>
      <c r="G313" s="274">
        <f>Dat_02!H312</f>
        <v>64.364342968573325</v>
      </c>
      <c r="I313" s="275" t="str">
        <f>Dat_02!J312</f>
        <v/>
      </c>
      <c r="J313" s="287" t="str">
        <f>IF(Dat_02!K312=0,"",Dat_02!K312)</f>
        <v/>
      </c>
    </row>
    <row r="314" spans="2:10">
      <c r="B314" s="271"/>
      <c r="C314" s="272" t="s">
        <v>917</v>
      </c>
      <c r="D314" s="271"/>
      <c r="E314" s="274">
        <f>Dat_02!F313</f>
        <v>121.60062815199908</v>
      </c>
      <c r="F314" s="274">
        <f>Dat_02!G313</f>
        <v>64.364342968573325</v>
      </c>
      <c r="G314" s="274">
        <f>Dat_02!H313</f>
        <v>64.364342968573325</v>
      </c>
      <c r="I314" s="275" t="str">
        <f>Dat_02!J313</f>
        <v/>
      </c>
      <c r="J314" s="287" t="str">
        <f>IF(Dat_02!K313=0,"",Dat_02!K313)</f>
        <v/>
      </c>
    </row>
    <row r="315" spans="2:10">
      <c r="B315" s="271"/>
      <c r="C315" s="272" t="s">
        <v>918</v>
      </c>
      <c r="D315" s="271"/>
      <c r="E315" s="274">
        <f>Dat_02!F314</f>
        <v>155.11982997000078</v>
      </c>
      <c r="F315" s="274">
        <f>Dat_02!G314</f>
        <v>64.364342968573325</v>
      </c>
      <c r="G315" s="274">
        <f>Dat_02!H314</f>
        <v>64.364342968573325</v>
      </c>
      <c r="I315" s="275" t="str">
        <f>Dat_02!J314</f>
        <v/>
      </c>
      <c r="J315" s="287" t="str">
        <f>IF(Dat_02!K314=0,"",Dat_02!K314)</f>
        <v/>
      </c>
    </row>
    <row r="316" spans="2:10">
      <c r="B316" s="271"/>
      <c r="C316" s="272" t="s">
        <v>919</v>
      </c>
      <c r="D316" s="271"/>
      <c r="E316" s="274">
        <f>Dat_02!F315</f>
        <v>156.27977458999919</v>
      </c>
      <c r="F316" s="274">
        <f>Dat_02!G315</f>
        <v>64.364342968573325</v>
      </c>
      <c r="G316" s="274">
        <f>Dat_02!H315</f>
        <v>64.364342968573325</v>
      </c>
      <c r="I316" s="275" t="str">
        <f>Dat_02!J315</f>
        <v/>
      </c>
      <c r="J316" s="287" t="str">
        <f>IF(Dat_02!K315=0,"",Dat_02!K315)</f>
        <v/>
      </c>
    </row>
    <row r="317" spans="2:10">
      <c r="B317" s="271"/>
      <c r="C317" s="272" t="s">
        <v>920</v>
      </c>
      <c r="D317" s="271"/>
      <c r="E317" s="274">
        <f>Dat_02!F316</f>
        <v>159.36620024999965</v>
      </c>
      <c r="F317" s="274">
        <f>Dat_02!G316</f>
        <v>64.364342968573325</v>
      </c>
      <c r="G317" s="274">
        <f>Dat_02!H316</f>
        <v>64.364342968573325</v>
      </c>
      <c r="I317" s="275" t="str">
        <f>Dat_02!J316</f>
        <v/>
      </c>
      <c r="J317" s="287" t="str">
        <f>IF(Dat_02!K316=0,"",Dat_02!K316)</f>
        <v/>
      </c>
    </row>
    <row r="318" spans="2:10">
      <c r="B318" s="271"/>
      <c r="C318" s="272" t="s">
        <v>921</v>
      </c>
      <c r="D318" s="271"/>
      <c r="E318" s="274">
        <f>Dat_02!F317</f>
        <v>172.01672285200101</v>
      </c>
      <c r="F318" s="274">
        <f>Dat_02!G317</f>
        <v>64.364342968573325</v>
      </c>
      <c r="G318" s="274">
        <f>Dat_02!H317</f>
        <v>64.364342968573325</v>
      </c>
      <c r="I318" s="275" t="str">
        <f>Dat_02!J317</f>
        <v/>
      </c>
      <c r="J318" s="287" t="str">
        <f>IF(Dat_02!K317=0,"",Dat_02!K317)</f>
        <v/>
      </c>
    </row>
    <row r="319" spans="2:10">
      <c r="B319" s="271"/>
      <c r="C319" s="272" t="s">
        <v>922</v>
      </c>
      <c r="D319" s="271"/>
      <c r="E319" s="274">
        <f>Dat_02!F318</f>
        <v>141.66421100799982</v>
      </c>
      <c r="F319" s="274">
        <f>Dat_02!G318</f>
        <v>64.364342968573325</v>
      </c>
      <c r="G319" s="274">
        <f>Dat_02!H318</f>
        <v>64.364342968573325</v>
      </c>
      <c r="I319" s="275" t="str">
        <f>Dat_02!J318</f>
        <v/>
      </c>
      <c r="J319" s="287" t="str">
        <f>IF(Dat_02!K318=0,"",Dat_02!K318)</f>
        <v/>
      </c>
    </row>
    <row r="320" spans="2:10">
      <c r="B320" s="271"/>
      <c r="C320" s="272" t="s">
        <v>923</v>
      </c>
      <c r="D320" s="271"/>
      <c r="E320" s="274">
        <f>Dat_02!F319</f>
        <v>133.43487626200044</v>
      </c>
      <c r="F320" s="274">
        <f>Dat_02!G319</f>
        <v>64.364342968573325</v>
      </c>
      <c r="G320" s="274">
        <f>Dat_02!H319</f>
        <v>64.364342968573325</v>
      </c>
      <c r="I320" s="275" t="str">
        <f>Dat_02!J319</f>
        <v/>
      </c>
      <c r="J320" s="287" t="str">
        <f>IF(Dat_02!K319=0,"",Dat_02!K319)</f>
        <v/>
      </c>
    </row>
    <row r="321" spans="2:10">
      <c r="B321" s="271"/>
      <c r="C321" s="272" t="s">
        <v>924</v>
      </c>
      <c r="D321" s="271"/>
      <c r="E321" s="274">
        <f>Dat_02!F320</f>
        <v>154.90469182799879</v>
      </c>
      <c r="F321" s="274">
        <f>Dat_02!G320</f>
        <v>64.364342968573325</v>
      </c>
      <c r="G321" s="274">
        <f>Dat_02!H320</f>
        <v>64.364342968573325</v>
      </c>
      <c r="I321" s="275" t="str">
        <f>Dat_02!J320</f>
        <v/>
      </c>
      <c r="J321" s="287" t="str">
        <f>IF(Dat_02!K320=0,"",Dat_02!K320)</f>
        <v/>
      </c>
    </row>
    <row r="322" spans="2:10">
      <c r="B322" s="271"/>
      <c r="C322" s="272" t="s">
        <v>925</v>
      </c>
      <c r="D322" s="271"/>
      <c r="E322" s="274">
        <f>Dat_02!F321</f>
        <v>126.21470540400162</v>
      </c>
      <c r="F322" s="274">
        <f>Dat_02!G321</f>
        <v>64.364342968573325</v>
      </c>
      <c r="G322" s="274">
        <f>Dat_02!H321</f>
        <v>64.364342968573325</v>
      </c>
      <c r="I322" s="275" t="str">
        <f>Dat_02!J321</f>
        <v>J</v>
      </c>
      <c r="J322" s="287">
        <f>IF(Dat_02!K321=0,"",Dat_02!K321)</f>
        <v>64.364342968573325</v>
      </c>
    </row>
    <row r="323" spans="2:10">
      <c r="B323" s="271"/>
      <c r="C323" s="272" t="s">
        <v>926</v>
      </c>
      <c r="D323" s="271"/>
      <c r="E323" s="274">
        <f>Dat_02!F322</f>
        <v>134.77780512799947</v>
      </c>
      <c r="F323" s="274">
        <f>Dat_02!G322</f>
        <v>64.364342968573325</v>
      </c>
      <c r="G323" s="274">
        <f>Dat_02!H322</f>
        <v>64.364342968573325</v>
      </c>
      <c r="I323" s="275" t="str">
        <f>Dat_02!J322</f>
        <v/>
      </c>
      <c r="J323" s="287" t="str">
        <f>IF(Dat_02!K322=0,"",Dat_02!K322)</f>
        <v/>
      </c>
    </row>
    <row r="324" spans="2:10">
      <c r="B324" s="271"/>
      <c r="C324" s="272" t="s">
        <v>927</v>
      </c>
      <c r="D324" s="271"/>
      <c r="E324" s="274">
        <f>Dat_02!F323</f>
        <v>102.05139265599894</v>
      </c>
      <c r="F324" s="274">
        <f>Dat_02!G323</f>
        <v>64.364342968573325</v>
      </c>
      <c r="G324" s="274">
        <f>Dat_02!H323</f>
        <v>64.364342968573325</v>
      </c>
      <c r="I324" s="275" t="str">
        <f>Dat_02!J323</f>
        <v/>
      </c>
      <c r="J324" s="287" t="str">
        <f>IF(Dat_02!K323=0,"",Dat_02!K323)</f>
        <v/>
      </c>
    </row>
    <row r="325" spans="2:10">
      <c r="B325" s="271"/>
      <c r="C325" s="272" t="s">
        <v>928</v>
      </c>
      <c r="D325" s="271"/>
      <c r="E325" s="274">
        <f>Dat_02!F324</f>
        <v>132.33437980799994</v>
      </c>
      <c r="F325" s="274">
        <f>Dat_02!G324</f>
        <v>64.364342968573325</v>
      </c>
      <c r="G325" s="274">
        <f>Dat_02!H324</f>
        <v>64.364342968573325</v>
      </c>
      <c r="I325" s="275" t="str">
        <f>Dat_02!J324</f>
        <v/>
      </c>
      <c r="J325" s="287" t="str">
        <f>IF(Dat_02!K324=0,"",Dat_02!K324)</f>
        <v/>
      </c>
    </row>
    <row r="326" spans="2:10">
      <c r="B326" s="271"/>
      <c r="C326" s="272" t="s">
        <v>929</v>
      </c>
      <c r="D326" s="271"/>
      <c r="E326" s="274">
        <f>Dat_02!F325</f>
        <v>94.171101128000387</v>
      </c>
      <c r="F326" s="274">
        <f>Dat_02!G325</f>
        <v>64.364342968573325</v>
      </c>
      <c r="G326" s="274">
        <f>Dat_02!H325</f>
        <v>64.364342968573325</v>
      </c>
      <c r="I326" s="275" t="str">
        <f>Dat_02!J325</f>
        <v/>
      </c>
      <c r="J326" s="287" t="str">
        <f>IF(Dat_02!K325=0,"",Dat_02!K325)</f>
        <v/>
      </c>
    </row>
    <row r="327" spans="2:10">
      <c r="B327" s="271"/>
      <c r="C327" s="272" t="s">
        <v>930</v>
      </c>
      <c r="D327" s="271"/>
      <c r="E327" s="274">
        <f>Dat_02!F326</f>
        <v>98.795849891999765</v>
      </c>
      <c r="F327" s="274">
        <f>Dat_02!G326</f>
        <v>64.364342968573325</v>
      </c>
      <c r="G327" s="274">
        <f>Dat_02!H326</f>
        <v>64.364342968573325</v>
      </c>
      <c r="I327" s="275" t="str">
        <f>Dat_02!J326</f>
        <v/>
      </c>
      <c r="J327" s="287" t="str">
        <f>IF(Dat_02!K326=0,"",Dat_02!K326)</f>
        <v/>
      </c>
    </row>
    <row r="328" spans="2:10">
      <c r="B328" s="271"/>
      <c r="C328" s="272" t="s">
        <v>931</v>
      </c>
      <c r="D328" s="271"/>
      <c r="E328" s="274">
        <f>Dat_02!F327</f>
        <v>94.224907864000983</v>
      </c>
      <c r="F328" s="274">
        <f>Dat_02!G327</f>
        <v>64.364342968573325</v>
      </c>
      <c r="G328" s="274">
        <f>Dat_02!H327</f>
        <v>64.364342968573325</v>
      </c>
      <c r="I328" s="275" t="str">
        <f>Dat_02!J327</f>
        <v/>
      </c>
      <c r="J328" s="287" t="str">
        <f>IF(Dat_02!K327=0,"",Dat_02!K327)</f>
        <v/>
      </c>
    </row>
    <row r="329" spans="2:10">
      <c r="B329" s="271"/>
      <c r="C329" s="272" t="s">
        <v>932</v>
      </c>
      <c r="D329" s="271"/>
      <c r="E329" s="274">
        <f>Dat_02!F328</f>
        <v>97.469921735998838</v>
      </c>
      <c r="F329" s="274">
        <f>Dat_02!G328</f>
        <v>64.364342968573325</v>
      </c>
      <c r="G329" s="274">
        <f>Dat_02!H328</f>
        <v>64.364342968573325</v>
      </c>
      <c r="I329" s="275" t="str">
        <f>Dat_02!J328</f>
        <v/>
      </c>
      <c r="J329" s="287" t="str">
        <f>IF(Dat_02!K328=0,"",Dat_02!K328)</f>
        <v/>
      </c>
    </row>
    <row r="330" spans="2:10">
      <c r="B330" s="271"/>
      <c r="C330" s="272" t="s">
        <v>933</v>
      </c>
      <c r="D330" s="271"/>
      <c r="E330" s="274">
        <f>Dat_02!F329</f>
        <v>69.649160008001445</v>
      </c>
      <c r="F330" s="274">
        <f>Dat_02!G329</f>
        <v>64.364342968573325</v>
      </c>
      <c r="G330" s="274">
        <f>Dat_02!H329</f>
        <v>64.364342968573325</v>
      </c>
      <c r="I330" s="275" t="str">
        <f>Dat_02!J329</f>
        <v/>
      </c>
      <c r="J330" s="287" t="str">
        <f>IF(Dat_02!K329=0,"",Dat_02!K329)</f>
        <v/>
      </c>
    </row>
    <row r="331" spans="2:10">
      <c r="B331" s="271"/>
      <c r="C331" s="272" t="s">
        <v>934</v>
      </c>
      <c r="D331" s="271"/>
      <c r="E331" s="274">
        <f>Dat_02!F330</f>
        <v>80.367859501998751</v>
      </c>
      <c r="F331" s="274">
        <f>Dat_02!G330</f>
        <v>64.364342968573325</v>
      </c>
      <c r="G331" s="274">
        <f>Dat_02!H330</f>
        <v>64.364342968573325</v>
      </c>
      <c r="I331" s="275" t="str">
        <f>Dat_02!J330</f>
        <v/>
      </c>
      <c r="J331" s="287" t="str">
        <f>IF(Dat_02!K330=0,"",Dat_02!K330)</f>
        <v/>
      </c>
    </row>
    <row r="332" spans="2:10">
      <c r="B332" s="271"/>
      <c r="C332" s="272" t="s">
        <v>935</v>
      </c>
      <c r="D332" s="271"/>
      <c r="E332" s="274">
        <f>Dat_02!F331</f>
        <v>98.901564599999816</v>
      </c>
      <c r="F332" s="274">
        <f>Dat_02!G331</f>
        <v>64.364342968573325</v>
      </c>
      <c r="G332" s="274">
        <f>Dat_02!H331</f>
        <v>64.364342968573325</v>
      </c>
      <c r="I332" s="275" t="str">
        <f>Dat_02!J331</f>
        <v/>
      </c>
      <c r="J332" s="287" t="str">
        <f>IF(Dat_02!K331=0,"",Dat_02!K331)</f>
        <v/>
      </c>
    </row>
    <row r="333" spans="2:10">
      <c r="B333" s="271"/>
      <c r="C333" s="272" t="s">
        <v>936</v>
      </c>
      <c r="D333" s="271"/>
      <c r="E333" s="274">
        <f>Dat_02!F332</f>
        <v>80.19735024600098</v>
      </c>
      <c r="F333" s="274">
        <f>Dat_02!G332</f>
        <v>64.364342968573325</v>
      </c>
      <c r="G333" s="274">
        <f>Dat_02!H332</f>
        <v>64.364342968573325</v>
      </c>
      <c r="I333" s="275" t="str">
        <f>Dat_02!J332</f>
        <v/>
      </c>
      <c r="J333" s="287" t="str">
        <f>IF(Dat_02!K332=0,"",Dat_02!K332)</f>
        <v/>
      </c>
    </row>
    <row r="334" spans="2:10">
      <c r="B334" s="271"/>
      <c r="C334" s="272" t="s">
        <v>937</v>
      </c>
      <c r="D334" s="271"/>
      <c r="E334" s="274">
        <f>Dat_02!F333</f>
        <v>70.425872656000195</v>
      </c>
      <c r="F334" s="274">
        <f>Dat_02!G333</f>
        <v>64.364342968573325</v>
      </c>
      <c r="G334" s="274">
        <f>Dat_02!H333</f>
        <v>64.364342968573325</v>
      </c>
      <c r="I334" s="275" t="str">
        <f>Dat_02!J333</f>
        <v/>
      </c>
      <c r="J334" s="287" t="str">
        <f>IF(Dat_02!K333=0,"",Dat_02!K333)</f>
        <v/>
      </c>
    </row>
    <row r="335" spans="2:10">
      <c r="B335" s="271"/>
      <c r="C335" s="272" t="s">
        <v>938</v>
      </c>
      <c r="D335" s="271"/>
      <c r="E335" s="274">
        <f>Dat_02!F334</f>
        <v>74.987692204000325</v>
      </c>
      <c r="F335" s="274">
        <f>Dat_02!G334</f>
        <v>64.364342968573325</v>
      </c>
      <c r="G335" s="274">
        <f>Dat_02!H334</f>
        <v>64.364342968573325</v>
      </c>
      <c r="I335" s="275" t="str">
        <f>Dat_02!J334</f>
        <v/>
      </c>
      <c r="J335" s="287" t="str">
        <f>IF(Dat_02!K334=0,"",Dat_02!K334)</f>
        <v/>
      </c>
    </row>
    <row r="336" spans="2:10">
      <c r="B336" s="271"/>
      <c r="C336" s="272" t="s">
        <v>939</v>
      </c>
      <c r="D336" s="271"/>
      <c r="E336" s="274">
        <f>Dat_02!F335</f>
        <v>83.4291574979991</v>
      </c>
      <c r="F336" s="274">
        <f>Dat_02!G335</f>
        <v>64.364342968573325</v>
      </c>
      <c r="G336" s="274">
        <f>Dat_02!H335</f>
        <v>64.364342968573325</v>
      </c>
      <c r="I336" s="275" t="str">
        <f>Dat_02!J335</f>
        <v/>
      </c>
      <c r="J336" s="287" t="str">
        <f>IF(Dat_02!K335=0,"",Dat_02!K335)</f>
        <v/>
      </c>
    </row>
    <row r="337" spans="2:10">
      <c r="B337" s="271"/>
      <c r="C337" s="272" t="s">
        <v>940</v>
      </c>
      <c r="D337" s="271"/>
      <c r="E337" s="274">
        <f>Dat_02!F336</f>
        <v>93.082309259999334</v>
      </c>
      <c r="F337" s="274">
        <f>Dat_02!G336</f>
        <v>64.364342968573325</v>
      </c>
      <c r="G337" s="274">
        <f>Dat_02!H336</f>
        <v>64.364342968573325</v>
      </c>
      <c r="I337" s="275" t="str">
        <f>Dat_02!J336</f>
        <v/>
      </c>
      <c r="J337" s="287" t="str">
        <f>IF(Dat_02!K336=0,"",Dat_02!K336)</f>
        <v/>
      </c>
    </row>
    <row r="338" spans="2:10">
      <c r="B338" s="273" t="s">
        <v>941</v>
      </c>
      <c r="C338" s="278" t="s">
        <v>942</v>
      </c>
      <c r="D338" s="271"/>
      <c r="E338" s="274">
        <f>Dat_02!F337</f>
        <v>90.131773070001231</v>
      </c>
      <c r="F338" s="274">
        <f>Dat_02!G337</f>
        <v>28.016997662909688</v>
      </c>
      <c r="G338" s="274">
        <f>Dat_02!H337</f>
        <v>28.016997662909688</v>
      </c>
      <c r="I338" s="275" t="str">
        <f>Dat_02!J337</f>
        <v/>
      </c>
      <c r="J338" s="287" t="str">
        <f>IF(Dat_02!K337=0,"",Dat_02!K337)</f>
        <v/>
      </c>
    </row>
    <row r="339" spans="2:10">
      <c r="B339" s="271"/>
      <c r="C339" s="272" t="s">
        <v>943</v>
      </c>
      <c r="D339" s="273"/>
      <c r="E339" s="274">
        <f>Dat_02!F338</f>
        <v>94.760768355998906</v>
      </c>
      <c r="F339" s="274">
        <f>Dat_02!G338</f>
        <v>28.016997662909688</v>
      </c>
      <c r="G339" s="274">
        <f>Dat_02!H338</f>
        <v>28.016997662909688</v>
      </c>
      <c r="I339" s="275" t="str">
        <f>Dat_02!J338</f>
        <v/>
      </c>
      <c r="J339" s="287" t="str">
        <f>IF(Dat_02!K338=0,"",Dat_02!K338)</f>
        <v/>
      </c>
    </row>
    <row r="340" spans="2:10">
      <c r="B340" s="271"/>
      <c r="C340" s="272" t="s">
        <v>944</v>
      </c>
      <c r="D340" s="273"/>
      <c r="E340" s="274">
        <f>Dat_02!F339</f>
        <v>93.842297732000432</v>
      </c>
      <c r="F340" s="274">
        <f>Dat_02!G339</f>
        <v>28.016997662909688</v>
      </c>
      <c r="G340" s="274">
        <f>Dat_02!H339</f>
        <v>28.016997662909688</v>
      </c>
      <c r="I340" s="275" t="str">
        <f>Dat_02!J339</f>
        <v/>
      </c>
      <c r="J340" s="287" t="str">
        <f>IF(Dat_02!K339=0,"",Dat_02!K339)</f>
        <v/>
      </c>
    </row>
    <row r="341" spans="2:10">
      <c r="B341" s="271"/>
      <c r="C341" s="272" t="s">
        <v>945</v>
      </c>
      <c r="D341" s="271"/>
      <c r="E341" s="274">
        <f>Dat_02!F340</f>
        <v>94.149952398000096</v>
      </c>
      <c r="F341" s="274">
        <f>Dat_02!G340</f>
        <v>28.016997662909688</v>
      </c>
      <c r="G341" s="274">
        <f>Dat_02!H340</f>
        <v>28.016997662909688</v>
      </c>
      <c r="I341" s="275" t="str">
        <f>Dat_02!J340</f>
        <v/>
      </c>
      <c r="J341" s="287" t="str">
        <f>IF(Dat_02!K340=0,"",Dat_02!K340)</f>
        <v/>
      </c>
    </row>
    <row r="342" spans="2:10">
      <c r="B342" s="271"/>
      <c r="C342" s="272" t="s">
        <v>946</v>
      </c>
      <c r="D342" s="271"/>
      <c r="E342" s="274">
        <f>Dat_02!F341</f>
        <v>77.296368566000467</v>
      </c>
      <c r="F342" s="274">
        <f>Dat_02!G341</f>
        <v>28.016997662909688</v>
      </c>
      <c r="G342" s="274">
        <f>Dat_02!H341</f>
        <v>28.016997662909688</v>
      </c>
      <c r="I342" s="275" t="str">
        <f>Dat_02!J341</f>
        <v/>
      </c>
      <c r="J342" s="287" t="str">
        <f>IF(Dat_02!K341=0,"",Dat_02!K341)</f>
        <v/>
      </c>
    </row>
    <row r="343" spans="2:10">
      <c r="B343" s="271"/>
      <c r="C343" s="272" t="s">
        <v>947</v>
      </c>
      <c r="D343" s="271"/>
      <c r="E343" s="274">
        <f>Dat_02!F342</f>
        <v>92.875753238000357</v>
      </c>
      <c r="F343" s="274">
        <f>Dat_02!G342</f>
        <v>28.016997662909688</v>
      </c>
      <c r="G343" s="274">
        <f>Dat_02!H342</f>
        <v>28.016997662909688</v>
      </c>
      <c r="I343" s="275" t="str">
        <f>Dat_02!J342</f>
        <v/>
      </c>
      <c r="J343" s="287" t="str">
        <f>IF(Dat_02!K342=0,"",Dat_02!K342)</f>
        <v/>
      </c>
    </row>
    <row r="344" spans="2:10">
      <c r="B344" s="271"/>
      <c r="C344" s="272" t="s">
        <v>948</v>
      </c>
      <c r="D344" s="271"/>
      <c r="E344" s="274">
        <f>Dat_02!F343</f>
        <v>64.261216319999875</v>
      </c>
      <c r="F344" s="274">
        <f>Dat_02!G343</f>
        <v>28.016997662909688</v>
      </c>
      <c r="G344" s="274">
        <f>Dat_02!H343</f>
        <v>28.016997662909688</v>
      </c>
      <c r="I344" s="275" t="str">
        <f>Dat_02!J343</f>
        <v/>
      </c>
      <c r="J344" s="287" t="str">
        <f>IF(Dat_02!K343=0,"",Dat_02!K343)</f>
        <v/>
      </c>
    </row>
    <row r="345" spans="2:10">
      <c r="B345" s="271"/>
      <c r="C345" s="272" t="s">
        <v>949</v>
      </c>
      <c r="D345" s="271"/>
      <c r="E345" s="274">
        <f>Dat_02!F344</f>
        <v>24.716353867999551</v>
      </c>
      <c r="F345" s="274">
        <f>Dat_02!G344</f>
        <v>28.016997662909688</v>
      </c>
      <c r="G345" s="274">
        <f>Dat_02!H344</f>
        <v>24.716353867999551</v>
      </c>
      <c r="I345" s="275" t="str">
        <f>Dat_02!J344</f>
        <v/>
      </c>
      <c r="J345" s="287" t="str">
        <f>IF(Dat_02!K344=0,"",Dat_02!K344)</f>
        <v/>
      </c>
    </row>
    <row r="346" spans="2:10">
      <c r="B346" s="271"/>
      <c r="C346" s="272" t="s">
        <v>950</v>
      </c>
      <c r="D346" s="271"/>
      <c r="E346" s="274">
        <f>Dat_02!F345</f>
        <v>46.4146000300004</v>
      </c>
      <c r="F346" s="274">
        <f>Dat_02!G345</f>
        <v>28.016997662909688</v>
      </c>
      <c r="G346" s="274">
        <f>Dat_02!H345</f>
        <v>28.016997662909688</v>
      </c>
      <c r="I346" s="275" t="str">
        <f>Dat_02!J345</f>
        <v/>
      </c>
      <c r="J346" s="287" t="str">
        <f>IF(Dat_02!K345=0,"",Dat_02!K345)</f>
        <v/>
      </c>
    </row>
    <row r="347" spans="2:10">
      <c r="B347" s="271"/>
      <c r="C347" s="272" t="s">
        <v>951</v>
      </c>
      <c r="D347" s="271"/>
      <c r="E347" s="274">
        <f>Dat_02!F346</f>
        <v>45.172857876000215</v>
      </c>
      <c r="F347" s="274">
        <f>Dat_02!G346</f>
        <v>28.016997662909688</v>
      </c>
      <c r="G347" s="274">
        <f>Dat_02!H346</f>
        <v>28.016997662909688</v>
      </c>
      <c r="I347" s="275" t="str">
        <f>Dat_02!J346</f>
        <v/>
      </c>
      <c r="J347" s="287" t="str">
        <f>IF(Dat_02!K346=0,"",Dat_02!K346)</f>
        <v/>
      </c>
    </row>
    <row r="348" spans="2:10">
      <c r="B348" s="271"/>
      <c r="C348" s="272" t="s">
        <v>952</v>
      </c>
      <c r="D348" s="271"/>
      <c r="E348" s="274">
        <f>Dat_02!F347</f>
        <v>30.994069144000303</v>
      </c>
      <c r="F348" s="274">
        <f>Dat_02!G347</f>
        <v>28.016997662909688</v>
      </c>
      <c r="G348" s="274">
        <f>Dat_02!H347</f>
        <v>28.016997662909688</v>
      </c>
      <c r="I348" s="275" t="str">
        <f>Dat_02!J347</f>
        <v/>
      </c>
      <c r="J348" s="287" t="str">
        <f>IF(Dat_02!K347=0,"",Dat_02!K347)</f>
        <v/>
      </c>
    </row>
    <row r="349" spans="2:10">
      <c r="B349" s="271"/>
      <c r="C349" s="272" t="s">
        <v>953</v>
      </c>
      <c r="D349" s="271"/>
      <c r="E349" s="274">
        <f>Dat_02!F348</f>
        <v>40.737201909999783</v>
      </c>
      <c r="F349" s="274">
        <f>Dat_02!G348</f>
        <v>28.016997662909688</v>
      </c>
      <c r="G349" s="274">
        <f>Dat_02!H348</f>
        <v>28.016997662909688</v>
      </c>
      <c r="I349" s="275" t="str">
        <f>Dat_02!J348</f>
        <v/>
      </c>
      <c r="J349" s="287" t="str">
        <f>IF(Dat_02!K348=0,"",Dat_02!K348)</f>
        <v/>
      </c>
    </row>
    <row r="350" spans="2:10">
      <c r="B350" s="271"/>
      <c r="C350" s="272" t="s">
        <v>954</v>
      </c>
      <c r="D350" s="271"/>
      <c r="E350" s="274">
        <f>Dat_02!F349</f>
        <v>37.329789595998761</v>
      </c>
      <c r="F350" s="274">
        <f>Dat_02!G349</f>
        <v>28.016997662909688</v>
      </c>
      <c r="G350" s="274">
        <f>Dat_02!H349</f>
        <v>28.016997662909688</v>
      </c>
      <c r="I350" s="275" t="str">
        <f>Dat_02!J349</f>
        <v/>
      </c>
      <c r="J350" s="287" t="str">
        <f>IF(Dat_02!K349=0,"",Dat_02!K349)</f>
        <v/>
      </c>
    </row>
    <row r="351" spans="2:10">
      <c r="B351" s="271"/>
      <c r="C351" s="272" t="s">
        <v>955</v>
      </c>
      <c r="D351" s="271"/>
      <c r="E351" s="274">
        <f>Dat_02!F350</f>
        <v>22.772419530000583</v>
      </c>
      <c r="F351" s="274">
        <f>Dat_02!G350</f>
        <v>28.016997662909688</v>
      </c>
      <c r="G351" s="274">
        <f>Dat_02!H350</f>
        <v>22.772419530000583</v>
      </c>
      <c r="I351" s="275" t="str">
        <f>Dat_02!J350</f>
        <v/>
      </c>
      <c r="J351" s="287" t="str">
        <f>IF(Dat_02!K350=0,"",Dat_02!K350)</f>
        <v/>
      </c>
    </row>
    <row r="352" spans="2:10">
      <c r="B352" s="271"/>
      <c r="C352" s="272" t="s">
        <v>956</v>
      </c>
      <c r="D352" s="271"/>
      <c r="E352" s="274">
        <f>Dat_02!F351</f>
        <v>6.2785188000008487</v>
      </c>
      <c r="F352" s="274">
        <f>Dat_02!G351</f>
        <v>28.016997662909688</v>
      </c>
      <c r="G352" s="274">
        <f>Dat_02!H351</f>
        <v>6.2785188000008487</v>
      </c>
      <c r="I352" s="275" t="str">
        <f>Dat_02!J351</f>
        <v>J</v>
      </c>
      <c r="J352" s="287">
        <f>IF(Dat_02!K351=0,"",Dat_02!K351)</f>
        <v>28.016997662909688</v>
      </c>
    </row>
    <row r="353" spans="2:10">
      <c r="B353" s="271"/>
      <c r="C353" s="272" t="s">
        <v>957</v>
      </c>
      <c r="D353" s="271"/>
      <c r="E353" s="274">
        <f>Dat_02!F352</f>
        <v>5.4556000679984056</v>
      </c>
      <c r="F353" s="274">
        <f>Dat_02!G352</f>
        <v>28.016997662909688</v>
      </c>
      <c r="G353" s="274">
        <f>Dat_02!H352</f>
        <v>5.4556000679984056</v>
      </c>
      <c r="I353" s="275" t="str">
        <f>Dat_02!J352</f>
        <v/>
      </c>
      <c r="J353" s="287" t="str">
        <f>IF(Dat_02!K352=0,"",Dat_02!K352)</f>
        <v/>
      </c>
    </row>
    <row r="354" spans="2:10">
      <c r="B354" s="271"/>
      <c r="C354" s="272" t="s">
        <v>958</v>
      </c>
      <c r="D354" s="271"/>
      <c r="E354" s="274">
        <f>Dat_02!F353</f>
        <v>3.9724412060000476</v>
      </c>
      <c r="F354" s="274">
        <f>Dat_02!G353</f>
        <v>28.016997662909688</v>
      </c>
      <c r="G354" s="274">
        <f>Dat_02!H353</f>
        <v>3.9724412060000476</v>
      </c>
      <c r="I354" s="275" t="str">
        <f>Dat_02!J353</f>
        <v/>
      </c>
      <c r="J354" s="287" t="str">
        <f>IF(Dat_02!K353=0,"",Dat_02!K353)</f>
        <v/>
      </c>
    </row>
    <row r="355" spans="2:10">
      <c r="B355" s="271"/>
      <c r="C355" s="272" t="s">
        <v>959</v>
      </c>
      <c r="D355" s="271"/>
      <c r="E355" s="274">
        <f>Dat_02!F354</f>
        <v>3.7361233500001108</v>
      </c>
      <c r="F355" s="274">
        <f>Dat_02!G354</f>
        <v>28.016997662909688</v>
      </c>
      <c r="G355" s="274">
        <f>Dat_02!H354</f>
        <v>3.7361233500001108</v>
      </c>
      <c r="I355" s="275" t="str">
        <f>Dat_02!J354</f>
        <v/>
      </c>
      <c r="J355" s="287" t="str">
        <f>IF(Dat_02!K354=0,"",Dat_02!K354)</f>
        <v/>
      </c>
    </row>
    <row r="356" spans="2:10">
      <c r="B356" s="271"/>
      <c r="C356" s="272" t="s">
        <v>960</v>
      </c>
      <c r="D356" s="271"/>
      <c r="E356" s="274">
        <f>Dat_02!F355</f>
        <v>4.6322311500002078</v>
      </c>
      <c r="F356" s="274">
        <f>Dat_02!G355</f>
        <v>28.016997662909688</v>
      </c>
      <c r="G356" s="274">
        <f>Dat_02!H355</f>
        <v>4.6322311500002078</v>
      </c>
      <c r="I356" s="275" t="str">
        <f>Dat_02!J355</f>
        <v/>
      </c>
      <c r="J356" s="287" t="str">
        <f>IF(Dat_02!K355=0,"",Dat_02!K355)</f>
        <v/>
      </c>
    </row>
    <row r="357" spans="2:10">
      <c r="B357" s="271"/>
      <c r="C357" s="272" t="s">
        <v>961</v>
      </c>
      <c r="D357" s="271"/>
      <c r="E357" s="274">
        <f>Dat_02!F356</f>
        <v>3.2982522739994731</v>
      </c>
      <c r="F357" s="274">
        <f>Dat_02!G356</f>
        <v>28.016997662909688</v>
      </c>
      <c r="G357" s="274">
        <f>Dat_02!H356</f>
        <v>3.2982522739994731</v>
      </c>
      <c r="I357" s="275" t="str">
        <f>Dat_02!J356</f>
        <v/>
      </c>
      <c r="J357" s="287" t="str">
        <f>IF(Dat_02!K356=0,"",Dat_02!K356)</f>
        <v/>
      </c>
    </row>
    <row r="358" spans="2:10">
      <c r="B358" s="271"/>
      <c r="C358" s="272" t="s">
        <v>962</v>
      </c>
      <c r="D358" s="271"/>
      <c r="E358" s="274">
        <f>Dat_02!F357</f>
        <v>2.2836742700016854</v>
      </c>
      <c r="F358" s="274">
        <f>Dat_02!G357</f>
        <v>28.016997662909688</v>
      </c>
      <c r="G358" s="274">
        <f>Dat_02!H357</f>
        <v>2.2836742700016854</v>
      </c>
      <c r="I358" s="275" t="str">
        <f>Dat_02!J357</f>
        <v/>
      </c>
      <c r="J358" s="287" t="str">
        <f>IF(Dat_02!K357=0,"",Dat_02!K357)</f>
        <v/>
      </c>
    </row>
    <row r="359" spans="2:10">
      <c r="B359" s="271"/>
      <c r="C359" s="272" t="s">
        <v>963</v>
      </c>
      <c r="D359" s="271"/>
      <c r="E359" s="274">
        <f>Dat_02!F358</f>
        <v>7.3464206419999352</v>
      </c>
      <c r="F359" s="274">
        <f>Dat_02!G358</f>
        <v>28.016997662909688</v>
      </c>
      <c r="G359" s="274">
        <f>Dat_02!H358</f>
        <v>7.3464206419999352</v>
      </c>
      <c r="I359" s="275" t="str">
        <f>Dat_02!J358</f>
        <v/>
      </c>
      <c r="J359" s="287" t="str">
        <f>IF(Dat_02!K358=0,"",Dat_02!K358)</f>
        <v/>
      </c>
    </row>
    <row r="360" spans="2:10">
      <c r="B360" s="271"/>
      <c r="C360" s="272" t="s">
        <v>964</v>
      </c>
      <c r="D360" s="271"/>
      <c r="E360" s="274">
        <f>Dat_02!F359</f>
        <v>70.860600533999857</v>
      </c>
      <c r="F360" s="274">
        <f>Dat_02!G359</f>
        <v>28.016997662909688</v>
      </c>
      <c r="G360" s="274">
        <f>Dat_02!H359</f>
        <v>28.016997662909688</v>
      </c>
      <c r="I360" s="275" t="str">
        <f>Dat_02!J359</f>
        <v/>
      </c>
      <c r="J360" s="287" t="str">
        <f>IF(Dat_02!K359=0,"",Dat_02!K359)</f>
        <v/>
      </c>
    </row>
    <row r="361" spans="2:10">
      <c r="B361" s="271"/>
      <c r="C361" s="272" t="s">
        <v>965</v>
      </c>
      <c r="D361" s="271"/>
      <c r="E361" s="274">
        <f>Dat_02!F360</f>
        <v>63.719056888000239</v>
      </c>
      <c r="F361" s="274">
        <f>Dat_02!G360</f>
        <v>28.016997662909688</v>
      </c>
      <c r="G361" s="274">
        <f>Dat_02!H360</f>
        <v>28.016997662909688</v>
      </c>
      <c r="I361" s="275" t="str">
        <f>Dat_02!J360</f>
        <v/>
      </c>
      <c r="J361" s="287" t="str">
        <f>IF(Dat_02!K360=0,"",Dat_02!K360)</f>
        <v/>
      </c>
    </row>
    <row r="362" spans="2:10">
      <c r="B362" s="271"/>
      <c r="C362" s="272" t="s">
        <v>966</v>
      </c>
      <c r="D362" s="271"/>
      <c r="E362" s="274">
        <f>Dat_02!F361</f>
        <v>57.271601689998739</v>
      </c>
      <c r="F362" s="274">
        <f>Dat_02!G361</f>
        <v>28.016997662909688</v>
      </c>
      <c r="G362" s="274">
        <f>Dat_02!H361</f>
        <v>28.016997662909688</v>
      </c>
      <c r="I362" s="275" t="str">
        <f>Dat_02!J361</f>
        <v/>
      </c>
      <c r="J362" s="287" t="str">
        <f>IF(Dat_02!K361=0,"",Dat_02!K361)</f>
        <v/>
      </c>
    </row>
    <row r="363" spans="2:10">
      <c r="B363" s="271"/>
      <c r="C363" s="272" t="s">
        <v>967</v>
      </c>
      <c r="D363" s="271"/>
      <c r="E363" s="274">
        <f>Dat_02!F362</f>
        <v>55.740360548000467</v>
      </c>
      <c r="F363" s="274">
        <f>Dat_02!G362</f>
        <v>28.016997662909688</v>
      </c>
      <c r="G363" s="274">
        <f>Dat_02!H362</f>
        <v>28.016997662909688</v>
      </c>
      <c r="I363" s="275" t="str">
        <f>Dat_02!J362</f>
        <v/>
      </c>
      <c r="J363" s="287" t="str">
        <f>IF(Dat_02!K362=0,"",Dat_02!K362)</f>
        <v/>
      </c>
    </row>
    <row r="364" spans="2:10">
      <c r="B364" s="271"/>
      <c r="C364" s="272" t="s">
        <v>968</v>
      </c>
      <c r="D364" s="271"/>
      <c r="E364" s="274">
        <f>Dat_02!F363</f>
        <v>55.486583313999169</v>
      </c>
      <c r="F364" s="274">
        <f>Dat_02!G363</f>
        <v>28.016997662909688</v>
      </c>
      <c r="G364" s="274">
        <f>Dat_02!H363</f>
        <v>28.016997662909688</v>
      </c>
      <c r="I364" s="275" t="str">
        <f>Dat_02!J363</f>
        <v/>
      </c>
      <c r="J364" s="287" t="str">
        <f>IF(Dat_02!K363=0,"",Dat_02!K363)</f>
        <v/>
      </c>
    </row>
    <row r="365" spans="2:10">
      <c r="B365" s="271"/>
      <c r="C365" s="272" t="s">
        <v>969</v>
      </c>
      <c r="D365" s="271"/>
      <c r="E365" s="274">
        <f>Dat_02!F364</f>
        <v>49.132368298001701</v>
      </c>
      <c r="F365" s="274">
        <f>Dat_02!G364</f>
        <v>28.016997662909688</v>
      </c>
      <c r="G365" s="274">
        <f>Dat_02!H364</f>
        <v>28.016997662909688</v>
      </c>
      <c r="I365" s="275" t="str">
        <f>Dat_02!J364</f>
        <v/>
      </c>
      <c r="J365" s="287" t="str">
        <f>IF(Dat_02!K364=0,"",Dat_02!K364)</f>
        <v/>
      </c>
    </row>
    <row r="366" spans="2:10">
      <c r="B366" s="271"/>
      <c r="C366" s="272" t="s">
        <v>970</v>
      </c>
      <c r="D366" s="271"/>
      <c r="E366" s="274">
        <f>Dat_02!F365</f>
        <v>44.772447007999233</v>
      </c>
      <c r="F366" s="274">
        <f>Dat_02!G365</f>
        <v>28.016997662909688</v>
      </c>
      <c r="G366" s="274">
        <f>Dat_02!H365</f>
        <v>28.016997662909688</v>
      </c>
      <c r="I366" s="275" t="str">
        <f>Dat_02!J365</f>
        <v/>
      </c>
      <c r="J366" s="287" t="str">
        <f>IF(Dat_02!K365=0,"",Dat_02!K365)</f>
        <v/>
      </c>
    </row>
    <row r="367" spans="2:10">
      <c r="B367" s="271"/>
      <c r="C367" s="272" t="s">
        <v>971</v>
      </c>
      <c r="D367" s="271"/>
      <c r="E367" s="274">
        <f>Dat_02!F366</f>
        <v>52.703040232000383</v>
      </c>
      <c r="F367" s="274">
        <f>Dat_02!G366</f>
        <v>28.016997662909688</v>
      </c>
      <c r="G367" s="274">
        <f>Dat_02!H366</f>
        <v>28.016997662909688</v>
      </c>
      <c r="I367" s="275" t="str">
        <f>Dat_02!J366</f>
        <v/>
      </c>
      <c r="J367" s="287" t="str">
        <f>IF(Dat_02!K366=0,"",Dat_02!K366)</f>
        <v/>
      </c>
    </row>
    <row r="368" spans="2:10">
      <c r="B368" s="271"/>
      <c r="C368" s="272" t="s">
        <v>972</v>
      </c>
      <c r="D368" s="271"/>
      <c r="E368" s="274">
        <f>Dat_02!F367</f>
        <v>42.960769079999324</v>
      </c>
      <c r="F368" s="274">
        <f>Dat_02!G367</f>
        <v>28.016997662909688</v>
      </c>
      <c r="G368" s="274">
        <f>Dat_02!H367</f>
        <v>28.016997662909688</v>
      </c>
      <c r="I368" s="275" t="str">
        <f>Dat_02!J367</f>
        <v/>
      </c>
      <c r="J368" s="287" t="str">
        <f>IF(Dat_02!K367=0,"",Dat_02!K367)</f>
        <v/>
      </c>
    </row>
    <row r="369" spans="2:10">
      <c r="B369" s="273" t="s">
        <v>974</v>
      </c>
      <c r="C369" s="278" t="s">
        <v>975</v>
      </c>
      <c r="D369" s="273"/>
      <c r="E369" s="274">
        <f>Dat_02!F368</f>
        <v>25.035018199496371</v>
      </c>
      <c r="F369" s="274">
        <f>Dat_02!G368</f>
        <v>16.99706947525484</v>
      </c>
      <c r="G369" s="274">
        <f>Dat_02!H368</f>
        <v>16.99706947525484</v>
      </c>
      <c r="I369" s="275" t="str">
        <f>Dat_02!J368</f>
        <v/>
      </c>
      <c r="J369" s="287" t="str">
        <f>IF(Dat_02!K368=0,"",Dat_02!K368)</f>
        <v/>
      </c>
    </row>
    <row r="370" spans="2:10">
      <c r="B370" s="271"/>
      <c r="C370" s="272" t="s">
        <v>976</v>
      </c>
      <c r="D370" s="273"/>
      <c r="E370" s="274">
        <f>Dat_02!F369</f>
        <v>35.968318199496366</v>
      </c>
      <c r="F370" s="274">
        <f>Dat_02!G369</f>
        <v>16.99706947525484</v>
      </c>
      <c r="G370" s="274">
        <f>Dat_02!H369</f>
        <v>16.99706947525484</v>
      </c>
      <c r="I370" s="275" t="str">
        <f>Dat_02!J369</f>
        <v/>
      </c>
      <c r="J370" s="287" t="str">
        <f>IF(Dat_02!K369=0,"",Dat_02!K369)</f>
        <v/>
      </c>
    </row>
    <row r="371" spans="2:10">
      <c r="B371" s="271"/>
      <c r="C371" s="272" t="s">
        <v>977</v>
      </c>
      <c r="D371" s="271"/>
      <c r="E371" s="274">
        <f>Dat_02!F370</f>
        <v>52.828618199496368</v>
      </c>
      <c r="F371" s="274">
        <f>Dat_02!G370</f>
        <v>16.99706947525484</v>
      </c>
      <c r="G371" s="274">
        <f>Dat_02!H370</f>
        <v>16.99706947525484</v>
      </c>
      <c r="I371" s="275" t="str">
        <f>Dat_02!J370</f>
        <v/>
      </c>
      <c r="J371" s="287" t="str">
        <f>IF(Dat_02!K370=0,"",Dat_02!K370)</f>
        <v/>
      </c>
    </row>
    <row r="372" spans="2:10">
      <c r="B372" s="271"/>
      <c r="C372" s="272" t="s">
        <v>978</v>
      </c>
      <c r="D372" s="271"/>
      <c r="E372" s="274">
        <f>Dat_02!F371</f>
        <v>27.271118199496371</v>
      </c>
      <c r="F372" s="274">
        <f>Dat_02!G371</f>
        <v>16.99706947525484</v>
      </c>
      <c r="G372" s="274">
        <f>Dat_02!H371</f>
        <v>16.99706947525484</v>
      </c>
      <c r="I372" s="275" t="str">
        <f>Dat_02!J371</f>
        <v/>
      </c>
      <c r="J372" s="287" t="str">
        <f>IF(Dat_02!K371=0,"",Dat_02!K371)</f>
        <v/>
      </c>
    </row>
    <row r="373" spans="2:10">
      <c r="B373" s="271"/>
      <c r="C373" s="272" t="s">
        <v>979</v>
      </c>
      <c r="D373" s="271"/>
      <c r="E373" s="274">
        <f>Dat_02!F372</f>
        <v>17.687418199496367</v>
      </c>
      <c r="F373" s="274">
        <f>Dat_02!G372</f>
        <v>16.99706947525484</v>
      </c>
      <c r="G373" s="274">
        <f>Dat_02!H372</f>
        <v>16.99706947525484</v>
      </c>
      <c r="I373" s="275" t="str">
        <f>Dat_02!J372</f>
        <v/>
      </c>
      <c r="J373" s="287" t="str">
        <f>IF(Dat_02!K372=0,"",Dat_02!K372)</f>
        <v/>
      </c>
    </row>
    <row r="374" spans="2:10">
      <c r="B374" s="271"/>
      <c r="C374" s="272" t="s">
        <v>980</v>
      </c>
      <c r="D374" s="271"/>
      <c r="E374" s="274">
        <f>Dat_02!F373</f>
        <v>32.036118199496372</v>
      </c>
      <c r="F374" s="274">
        <f>Dat_02!G373</f>
        <v>16.99706947525484</v>
      </c>
      <c r="G374" s="274">
        <f>Dat_02!H373</f>
        <v>16.99706947525484</v>
      </c>
      <c r="I374" s="275" t="str">
        <f>Dat_02!J373</f>
        <v/>
      </c>
      <c r="J374" s="287" t="str">
        <f>IF(Dat_02!K373=0,"",Dat_02!K373)</f>
        <v/>
      </c>
    </row>
    <row r="375" spans="2:10">
      <c r="B375" s="271"/>
      <c r="C375" s="272" t="s">
        <v>981</v>
      </c>
      <c r="D375" s="271"/>
      <c r="E375" s="274">
        <f>Dat_02!F374</f>
        <v>22.094218199496368</v>
      </c>
      <c r="F375" s="274">
        <f>Dat_02!G374</f>
        <v>16.99706947525484</v>
      </c>
      <c r="G375" s="274">
        <f>Dat_02!H374</f>
        <v>16.99706947525484</v>
      </c>
      <c r="I375" s="275" t="str">
        <f>Dat_02!J374</f>
        <v/>
      </c>
      <c r="J375" s="287" t="str">
        <f>IF(Dat_02!K374=0,"",Dat_02!K374)</f>
        <v/>
      </c>
    </row>
    <row r="376" spans="2:10">
      <c r="B376" s="271"/>
      <c r="C376" s="272" t="s">
        <v>982</v>
      </c>
      <c r="D376" s="271"/>
      <c r="E376" s="274">
        <f>Dat_02!F375</f>
        <v>24.628302061187942</v>
      </c>
      <c r="F376" s="274">
        <f>Dat_02!G375</f>
        <v>16.99706947525484</v>
      </c>
      <c r="G376" s="274">
        <f>Dat_02!H375</f>
        <v>16.99706947525484</v>
      </c>
      <c r="I376" s="275" t="str">
        <f>Dat_02!J375</f>
        <v/>
      </c>
      <c r="J376" s="287" t="str">
        <f>IF(Dat_02!K375=0,"",Dat_02!K375)</f>
        <v/>
      </c>
    </row>
    <row r="377" spans="2:10">
      <c r="B377" s="271"/>
      <c r="C377" s="272" t="s">
        <v>983</v>
      </c>
      <c r="D377" s="271"/>
      <c r="E377" s="274">
        <f>Dat_02!F376</f>
        <v>20.566302061187933</v>
      </c>
      <c r="F377" s="274">
        <f>Dat_02!G376</f>
        <v>16.99706947525484</v>
      </c>
      <c r="G377" s="274">
        <f>Dat_02!H376</f>
        <v>16.99706947525484</v>
      </c>
      <c r="I377" s="275" t="str">
        <f>Dat_02!J376</f>
        <v/>
      </c>
      <c r="J377" s="287" t="str">
        <f>IF(Dat_02!K376=0,"",Dat_02!K376)</f>
        <v/>
      </c>
    </row>
    <row r="378" spans="2:10">
      <c r="B378" s="271"/>
      <c r="C378" s="272" t="s">
        <v>984</v>
      </c>
      <c r="D378" s="271"/>
      <c r="E378" s="274">
        <f>Dat_02!F377</f>
        <v>8.0199020611879366</v>
      </c>
      <c r="F378" s="274">
        <f>Dat_02!G377</f>
        <v>16.99706947525484</v>
      </c>
      <c r="G378" s="274">
        <f>Dat_02!H377</f>
        <v>8.0199020611879366</v>
      </c>
      <c r="I378" s="275" t="str">
        <f>Dat_02!J377</f>
        <v/>
      </c>
      <c r="J378" s="287" t="str">
        <f>IF(Dat_02!K377=0,"",Dat_02!K377)</f>
        <v/>
      </c>
    </row>
    <row r="379" spans="2:10">
      <c r="B379" s="271"/>
      <c r="C379" s="272" t="s">
        <v>985</v>
      </c>
      <c r="D379" s="271"/>
      <c r="E379" s="274">
        <f>Dat_02!F378</f>
        <v>17.499902061187935</v>
      </c>
      <c r="F379" s="274">
        <f>Dat_02!G378</f>
        <v>16.99706947525484</v>
      </c>
      <c r="G379" s="274">
        <f>Dat_02!H378</f>
        <v>16.99706947525484</v>
      </c>
      <c r="I379" s="275" t="str">
        <f>Dat_02!J378</f>
        <v/>
      </c>
      <c r="J379" s="287" t="str">
        <f>IF(Dat_02!K378=0,"",Dat_02!K378)</f>
        <v/>
      </c>
    </row>
    <row r="380" spans="2:10">
      <c r="B380" s="271"/>
      <c r="C380" s="272" t="s">
        <v>986</v>
      </c>
      <c r="D380" s="271"/>
      <c r="E380" s="274">
        <f>Dat_02!F379</f>
        <v>7.5673020611879398</v>
      </c>
      <c r="F380" s="274">
        <f>Dat_02!G379</f>
        <v>16.99706947525484</v>
      </c>
      <c r="G380" s="274">
        <f>Dat_02!H379</f>
        <v>7.5673020611879398</v>
      </c>
      <c r="I380" s="275" t="str">
        <f>Dat_02!J379</f>
        <v/>
      </c>
      <c r="J380" s="287" t="str">
        <f>IF(Dat_02!K379=0,"",Dat_02!K379)</f>
        <v/>
      </c>
    </row>
    <row r="381" spans="2:10">
      <c r="B381" s="271"/>
      <c r="C381" s="272" t="s">
        <v>987</v>
      </c>
      <c r="D381" s="271"/>
      <c r="E381" s="274">
        <f>Dat_02!F380</f>
        <v>13.192602061187936</v>
      </c>
      <c r="F381" s="274">
        <f>Dat_02!G380</f>
        <v>16.99706947525484</v>
      </c>
      <c r="G381" s="274">
        <f>Dat_02!H380</f>
        <v>13.192602061187936</v>
      </c>
      <c r="I381" s="275" t="str">
        <f>Dat_02!J380</f>
        <v/>
      </c>
      <c r="J381" s="287" t="str">
        <f>IF(Dat_02!K380=0,"",Dat_02!K380)</f>
        <v/>
      </c>
    </row>
    <row r="382" spans="2:10">
      <c r="B382" s="271"/>
      <c r="C382" s="272" t="s">
        <v>988</v>
      </c>
      <c r="D382" s="271"/>
      <c r="E382" s="274">
        <f>Dat_02!F381</f>
        <v>12.919802061187941</v>
      </c>
      <c r="F382" s="274">
        <f>Dat_02!G381</f>
        <v>16.99706947525484</v>
      </c>
      <c r="G382" s="274">
        <f>Dat_02!H381</f>
        <v>12.919802061187941</v>
      </c>
      <c r="I382" s="275" t="str">
        <f>Dat_02!J381</f>
        <v/>
      </c>
      <c r="J382" s="287" t="str">
        <f>IF(Dat_02!K381=0,"",Dat_02!K381)</f>
        <v/>
      </c>
    </row>
    <row r="383" spans="2:10">
      <c r="B383" s="271"/>
      <c r="C383" s="272" t="s">
        <v>989</v>
      </c>
      <c r="D383" s="271"/>
      <c r="E383" s="274">
        <f>Dat_02!F382</f>
        <v>12.178714814990641</v>
      </c>
      <c r="F383" s="274">
        <f>Dat_02!G382</f>
        <v>16.99706947525484</v>
      </c>
      <c r="G383" s="274">
        <f>Dat_02!H382</f>
        <v>12.178714814990641</v>
      </c>
      <c r="I383" s="275" t="str">
        <f>Dat_02!J382</f>
        <v>A</v>
      </c>
      <c r="J383" s="287">
        <f>IF(Dat_02!K382=0,"",Dat_02!K382)</f>
        <v>16.99706947525484</v>
      </c>
    </row>
    <row r="384" spans="2:10">
      <c r="B384" s="271"/>
      <c r="C384" s="272" t="s">
        <v>990</v>
      </c>
      <c r="D384" s="271"/>
      <c r="E384" s="274">
        <f>Dat_02!F383</f>
        <v>23.562814814990649</v>
      </c>
      <c r="F384" s="274">
        <f>Dat_02!G383</f>
        <v>16.99706947525484</v>
      </c>
      <c r="G384" s="274">
        <f>Dat_02!H383</f>
        <v>16.99706947525484</v>
      </c>
      <c r="I384" s="275" t="str">
        <f>Dat_02!J383</f>
        <v/>
      </c>
      <c r="J384" s="287" t="str">
        <f>IF(Dat_02!K383=0,"",Dat_02!K383)</f>
        <v/>
      </c>
    </row>
    <row r="385" spans="2:10">
      <c r="B385" s="271"/>
      <c r="C385" s="272" t="s">
        <v>991</v>
      </c>
      <c r="D385" s="271"/>
      <c r="E385" s="274">
        <f>Dat_02!F384</f>
        <v>6.7623148149906438</v>
      </c>
      <c r="F385" s="274">
        <f>Dat_02!G384</f>
        <v>16.99706947525484</v>
      </c>
      <c r="G385" s="274">
        <f>Dat_02!H384</f>
        <v>6.7623148149906438</v>
      </c>
      <c r="I385" s="275" t="str">
        <f>Dat_02!J384</f>
        <v/>
      </c>
      <c r="J385" s="287" t="str">
        <f>IF(Dat_02!K384=0,"",Dat_02!K384)</f>
        <v/>
      </c>
    </row>
    <row r="386" spans="2:10">
      <c r="B386" s="271"/>
      <c r="C386" s="272" t="s">
        <v>992</v>
      </c>
      <c r="D386" s="271"/>
      <c r="E386" s="274">
        <f>Dat_02!F385</f>
        <v>6.7385148149906433</v>
      </c>
      <c r="F386" s="274">
        <f>Dat_02!G385</f>
        <v>16.99706947525484</v>
      </c>
      <c r="G386" s="274">
        <f>Dat_02!H385</f>
        <v>6.7385148149906433</v>
      </c>
      <c r="I386" s="275" t="str">
        <f>Dat_02!J385</f>
        <v/>
      </c>
      <c r="J386" s="287" t="str">
        <f>IF(Dat_02!K385=0,"",Dat_02!K385)</f>
        <v/>
      </c>
    </row>
    <row r="387" spans="2:10">
      <c r="B387" s="271"/>
      <c r="C387" s="272" t="s">
        <v>993</v>
      </c>
      <c r="D387" s="271"/>
      <c r="E387" s="274">
        <f>Dat_02!F386</f>
        <v>3.9178148149906398</v>
      </c>
      <c r="F387" s="274">
        <f>Dat_02!G386</f>
        <v>16.99706947525484</v>
      </c>
      <c r="G387" s="274">
        <f>Dat_02!H386</f>
        <v>3.9178148149906398</v>
      </c>
      <c r="I387" s="275" t="str">
        <f>Dat_02!J386</f>
        <v/>
      </c>
      <c r="J387" s="287" t="str">
        <f>IF(Dat_02!K386=0,"",Dat_02!K386)</f>
        <v/>
      </c>
    </row>
    <row r="388" spans="2:10">
      <c r="B388" s="271"/>
      <c r="C388" s="272" t="s">
        <v>994</v>
      </c>
      <c r="D388" s="271"/>
      <c r="E388" s="274">
        <f>Dat_02!F387</f>
        <v>32.815714814990642</v>
      </c>
      <c r="F388" s="274">
        <f>Dat_02!G387</f>
        <v>16.99706947525484</v>
      </c>
      <c r="G388" s="274">
        <f>Dat_02!H387</f>
        <v>16.99706947525484</v>
      </c>
      <c r="I388" s="275" t="str">
        <f>Dat_02!J387</f>
        <v/>
      </c>
      <c r="J388" s="287" t="str">
        <f>IF(Dat_02!K387=0,"",Dat_02!K387)</f>
        <v/>
      </c>
    </row>
    <row r="389" spans="2:10">
      <c r="B389" s="271"/>
      <c r="C389" s="272" t="s">
        <v>995</v>
      </c>
      <c r="D389" s="271"/>
      <c r="E389" s="274">
        <f>Dat_02!F388</f>
        <v>30.454414814990642</v>
      </c>
      <c r="F389" s="274">
        <f>Dat_02!G388</f>
        <v>16.99706947525484</v>
      </c>
      <c r="G389" s="274">
        <f>Dat_02!H388</f>
        <v>16.99706947525484</v>
      </c>
      <c r="I389" s="275" t="str">
        <f>Dat_02!J388</f>
        <v/>
      </c>
      <c r="J389" s="287" t="str">
        <f>IF(Dat_02!K388=0,"",Dat_02!K388)</f>
        <v/>
      </c>
    </row>
    <row r="390" spans="2:10">
      <c r="B390" s="271"/>
      <c r="C390" s="272" t="s">
        <v>996</v>
      </c>
      <c r="D390" s="271"/>
      <c r="E390" s="274">
        <f>Dat_02!F389</f>
        <v>31.982784291090635</v>
      </c>
      <c r="F390" s="274">
        <f>Dat_02!G389</f>
        <v>16.99706947525484</v>
      </c>
      <c r="G390" s="274">
        <f>Dat_02!H389</f>
        <v>16.99706947525484</v>
      </c>
      <c r="I390" s="275" t="str">
        <f>Dat_02!J389</f>
        <v/>
      </c>
      <c r="J390" s="287" t="str">
        <f>IF(Dat_02!K389=0,"",Dat_02!K389)</f>
        <v/>
      </c>
    </row>
    <row r="391" spans="2:10">
      <c r="B391" s="271"/>
      <c r="C391" s="272" t="s">
        <v>997</v>
      </c>
      <c r="D391" s="271"/>
      <c r="E391" s="274">
        <f>Dat_02!F390</f>
        <v>36.040784291090631</v>
      </c>
      <c r="F391" s="274">
        <f>Dat_02!G390</f>
        <v>16.99706947525484</v>
      </c>
      <c r="G391" s="274">
        <f>Dat_02!H390</f>
        <v>16.99706947525484</v>
      </c>
      <c r="I391" s="275" t="str">
        <f>Dat_02!J390</f>
        <v/>
      </c>
      <c r="J391" s="287" t="str">
        <f>IF(Dat_02!K390=0,"",Dat_02!K390)</f>
        <v/>
      </c>
    </row>
    <row r="392" spans="2:10">
      <c r="B392" s="271"/>
      <c r="C392" s="272" t="s">
        <v>998</v>
      </c>
      <c r="D392" s="271"/>
      <c r="E392" s="274">
        <f>Dat_02!F391</f>
        <v>17.345684291090635</v>
      </c>
      <c r="F392" s="274">
        <f>Dat_02!G391</f>
        <v>16.99706947525484</v>
      </c>
      <c r="G392" s="274">
        <f>Dat_02!H391</f>
        <v>16.99706947525484</v>
      </c>
      <c r="I392" s="275" t="str">
        <f>Dat_02!J391</f>
        <v/>
      </c>
      <c r="J392" s="287" t="str">
        <f>IF(Dat_02!K391=0,"",Dat_02!K391)</f>
        <v/>
      </c>
    </row>
    <row r="393" spans="2:10">
      <c r="B393" s="271"/>
      <c r="C393" s="272" t="s">
        <v>999</v>
      </c>
      <c r="D393" s="271"/>
      <c r="E393" s="274">
        <f>Dat_02!F392</f>
        <v>7.2198842910905947</v>
      </c>
      <c r="F393" s="274">
        <f>Dat_02!G392</f>
        <v>16.99706947525484</v>
      </c>
      <c r="G393" s="274">
        <f>Dat_02!H392</f>
        <v>7.2198842910905947</v>
      </c>
      <c r="I393" s="275" t="str">
        <f>Dat_02!J392</f>
        <v/>
      </c>
      <c r="J393" s="287" t="str">
        <f>IF(Dat_02!K392=0,"",Dat_02!K392)</f>
        <v/>
      </c>
    </row>
    <row r="394" spans="2:10">
      <c r="B394" s="271"/>
      <c r="C394" s="272" t="s">
        <v>1000</v>
      </c>
      <c r="D394" s="271"/>
      <c r="E394" s="274">
        <f>Dat_02!F393</f>
        <v>15.400084291090597</v>
      </c>
      <c r="F394" s="274">
        <f>Dat_02!G393</f>
        <v>16.99706947525484</v>
      </c>
      <c r="G394" s="274">
        <f>Dat_02!H393</f>
        <v>15.400084291090597</v>
      </c>
      <c r="I394" s="275" t="str">
        <f>Dat_02!J393</f>
        <v/>
      </c>
      <c r="J394" s="287" t="str">
        <f>IF(Dat_02!K393=0,"",Dat_02!K393)</f>
        <v/>
      </c>
    </row>
    <row r="395" spans="2:10">
      <c r="B395" s="271"/>
      <c r="C395" s="272" t="s">
        <v>1001</v>
      </c>
      <c r="D395" s="271"/>
      <c r="E395" s="274">
        <f>Dat_02!F394</f>
        <v>15.18108429109059</v>
      </c>
      <c r="F395" s="274">
        <f>Dat_02!G394</f>
        <v>16.99706947525484</v>
      </c>
      <c r="G395" s="274">
        <f>Dat_02!H394</f>
        <v>15.18108429109059</v>
      </c>
      <c r="I395" s="275" t="str">
        <f>Dat_02!J394</f>
        <v/>
      </c>
      <c r="J395" s="287" t="str">
        <f>IF(Dat_02!K394=0,"",Dat_02!K394)</f>
        <v/>
      </c>
    </row>
    <row r="396" spans="2:10">
      <c r="B396" s="271"/>
      <c r="C396" s="272" t="s">
        <v>1002</v>
      </c>
      <c r="D396" s="271"/>
      <c r="E396" s="274">
        <f>Dat_02!F395</f>
        <v>22.626584291090591</v>
      </c>
      <c r="F396" s="274">
        <f>Dat_02!G395</f>
        <v>16.99706947525484</v>
      </c>
      <c r="G396" s="274">
        <f>Dat_02!H395</f>
        <v>16.99706947525484</v>
      </c>
      <c r="I396" s="275" t="str">
        <f>Dat_02!J395</f>
        <v/>
      </c>
      <c r="J396" s="287" t="str">
        <f>IF(Dat_02!K395=0,"",Dat_02!K395)</f>
        <v/>
      </c>
    </row>
    <row r="397" spans="2:10">
      <c r="B397" s="271"/>
      <c r="C397" s="272" t="s">
        <v>1003</v>
      </c>
      <c r="D397" s="271"/>
      <c r="E397" s="274">
        <f>Dat_02!F396</f>
        <v>24.604703775277656</v>
      </c>
      <c r="F397" s="274">
        <f>Dat_02!G396</f>
        <v>16.99706947525484</v>
      </c>
      <c r="G397" s="274">
        <f>Dat_02!H396</f>
        <v>16.99706947525484</v>
      </c>
      <c r="I397" s="275" t="str">
        <f>Dat_02!J396</f>
        <v/>
      </c>
      <c r="J397" s="287" t="str">
        <f>IF(Dat_02!K396=0,"",Dat_02!K396)</f>
        <v/>
      </c>
    </row>
    <row r="398" spans="2:10">
      <c r="B398" s="271"/>
      <c r="C398" s="272" t="s">
        <v>1004</v>
      </c>
      <c r="D398" s="271"/>
      <c r="E398" s="274">
        <f>Dat_02!F397</f>
        <v>32.481503775277645</v>
      </c>
      <c r="F398" s="274">
        <f>Dat_02!G397</f>
        <v>16.99706947525484</v>
      </c>
      <c r="G398" s="274">
        <f>Dat_02!H397</f>
        <v>16.99706947525484</v>
      </c>
      <c r="I398" s="275" t="str">
        <f>Dat_02!J397</f>
        <v/>
      </c>
      <c r="J398" s="287" t="str">
        <f>IF(Dat_02!K397=0,"",Dat_02!K397)</f>
        <v/>
      </c>
    </row>
    <row r="399" spans="2:10">
      <c r="B399" s="271"/>
      <c r="C399" s="272" t="s">
        <v>1005</v>
      </c>
      <c r="D399" s="271"/>
      <c r="E399" s="274">
        <f>Dat_02!F398</f>
        <v>19.045903775277651</v>
      </c>
      <c r="F399" s="274">
        <f>Dat_02!G398</f>
        <v>16.99706947525484</v>
      </c>
      <c r="G399" s="274">
        <f>Dat_02!H398</f>
        <v>16.99706947525484</v>
      </c>
      <c r="I399" s="275" t="str">
        <f>Dat_02!J398</f>
        <v/>
      </c>
      <c r="J399" s="287" t="str">
        <f>IF(Dat_02!K398=0,"",Dat_02!K398)</f>
        <v/>
      </c>
    </row>
    <row r="400" spans="2:10">
      <c r="B400" s="279"/>
      <c r="C400" s="280"/>
      <c r="D400" s="281"/>
      <c r="E400" s="282"/>
      <c r="F400" s="282"/>
      <c r="G400" s="282"/>
      <c r="H400" s="277"/>
      <c r="I400" s="276"/>
      <c r="J400" s="270"/>
    </row>
    <row r="401" spans="2:10">
      <c r="B401" s="277"/>
      <c r="C401" s="277"/>
      <c r="D401" s="277"/>
      <c r="E401" s="283"/>
      <c r="F401" s="283"/>
      <c r="G401" s="284"/>
      <c r="H401" s="277"/>
      <c r="I401" s="276"/>
      <c r="J401" s="270"/>
    </row>
    <row r="402" spans="2:10">
      <c r="B402" s="277"/>
      <c r="C402" s="277"/>
      <c r="D402" s="277"/>
      <c r="E402" s="283"/>
      <c r="F402" s="283"/>
      <c r="G402" s="284"/>
      <c r="H402" s="277"/>
      <c r="I402" s="276"/>
      <c r="J402" s="270"/>
    </row>
    <row r="403" spans="2:10">
      <c r="B403" s="165"/>
      <c r="C403" s="277"/>
      <c r="D403" s="277"/>
      <c r="E403" s="283"/>
      <c r="F403" s="283"/>
      <c r="G403" s="284"/>
      <c r="H403" s="165"/>
      <c r="I403" s="285"/>
      <c r="J403" s="286"/>
    </row>
    <row r="404" spans="2:10">
      <c r="B404" s="165"/>
      <c r="C404" s="277"/>
      <c r="D404" s="277"/>
      <c r="E404" s="283"/>
      <c r="F404" s="283"/>
      <c r="G404" s="284"/>
      <c r="H404" s="165"/>
      <c r="I404" s="285"/>
      <c r="J404" s="286"/>
    </row>
    <row r="405" spans="2:10">
      <c r="B405" s="165"/>
      <c r="C405" s="277"/>
      <c r="D405" s="277"/>
      <c r="E405" s="283"/>
      <c r="F405" s="283"/>
      <c r="G405" s="284"/>
      <c r="H405" s="165"/>
      <c r="I405" s="285"/>
      <c r="J405" s="286"/>
    </row>
    <row r="406" spans="2:10">
      <c r="B406" s="165"/>
      <c r="C406" s="277"/>
      <c r="D406" s="277"/>
      <c r="E406" s="283"/>
      <c r="F406" s="283"/>
      <c r="G406" s="284"/>
      <c r="H406" s="165"/>
      <c r="I406" s="285"/>
      <c r="J406" s="286"/>
    </row>
    <row r="407" spans="2:10">
      <c r="B407" s="165"/>
      <c r="C407" s="277"/>
      <c r="D407" s="277"/>
      <c r="E407" s="283"/>
      <c r="F407" s="283"/>
      <c r="G407" s="284"/>
      <c r="H407" s="165"/>
      <c r="I407" s="285"/>
      <c r="J407" s="286"/>
    </row>
    <row r="408" spans="2:10">
      <c r="B408" s="165"/>
      <c r="C408" s="277"/>
      <c r="D408" s="277"/>
      <c r="E408" s="283"/>
      <c r="F408" s="283"/>
      <c r="G408" s="284"/>
      <c r="H408" s="165"/>
      <c r="I408" s="285"/>
      <c r="J408" s="286"/>
    </row>
    <row r="409" spans="2:10">
      <c r="B409" s="165"/>
      <c r="C409" s="277"/>
      <c r="D409" s="277"/>
      <c r="E409" s="283"/>
      <c r="F409" s="283"/>
      <c r="G409" s="284"/>
      <c r="H409" s="165"/>
      <c r="I409" s="285"/>
      <c r="J409" s="286"/>
    </row>
    <row r="410" spans="2:10">
      <c r="B410" s="165"/>
      <c r="C410" s="277"/>
      <c r="D410" s="277"/>
      <c r="E410" s="283"/>
      <c r="F410" s="283"/>
      <c r="G410" s="284"/>
      <c r="H410" s="165"/>
      <c r="I410" s="285"/>
      <c r="J410" s="286"/>
    </row>
    <row r="411" spans="2:10">
      <c r="B411" s="165"/>
      <c r="C411" s="277"/>
      <c r="D411" s="277"/>
      <c r="E411" s="283"/>
      <c r="F411" s="283"/>
      <c r="G411" s="284"/>
      <c r="H411" s="165"/>
      <c r="I411" s="285"/>
      <c r="J411" s="286"/>
    </row>
    <row r="412" spans="2:10">
      <c r="B412" s="165"/>
      <c r="C412" s="277"/>
      <c r="D412" s="277"/>
      <c r="E412" s="283"/>
      <c r="F412" s="283"/>
      <c r="G412" s="284"/>
      <c r="H412" s="165"/>
      <c r="I412" s="285"/>
      <c r="J412" s="286"/>
    </row>
    <row r="413" spans="2:10">
      <c r="B413" s="165"/>
      <c r="C413" s="277"/>
      <c r="D413" s="277"/>
      <c r="E413" s="283"/>
      <c r="F413" s="283"/>
      <c r="G413" s="284"/>
      <c r="H413" s="165"/>
      <c r="I413" s="285"/>
      <c r="J413" s="286"/>
    </row>
    <row r="414" spans="2:10">
      <c r="B414" s="165"/>
      <c r="C414" s="277"/>
      <c r="D414" s="277"/>
      <c r="E414" s="283"/>
      <c r="F414" s="283"/>
      <c r="G414" s="284"/>
      <c r="H414" s="165"/>
      <c r="I414" s="285"/>
      <c r="J414" s="286"/>
    </row>
    <row r="415" spans="2:10">
      <c r="B415" s="165"/>
      <c r="C415" s="277"/>
      <c r="D415" s="277"/>
      <c r="E415" s="283"/>
      <c r="F415" s="283"/>
      <c r="G415" s="284"/>
      <c r="H415" s="165"/>
      <c r="I415" s="276"/>
      <c r="J415" s="270"/>
    </row>
    <row r="416" spans="2:10">
      <c r="B416" s="165"/>
      <c r="C416" s="277"/>
      <c r="D416" s="277"/>
      <c r="E416" s="283"/>
      <c r="F416" s="283"/>
      <c r="G416" s="284"/>
      <c r="H416" s="165"/>
      <c r="I416" s="285"/>
      <c r="J416" s="286"/>
    </row>
    <row r="417" spans="2:10">
      <c r="B417" s="165"/>
      <c r="C417" s="277"/>
      <c r="D417" s="277"/>
      <c r="E417" s="283"/>
      <c r="F417" s="283"/>
      <c r="G417" s="284"/>
      <c r="H417" s="165"/>
      <c r="I417" s="285"/>
      <c r="J417" s="286"/>
    </row>
    <row r="418" spans="2:10">
      <c r="B418" s="165"/>
      <c r="C418" s="277"/>
      <c r="D418" s="277"/>
      <c r="E418" s="283"/>
      <c r="F418" s="283"/>
      <c r="G418" s="284"/>
      <c r="H418" s="165"/>
      <c r="I418" s="285"/>
      <c r="J418" s="286"/>
    </row>
    <row r="419" spans="2:10">
      <c r="B419" s="165"/>
      <c r="C419" s="277"/>
      <c r="D419" s="277"/>
      <c r="E419" s="283"/>
      <c r="F419" s="283"/>
      <c r="G419" s="284"/>
      <c r="H419" s="165"/>
      <c r="I419" s="285"/>
      <c r="J419" s="286"/>
    </row>
    <row r="420" spans="2:10">
      <c r="B420" s="165"/>
      <c r="C420" s="277"/>
      <c r="D420" s="277"/>
      <c r="E420" s="283"/>
      <c r="F420" s="283"/>
      <c r="G420" s="284"/>
      <c r="H420" s="165"/>
      <c r="I420" s="285"/>
      <c r="J420" s="286"/>
    </row>
    <row r="421" spans="2:10">
      <c r="B421" s="165"/>
      <c r="C421" s="277"/>
      <c r="D421" s="277"/>
      <c r="E421" s="283"/>
      <c r="F421" s="283"/>
      <c r="G421" s="284"/>
      <c r="H421" s="165"/>
      <c r="I421" s="285"/>
      <c r="J421" s="286"/>
    </row>
    <row r="422" spans="2:10">
      <c r="B422" s="165"/>
      <c r="C422" s="277"/>
      <c r="D422" s="277"/>
      <c r="E422" s="283"/>
      <c r="F422" s="283"/>
      <c r="G422" s="284"/>
      <c r="H422" s="165"/>
      <c r="I422" s="285"/>
      <c r="J422" s="286"/>
    </row>
    <row r="423" spans="2:10">
      <c r="B423" s="165"/>
      <c r="C423" s="277"/>
      <c r="D423" s="277"/>
      <c r="E423" s="283"/>
      <c r="F423" s="283"/>
      <c r="G423" s="284"/>
      <c r="H423" s="165"/>
      <c r="I423" s="285"/>
      <c r="J423" s="286"/>
    </row>
    <row r="424" spans="2:10">
      <c r="B424" s="165"/>
      <c r="C424" s="277"/>
      <c r="D424" s="277"/>
      <c r="E424" s="283"/>
      <c r="F424" s="283"/>
      <c r="G424" s="284"/>
      <c r="H424" s="165"/>
      <c r="I424" s="285"/>
      <c r="J424" s="286"/>
    </row>
    <row r="425" spans="2:10">
      <c r="B425" s="165"/>
      <c r="C425" s="277"/>
      <c r="D425" s="277"/>
      <c r="E425" s="283"/>
      <c r="F425" s="283"/>
      <c r="G425" s="284"/>
      <c r="H425" s="165"/>
      <c r="I425" s="285"/>
      <c r="J425" s="286"/>
    </row>
    <row r="426" spans="2:10">
      <c r="B426" s="165"/>
      <c r="C426" s="277"/>
      <c r="D426" s="277"/>
      <c r="E426" s="283"/>
      <c r="F426" s="283"/>
      <c r="G426" s="284"/>
      <c r="H426" s="277"/>
      <c r="I426" s="276"/>
      <c r="J426" s="286"/>
    </row>
    <row r="427" spans="2:10">
      <c r="B427" s="165"/>
      <c r="C427" s="277"/>
      <c r="D427" s="277"/>
      <c r="E427" s="283"/>
      <c r="F427" s="283"/>
      <c r="G427" s="284"/>
      <c r="H427" s="277"/>
      <c r="I427" s="276"/>
      <c r="J427" s="286"/>
    </row>
    <row r="428" spans="2:10">
      <c r="B428" s="165"/>
      <c r="C428" s="277"/>
      <c r="D428" s="277"/>
      <c r="E428" s="283"/>
      <c r="F428" s="283"/>
      <c r="G428" s="284"/>
      <c r="H428" s="277"/>
      <c r="I428" s="276"/>
      <c r="J428" s="286"/>
    </row>
    <row r="429" spans="2:10">
      <c r="B429" s="165"/>
      <c r="C429" s="277"/>
      <c r="D429" s="277"/>
      <c r="E429" s="283"/>
      <c r="F429" s="283"/>
      <c r="G429" s="284"/>
      <c r="H429" s="277"/>
      <c r="I429" s="276"/>
      <c r="J429" s="286"/>
    </row>
    <row r="430" spans="2:10">
      <c r="B430" s="165"/>
      <c r="C430" s="277"/>
      <c r="D430" s="277"/>
      <c r="E430" s="283"/>
      <c r="F430" s="283"/>
      <c r="G430" s="284"/>
      <c r="H430" s="277"/>
      <c r="I430" s="276"/>
      <c r="J430" s="286"/>
    </row>
    <row r="431" spans="2:10">
      <c r="B431" s="165"/>
      <c r="C431" s="277"/>
      <c r="D431" s="277"/>
      <c r="E431" s="283"/>
      <c r="F431" s="283"/>
      <c r="G431" s="284"/>
      <c r="H431" s="277"/>
      <c r="I431" s="276"/>
      <c r="J431" s="286"/>
    </row>
    <row r="432" spans="2:10">
      <c r="C432" s="277"/>
      <c r="D432" s="277"/>
      <c r="E432" s="283"/>
      <c r="F432" s="283"/>
      <c r="G432" s="284"/>
    </row>
    <row r="433" spans="3:7">
      <c r="C433" s="277"/>
      <c r="D433" s="277"/>
      <c r="E433" s="283"/>
      <c r="F433" s="283"/>
      <c r="G433" s="284"/>
    </row>
    <row r="434" spans="3:7">
      <c r="C434" s="277"/>
      <c r="D434" s="277"/>
      <c r="E434" s="283"/>
      <c r="F434" s="283"/>
      <c r="G434" s="284"/>
    </row>
    <row r="435" spans="3:7">
      <c r="C435" s="277"/>
      <c r="D435" s="277"/>
      <c r="E435" s="283"/>
      <c r="F435" s="283"/>
      <c r="G435" s="284"/>
    </row>
    <row r="436" spans="3:7">
      <c r="C436" s="277"/>
      <c r="D436" s="277"/>
      <c r="E436" s="283"/>
      <c r="F436" s="283"/>
      <c r="G436" s="284"/>
    </row>
    <row r="437" spans="3:7">
      <c r="C437" s="277"/>
      <c r="D437" s="277"/>
      <c r="E437" s="283"/>
      <c r="F437" s="283"/>
      <c r="G437" s="284"/>
    </row>
    <row r="438" spans="3:7">
      <c r="C438" s="277"/>
      <c r="D438" s="277"/>
      <c r="E438" s="283"/>
      <c r="F438" s="283"/>
      <c r="G438" s="284"/>
    </row>
    <row r="439" spans="3:7">
      <c r="C439" s="277"/>
      <c r="D439" s="277"/>
      <c r="E439" s="283"/>
      <c r="F439" s="283"/>
      <c r="G439" s="284"/>
    </row>
    <row r="440" spans="3:7">
      <c r="C440" s="277"/>
      <c r="D440" s="277"/>
      <c r="E440" s="283"/>
      <c r="F440" s="283"/>
      <c r="G440" s="284"/>
    </row>
    <row r="441" spans="3:7">
      <c r="C441" s="277"/>
      <c r="D441" s="277"/>
      <c r="E441" s="283"/>
      <c r="F441" s="283"/>
      <c r="G441" s="284"/>
    </row>
    <row r="442" spans="3:7">
      <c r="C442" s="277"/>
      <c r="D442" s="277"/>
      <c r="E442" s="283"/>
      <c r="F442" s="283"/>
      <c r="G442" s="284"/>
    </row>
    <row r="443" spans="3:7">
      <c r="C443" s="277"/>
      <c r="D443" s="277"/>
      <c r="E443" s="283"/>
      <c r="F443" s="283"/>
      <c r="G443" s="284"/>
    </row>
    <row r="444" spans="3:7">
      <c r="C444" s="277"/>
      <c r="D444" s="277"/>
      <c r="E444" s="283"/>
      <c r="F444" s="283"/>
      <c r="G444" s="284"/>
    </row>
    <row r="445" spans="3:7">
      <c r="C445" s="277"/>
      <c r="D445" s="277"/>
      <c r="E445" s="283"/>
      <c r="F445" s="283"/>
      <c r="G445" s="284"/>
    </row>
    <row r="446" spans="3:7">
      <c r="C446" s="277"/>
      <c r="D446" s="277"/>
      <c r="E446" s="283"/>
      <c r="F446" s="283"/>
      <c r="G446" s="284"/>
    </row>
    <row r="447" spans="3:7">
      <c r="C447" s="277"/>
      <c r="D447" s="277"/>
      <c r="E447" s="283"/>
      <c r="F447" s="283"/>
      <c r="G447" s="284"/>
    </row>
    <row r="448" spans="3:7">
      <c r="C448" s="277"/>
      <c r="D448" s="277"/>
      <c r="E448" s="283"/>
      <c r="F448" s="283"/>
      <c r="G448" s="284"/>
    </row>
    <row r="449" spans="3:7">
      <c r="C449" s="277"/>
      <c r="D449" s="277"/>
      <c r="E449" s="283"/>
      <c r="F449" s="283"/>
      <c r="G449" s="28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baseColWidth="10" defaultRowHeight="12.75"/>
  <sheetData>
    <row r="1" spans="1:2">
      <c r="A1">
        <v>9</v>
      </c>
      <c r="B1" t="s">
        <v>571</v>
      </c>
    </row>
    <row r="2" spans="1:2">
      <c r="A2" t="s">
        <v>562</v>
      </c>
    </row>
    <row r="3" spans="1:2">
      <c r="A3" t="s">
        <v>568</v>
      </c>
    </row>
    <row r="4" spans="1:2">
      <c r="A4" t="s">
        <v>572</v>
      </c>
    </row>
    <row r="5" spans="1:2">
      <c r="A5" t="s">
        <v>569</v>
      </c>
    </row>
    <row r="6" spans="1:2">
      <c r="A6" t="s">
        <v>564</v>
      </c>
    </row>
    <row r="7" spans="1:2">
      <c r="A7" t="s">
        <v>566</v>
      </c>
    </row>
    <row r="8" spans="1:2">
      <c r="A8" t="s">
        <v>565</v>
      </c>
    </row>
    <row r="9" spans="1:2">
      <c r="A9" t="s">
        <v>570</v>
      </c>
    </row>
    <row r="10" spans="1:2">
      <c r="A10" t="s">
        <v>567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2:K76"/>
  <sheetViews>
    <sheetView showGridLines="0" workbookViewId="0">
      <selection activeCell="E76" sqref="E76"/>
    </sheetView>
  </sheetViews>
  <sheetFormatPr baseColWidth="10" defaultRowHeight="11.25"/>
  <cols>
    <col min="1" max="16384" width="11.42578125" style="181"/>
  </cols>
  <sheetData>
    <row r="2" spans="2:9">
      <c r="B2" s="160" t="s">
        <v>41</v>
      </c>
    </row>
    <row r="3" spans="2:9">
      <c r="B3" s="163"/>
      <c r="C3" s="163"/>
      <c r="D3" s="164"/>
      <c r="E3" s="164" t="s">
        <v>35</v>
      </c>
      <c r="F3" s="312" t="s">
        <v>36</v>
      </c>
      <c r="G3" s="312"/>
      <c r="H3" s="312"/>
      <c r="I3" s="165"/>
    </row>
    <row r="4" spans="2:9">
      <c r="B4" s="166"/>
      <c r="C4" s="166"/>
      <c r="D4" s="167" t="s">
        <v>37</v>
      </c>
      <c r="E4" s="167" t="s">
        <v>38</v>
      </c>
      <c r="F4" s="167" t="s">
        <v>21</v>
      </c>
      <c r="G4" s="167" t="s">
        <v>39</v>
      </c>
      <c r="H4" s="167" t="s">
        <v>70</v>
      </c>
      <c r="I4" s="167" t="s">
        <v>40</v>
      </c>
    </row>
    <row r="5" spans="2:9">
      <c r="B5" s="172"/>
      <c r="C5" s="168" t="s">
        <v>100</v>
      </c>
      <c r="D5" s="169">
        <v>11182.845214999999</v>
      </c>
      <c r="E5" s="170">
        <v>18538.071</v>
      </c>
      <c r="F5" s="170">
        <v>10925.4</v>
      </c>
      <c r="G5" s="170">
        <v>4775.8</v>
      </c>
      <c r="H5" s="170">
        <v>8399.1</v>
      </c>
      <c r="I5" s="171">
        <f t="shared" ref="I5:I53" si="0">(D5/E5)*100</f>
        <v>60.323672376699818</v>
      </c>
    </row>
    <row r="6" spans="2:9">
      <c r="B6" s="172"/>
      <c r="C6" s="168" t="s">
        <v>102</v>
      </c>
      <c r="D6" s="169">
        <v>10347.826236000001</v>
      </c>
      <c r="E6" s="170">
        <v>18538.071</v>
      </c>
      <c r="F6" s="170">
        <v>9994.9</v>
      </c>
      <c r="G6" s="170">
        <v>4551.1000000000004</v>
      </c>
      <c r="H6" s="170">
        <v>7716.6</v>
      </c>
      <c r="I6" s="171">
        <f t="shared" si="0"/>
        <v>55.819325732434621</v>
      </c>
    </row>
    <row r="7" spans="2:9">
      <c r="B7" s="172"/>
      <c r="C7" s="168" t="s">
        <v>103</v>
      </c>
      <c r="D7" s="169">
        <v>10605.790159</v>
      </c>
      <c r="E7" s="170">
        <v>18538.071</v>
      </c>
      <c r="F7" s="170">
        <v>9589.9</v>
      </c>
      <c r="G7" s="170">
        <v>4228</v>
      </c>
      <c r="H7" s="170">
        <v>7579.4</v>
      </c>
      <c r="I7" s="171">
        <f t="shared" si="0"/>
        <v>57.210861685662984</v>
      </c>
    </row>
    <row r="8" spans="2:9">
      <c r="B8" s="172"/>
      <c r="C8" s="168" t="s">
        <v>104</v>
      </c>
      <c r="D8" s="169">
        <v>11549.200858</v>
      </c>
      <c r="E8" s="170">
        <v>18538.071</v>
      </c>
      <c r="F8" s="170">
        <v>10812.3</v>
      </c>
      <c r="G8" s="170">
        <v>4573.5</v>
      </c>
      <c r="H8" s="170">
        <v>8045.1</v>
      </c>
      <c r="I8" s="171">
        <f t="shared" si="0"/>
        <v>62.299906273959138</v>
      </c>
    </row>
    <row r="9" spans="2:9">
      <c r="B9" s="172"/>
      <c r="C9" s="168" t="s">
        <v>105</v>
      </c>
      <c r="D9" s="169">
        <v>11825.70354</v>
      </c>
      <c r="E9" s="170">
        <v>18538.071</v>
      </c>
      <c r="F9" s="170">
        <v>13000</v>
      </c>
      <c r="G9" s="170">
        <v>5232.3</v>
      </c>
      <c r="H9" s="170">
        <v>8830.7000000000007</v>
      </c>
      <c r="I9" s="171">
        <f t="shared" si="0"/>
        <v>63.791445938469003</v>
      </c>
    </row>
    <row r="10" spans="2:9">
      <c r="B10" s="172">
        <v>2015</v>
      </c>
      <c r="C10" s="168" t="s">
        <v>106</v>
      </c>
      <c r="D10" s="169">
        <v>11887.913372000001</v>
      </c>
      <c r="E10" s="170">
        <v>18538.071</v>
      </c>
      <c r="F10" s="170">
        <v>13349.6</v>
      </c>
      <c r="G10" s="170">
        <v>5301</v>
      </c>
      <c r="H10" s="170">
        <v>9775.2999999999993</v>
      </c>
      <c r="I10" s="171">
        <f t="shared" si="0"/>
        <v>64.127024715786234</v>
      </c>
    </row>
    <row r="11" spans="2:9">
      <c r="B11" s="172"/>
      <c r="C11" s="168" t="s">
        <v>98</v>
      </c>
      <c r="D11" s="169">
        <v>12621.581502000001</v>
      </c>
      <c r="E11" s="170">
        <v>18538.071</v>
      </c>
      <c r="F11" s="170">
        <v>13349.6</v>
      </c>
      <c r="G11" s="170">
        <v>5388.4</v>
      </c>
      <c r="H11" s="170">
        <v>10122.1</v>
      </c>
      <c r="I11" s="171">
        <f t="shared" si="0"/>
        <v>68.084654018209349</v>
      </c>
    </row>
    <row r="12" spans="2:9">
      <c r="B12" s="172"/>
      <c r="C12" s="168" t="s">
        <v>99</v>
      </c>
      <c r="D12" s="169">
        <v>12918.073985999999</v>
      </c>
      <c r="E12" s="170">
        <v>18538.071</v>
      </c>
      <c r="F12" s="170">
        <v>13912.1</v>
      </c>
      <c r="G12" s="170">
        <v>5503.9</v>
      </c>
      <c r="H12" s="170">
        <v>10525.9</v>
      </c>
      <c r="I12" s="171">
        <f t="shared" si="0"/>
        <v>69.684024761799648</v>
      </c>
    </row>
    <row r="13" spans="2:9">
      <c r="B13" s="172"/>
      <c r="C13" s="168" t="s">
        <v>100</v>
      </c>
      <c r="D13" s="169">
        <v>13203.73019</v>
      </c>
      <c r="E13" s="170">
        <v>18538.071</v>
      </c>
      <c r="F13" s="170">
        <v>14074.2</v>
      </c>
      <c r="G13" s="170">
        <v>6818.6</v>
      </c>
      <c r="H13" s="170">
        <v>10985.5</v>
      </c>
      <c r="I13" s="171">
        <f t="shared" si="0"/>
        <v>71.224941311315519</v>
      </c>
    </row>
    <row r="14" spans="2:9">
      <c r="B14" s="172"/>
      <c r="C14" s="173" t="s">
        <v>99</v>
      </c>
      <c r="D14" s="169">
        <v>12887.114576</v>
      </c>
      <c r="E14" s="170">
        <v>18538.071</v>
      </c>
      <c r="F14" s="170">
        <v>14187.1</v>
      </c>
      <c r="G14" s="170">
        <v>6734.3</v>
      </c>
      <c r="H14" s="170">
        <v>11208.4</v>
      </c>
      <c r="I14" s="174">
        <f t="shared" si="0"/>
        <v>69.517020276813042</v>
      </c>
    </row>
    <row r="15" spans="2:9">
      <c r="B15" s="172"/>
      <c r="C15" s="168" t="s">
        <v>101</v>
      </c>
      <c r="D15" s="169">
        <v>11918.792775</v>
      </c>
      <c r="E15" s="170">
        <v>18538.071</v>
      </c>
      <c r="F15" s="170">
        <v>13746.6</v>
      </c>
      <c r="G15" s="170">
        <v>6287.9</v>
      </c>
      <c r="H15" s="170">
        <v>10708.8</v>
      </c>
      <c r="I15" s="171">
        <f t="shared" si="0"/>
        <v>64.293597618651916</v>
      </c>
    </row>
    <row r="16" spans="2:9">
      <c r="B16" s="172"/>
      <c r="C16" s="168" t="s">
        <v>101</v>
      </c>
      <c r="D16" s="169">
        <v>10448.885818000001</v>
      </c>
      <c r="E16" s="170">
        <v>18538.071</v>
      </c>
      <c r="F16" s="170">
        <v>12252.4</v>
      </c>
      <c r="G16" s="170">
        <v>5431.9</v>
      </c>
      <c r="H16" s="170">
        <v>9643.2999999999993</v>
      </c>
      <c r="I16" s="171">
        <f t="shared" si="0"/>
        <v>56.364471891385037</v>
      </c>
    </row>
    <row r="17" spans="2:9">
      <c r="B17" s="172"/>
      <c r="C17" s="168" t="s">
        <v>100</v>
      </c>
      <c r="D17" s="169">
        <v>9469.3938039999994</v>
      </c>
      <c r="E17" s="170">
        <v>18538.071</v>
      </c>
      <c r="F17" s="170">
        <v>10937.6</v>
      </c>
      <c r="G17" s="170">
        <v>4750.7</v>
      </c>
      <c r="H17" s="170">
        <v>8625.7000000000007</v>
      </c>
      <c r="I17" s="171">
        <f t="shared" si="0"/>
        <v>51.080793702861527</v>
      </c>
    </row>
    <row r="18" spans="2:9">
      <c r="B18" s="172"/>
      <c r="C18" s="168" t="s">
        <v>102</v>
      </c>
      <c r="D18" s="169">
        <v>8754.5516729999999</v>
      </c>
      <c r="E18" s="170">
        <v>18538.071</v>
      </c>
      <c r="F18" s="170">
        <v>10034.299999999999</v>
      </c>
      <c r="G18" s="170">
        <v>4535.6000000000004</v>
      </c>
      <c r="H18" s="170">
        <v>7930.4</v>
      </c>
      <c r="I18" s="171">
        <f t="shared" si="0"/>
        <v>47.224717571747348</v>
      </c>
    </row>
    <row r="19" spans="2:9">
      <c r="B19" s="172"/>
      <c r="C19" s="168" t="s">
        <v>103</v>
      </c>
      <c r="D19" s="169">
        <v>8623.2692549999992</v>
      </c>
      <c r="E19" s="170">
        <v>18538.071</v>
      </c>
      <c r="F19" s="170">
        <v>9635.2000000000007</v>
      </c>
      <c r="G19" s="170">
        <v>4230.8</v>
      </c>
      <c r="H19" s="170">
        <v>7810.6</v>
      </c>
      <c r="I19" s="171">
        <f t="shared" si="0"/>
        <v>46.516540232260404</v>
      </c>
    </row>
    <row r="20" spans="2:9">
      <c r="B20" s="172"/>
      <c r="C20" s="168" t="s">
        <v>104</v>
      </c>
      <c r="D20" s="169">
        <v>8744.6446699999997</v>
      </c>
      <c r="E20" s="170">
        <v>18538.071</v>
      </c>
      <c r="F20" s="170">
        <v>10899.4</v>
      </c>
      <c r="G20" s="170">
        <v>4607.3</v>
      </c>
      <c r="H20" s="170">
        <v>8257</v>
      </c>
      <c r="I20" s="171">
        <f t="shared" si="0"/>
        <v>47.171276180784936</v>
      </c>
    </row>
    <row r="21" spans="2:9">
      <c r="B21" s="172"/>
      <c r="C21" s="168" t="s">
        <v>105</v>
      </c>
      <c r="D21" s="169">
        <v>8644.1745179999998</v>
      </c>
      <c r="E21" s="170">
        <v>18538.071</v>
      </c>
      <c r="F21" s="170">
        <v>13185.4</v>
      </c>
      <c r="G21" s="170">
        <v>5271.4</v>
      </c>
      <c r="H21" s="170">
        <v>9056</v>
      </c>
      <c r="I21" s="171">
        <f t="shared" si="0"/>
        <v>46.62930958674179</v>
      </c>
    </row>
    <row r="22" spans="2:9">
      <c r="B22" s="172">
        <v>2016</v>
      </c>
      <c r="C22" s="168" t="s">
        <v>106</v>
      </c>
      <c r="D22" s="169">
        <v>11227.656998</v>
      </c>
      <c r="E22" s="170">
        <v>18538.071</v>
      </c>
      <c r="F22" s="170">
        <v>13001.9</v>
      </c>
      <c r="G22" s="170">
        <v>5366.1</v>
      </c>
      <c r="H22" s="170">
        <v>10017.4</v>
      </c>
      <c r="I22" s="171">
        <f t="shared" si="0"/>
        <v>60.56540077983302</v>
      </c>
    </row>
    <row r="23" spans="2:9">
      <c r="B23" s="172"/>
      <c r="C23" s="168" t="s">
        <v>98</v>
      </c>
      <c r="D23" s="169">
        <v>12066.238818</v>
      </c>
      <c r="E23" s="170">
        <v>18538.071</v>
      </c>
      <c r="F23" s="170">
        <v>13315.6</v>
      </c>
      <c r="G23" s="170">
        <v>5433.6</v>
      </c>
      <c r="H23" s="170">
        <v>10361.5</v>
      </c>
      <c r="I23" s="171">
        <f t="shared" si="0"/>
        <v>65.088966473372551</v>
      </c>
    </row>
    <row r="24" spans="2:9">
      <c r="B24" s="172"/>
      <c r="C24" s="175" t="s">
        <v>99</v>
      </c>
      <c r="D24" s="169">
        <v>12306.055883000001</v>
      </c>
      <c r="E24" s="170">
        <v>18538.071</v>
      </c>
      <c r="F24" s="170">
        <v>13856.7</v>
      </c>
      <c r="G24" s="170">
        <v>5567.8</v>
      </c>
      <c r="H24" s="170">
        <v>10787.2</v>
      </c>
      <c r="I24" s="171">
        <f t="shared" si="0"/>
        <v>66.382612748651155</v>
      </c>
    </row>
    <row r="25" spans="2:9">
      <c r="B25" s="172"/>
      <c r="C25" s="175" t="s">
        <v>100</v>
      </c>
      <c r="D25" s="169">
        <v>13179.567322000001</v>
      </c>
      <c r="E25" s="170">
        <v>18538.071</v>
      </c>
      <c r="F25" s="170">
        <v>14018.9</v>
      </c>
      <c r="G25" s="170">
        <v>6896.6</v>
      </c>
      <c r="H25" s="170">
        <v>11295.2</v>
      </c>
      <c r="I25" s="171">
        <f t="shared" si="0"/>
        <v>71.094599443491191</v>
      </c>
    </row>
    <row r="26" spans="2:9">
      <c r="B26" s="172"/>
      <c r="C26" s="175" t="s">
        <v>99</v>
      </c>
      <c r="D26" s="169">
        <v>13577.542675000001</v>
      </c>
      <c r="E26" s="170">
        <v>18538.071</v>
      </c>
      <c r="F26" s="170">
        <v>14159.3</v>
      </c>
      <c r="G26" s="170">
        <v>6811.6</v>
      </c>
      <c r="H26" s="170">
        <v>11509.5</v>
      </c>
      <c r="I26" s="171">
        <f t="shared" si="0"/>
        <v>73.241399685004978</v>
      </c>
    </row>
    <row r="27" spans="2:9">
      <c r="B27" s="172"/>
      <c r="C27" s="175" t="s">
        <v>101</v>
      </c>
      <c r="D27" s="169">
        <v>12751.035658000001</v>
      </c>
      <c r="E27" s="170">
        <v>18538.071</v>
      </c>
      <c r="F27" s="170">
        <v>13746.6</v>
      </c>
      <c r="G27" s="170">
        <v>6354.8</v>
      </c>
      <c r="H27" s="170">
        <v>10990.1</v>
      </c>
      <c r="I27" s="171">
        <f t="shared" si="0"/>
        <v>68.782969155744425</v>
      </c>
    </row>
    <row r="28" spans="2:9">
      <c r="B28" s="172"/>
      <c r="C28" s="175" t="s">
        <v>101</v>
      </c>
      <c r="D28" s="169">
        <v>11400.747851</v>
      </c>
      <c r="E28" s="170">
        <v>18538.071</v>
      </c>
      <c r="F28" s="170">
        <v>12254.4</v>
      </c>
      <c r="G28" s="170">
        <v>5493.3</v>
      </c>
      <c r="H28" s="170">
        <v>9894.2000000000007</v>
      </c>
      <c r="I28" s="171">
        <f t="shared" si="0"/>
        <v>61.499105548792002</v>
      </c>
    </row>
    <row r="29" spans="2:9">
      <c r="B29" s="172"/>
      <c r="C29" s="175" t="s">
        <v>100</v>
      </c>
      <c r="D29" s="169">
        <v>9726.8527639999993</v>
      </c>
      <c r="E29" s="170">
        <v>18538.071</v>
      </c>
      <c r="F29" s="170">
        <v>10936.9</v>
      </c>
      <c r="G29" s="170">
        <v>4803.8</v>
      </c>
      <c r="H29" s="170">
        <v>8861.6</v>
      </c>
      <c r="I29" s="171">
        <f t="shared" si="0"/>
        <v>52.469605731901659</v>
      </c>
    </row>
    <row r="30" spans="2:9">
      <c r="B30" s="172"/>
      <c r="C30" s="175" t="s">
        <v>102</v>
      </c>
      <c r="D30" s="169">
        <v>8542.9985949999991</v>
      </c>
      <c r="E30" s="170">
        <v>18538.071</v>
      </c>
      <c r="F30" s="170">
        <v>10062.1</v>
      </c>
      <c r="G30" s="170">
        <v>4577.6000000000004</v>
      </c>
      <c r="H30" s="170">
        <v>8141.4</v>
      </c>
      <c r="I30" s="171">
        <f t="shared" si="0"/>
        <v>46.083535849010396</v>
      </c>
    </row>
    <row r="31" spans="2:9">
      <c r="B31" s="172"/>
      <c r="C31" s="175" t="s">
        <v>103</v>
      </c>
      <c r="D31" s="169">
        <v>7639.5428579999998</v>
      </c>
      <c r="E31" s="170">
        <v>18538.071</v>
      </c>
      <c r="F31" s="170">
        <v>9669.2000000000007</v>
      </c>
      <c r="G31" s="170">
        <v>4301.2</v>
      </c>
      <c r="H31" s="170">
        <v>8029.9</v>
      </c>
      <c r="I31" s="171">
        <f t="shared" si="0"/>
        <v>41.210020492423396</v>
      </c>
    </row>
    <row r="32" spans="2:9">
      <c r="B32" s="172"/>
      <c r="C32" s="175" t="s">
        <v>104</v>
      </c>
      <c r="D32" s="169">
        <v>7737.8927560000002</v>
      </c>
      <c r="E32" s="170">
        <v>18538.071</v>
      </c>
      <c r="F32" s="170">
        <v>11022.8</v>
      </c>
      <c r="G32" s="170">
        <v>4697.8</v>
      </c>
      <c r="H32" s="170">
        <v>8512.7999999999993</v>
      </c>
      <c r="I32" s="171">
        <f t="shared" si="0"/>
        <v>41.740549790752226</v>
      </c>
    </row>
    <row r="33" spans="2:9">
      <c r="B33" s="172"/>
      <c r="C33" s="175" t="s">
        <v>105</v>
      </c>
      <c r="D33" s="169">
        <v>7271.9042060000002</v>
      </c>
      <c r="E33" s="170">
        <v>18538.071</v>
      </c>
      <c r="F33" s="170">
        <v>13351.2</v>
      </c>
      <c r="G33" s="170">
        <v>5303.9</v>
      </c>
      <c r="H33" s="170">
        <v>9210</v>
      </c>
      <c r="I33" s="171">
        <f t="shared" si="0"/>
        <v>39.226865653929153</v>
      </c>
    </row>
    <row r="34" spans="2:9">
      <c r="B34" s="172">
        <v>2017</v>
      </c>
      <c r="C34" s="175" t="s">
        <v>106</v>
      </c>
      <c r="D34" s="169">
        <v>6352.3982489999999</v>
      </c>
      <c r="E34" s="170">
        <v>18538.071</v>
      </c>
      <c r="F34" s="170">
        <v>13008.6</v>
      </c>
      <c r="G34" s="170">
        <v>5403.4</v>
      </c>
      <c r="H34" s="170">
        <v>10035.6</v>
      </c>
      <c r="I34" s="171">
        <f t="shared" si="0"/>
        <v>34.266770523211392</v>
      </c>
    </row>
    <row r="35" spans="2:9">
      <c r="B35" s="172"/>
      <c r="C35" s="175" t="s">
        <v>98</v>
      </c>
      <c r="D35" s="169">
        <v>8201.5317109999996</v>
      </c>
      <c r="E35" s="170">
        <v>18538.071</v>
      </c>
      <c r="F35" s="170">
        <v>13281.7</v>
      </c>
      <c r="G35" s="170">
        <v>5478.9</v>
      </c>
      <c r="H35" s="170">
        <v>10426.700000000001</v>
      </c>
      <c r="I35" s="171">
        <f t="shared" si="0"/>
        <v>44.241559496670391</v>
      </c>
    </row>
    <row r="36" spans="2:9">
      <c r="B36" s="172"/>
      <c r="C36" s="175" t="s">
        <v>99</v>
      </c>
      <c r="D36" s="169">
        <v>8171.2895820000003</v>
      </c>
      <c r="E36" s="170">
        <v>18538.071</v>
      </c>
      <c r="F36" s="170">
        <v>13801.4</v>
      </c>
      <c r="G36" s="170">
        <v>5631.6</v>
      </c>
      <c r="H36" s="170">
        <v>10863.8</v>
      </c>
      <c r="I36" s="171">
        <f t="shared" si="0"/>
        <v>44.078424243816954</v>
      </c>
    </row>
    <row r="37" spans="2:9">
      <c r="B37" s="172"/>
      <c r="C37" s="175" t="s">
        <v>100</v>
      </c>
      <c r="D37" s="169">
        <v>8002.4783509999997</v>
      </c>
      <c r="E37" s="170">
        <v>18538.071</v>
      </c>
      <c r="F37" s="170">
        <v>13963.7</v>
      </c>
      <c r="G37" s="170">
        <v>6949.4</v>
      </c>
      <c r="H37" s="170">
        <v>11392.9</v>
      </c>
      <c r="I37" s="171">
        <f t="shared" si="0"/>
        <v>43.167805059113221</v>
      </c>
    </row>
    <row r="38" spans="2:9">
      <c r="B38" s="172"/>
      <c r="C38" s="175" t="s">
        <v>99</v>
      </c>
      <c r="D38" s="169">
        <v>8068.3502509999998</v>
      </c>
      <c r="E38" s="170">
        <v>18538.071</v>
      </c>
      <c r="F38" s="170">
        <v>14131.5</v>
      </c>
      <c r="G38" s="170">
        <v>6888.8</v>
      </c>
      <c r="H38" s="170">
        <v>11608.8</v>
      </c>
      <c r="I38" s="171">
        <f t="shared" si="0"/>
        <v>43.523138146358377</v>
      </c>
    </row>
    <row r="39" spans="2:9">
      <c r="B39" s="172"/>
      <c r="C39" s="175" t="s">
        <v>101</v>
      </c>
      <c r="D39" s="169">
        <v>7504.6737370000001</v>
      </c>
      <c r="E39" s="170">
        <v>18538.071</v>
      </c>
      <c r="F39" s="170">
        <v>13746.7</v>
      </c>
      <c r="G39" s="170">
        <v>6417.2</v>
      </c>
      <c r="H39" s="170">
        <v>11080.9</v>
      </c>
      <c r="I39" s="171">
        <f t="shared" si="0"/>
        <v>40.482495384767923</v>
      </c>
    </row>
    <row r="40" spans="2:9">
      <c r="B40" s="172"/>
      <c r="C40" s="175" t="s">
        <v>101</v>
      </c>
      <c r="D40" s="169">
        <v>6868.7604899999997</v>
      </c>
      <c r="E40" s="170">
        <v>18538.071</v>
      </c>
      <c r="F40" s="170">
        <v>12256.4</v>
      </c>
      <c r="G40" s="170">
        <v>5554.7</v>
      </c>
      <c r="H40" s="170">
        <v>9976.6</v>
      </c>
      <c r="I40" s="171">
        <f t="shared" si="0"/>
        <v>37.05218568857569</v>
      </c>
    </row>
    <row r="41" spans="2:9">
      <c r="B41" s="172"/>
      <c r="C41" s="176" t="s">
        <v>100</v>
      </c>
      <c r="D41" s="169">
        <v>6036.3040380000002</v>
      </c>
      <c r="E41" s="170">
        <v>18538.071</v>
      </c>
      <c r="F41" s="170">
        <v>10936.1</v>
      </c>
      <c r="G41" s="170">
        <v>4856.8999999999996</v>
      </c>
      <c r="H41" s="170">
        <v>8897.1</v>
      </c>
      <c r="I41" s="171">
        <f t="shared" si="0"/>
        <v>32.561662095263308</v>
      </c>
    </row>
    <row r="42" spans="2:9">
      <c r="B42" s="172"/>
      <c r="C42" s="175" t="s">
        <v>102</v>
      </c>
      <c r="D42" s="169">
        <v>5135.5098319999997</v>
      </c>
      <c r="E42" s="170">
        <v>18538.071</v>
      </c>
      <c r="F42" s="170">
        <v>10089.799999999999</v>
      </c>
      <c r="G42" s="170">
        <v>4619.6000000000004</v>
      </c>
      <c r="H42" s="170">
        <v>8164.3</v>
      </c>
      <c r="I42" s="171">
        <f t="shared" si="0"/>
        <v>27.702503847352833</v>
      </c>
    </row>
    <row r="43" spans="2:9">
      <c r="B43" s="165"/>
      <c r="C43" s="175" t="s">
        <v>103</v>
      </c>
      <c r="D43" s="169">
        <v>4708.038114</v>
      </c>
      <c r="E43" s="170">
        <v>18538.071</v>
      </c>
      <c r="F43" s="170">
        <v>9703.2000000000007</v>
      </c>
      <c r="G43" s="170">
        <v>4371.6000000000004</v>
      </c>
      <c r="H43" s="170">
        <v>8040.8</v>
      </c>
      <c r="I43" s="171">
        <f t="shared" si="0"/>
        <v>25.396591231094106</v>
      </c>
    </row>
    <row r="44" spans="2:9">
      <c r="B44" s="165"/>
      <c r="C44" s="175" t="s">
        <v>104</v>
      </c>
      <c r="D44" s="169">
        <v>4403.8701209999999</v>
      </c>
      <c r="E44" s="170">
        <v>18538.071</v>
      </c>
      <c r="F44" s="170">
        <v>11121.6</v>
      </c>
      <c r="G44" s="170">
        <v>4788.3</v>
      </c>
      <c r="H44" s="170">
        <v>8517.9</v>
      </c>
      <c r="I44" s="171">
        <f t="shared" si="0"/>
        <v>23.755816454689381</v>
      </c>
    </row>
    <row r="45" spans="2:9">
      <c r="B45" s="165"/>
      <c r="C45" s="175" t="s">
        <v>105</v>
      </c>
      <c r="D45" s="169">
        <v>4883.4119860000001</v>
      </c>
      <c r="E45" s="170">
        <v>18538.071</v>
      </c>
      <c r="F45" s="170">
        <v>13517</v>
      </c>
      <c r="G45" s="170">
        <v>5336.3</v>
      </c>
      <c r="H45" s="170">
        <v>9077</v>
      </c>
      <c r="I45" s="171">
        <f t="shared" si="0"/>
        <v>26.342611299740948</v>
      </c>
    </row>
    <row r="46" spans="2:9">
      <c r="B46" s="165">
        <v>2018</v>
      </c>
      <c r="C46" s="175" t="s">
        <v>106</v>
      </c>
      <c r="D46" s="169">
        <v>5398.2220399999997</v>
      </c>
      <c r="E46" s="170">
        <v>18538.071</v>
      </c>
      <c r="F46" s="170">
        <v>13015.3</v>
      </c>
      <c r="G46" s="170">
        <v>5440.7</v>
      </c>
      <c r="H46" s="170">
        <v>9768.7999999999993</v>
      </c>
      <c r="I46" s="171">
        <f t="shared" si="0"/>
        <v>29.11965349577094</v>
      </c>
    </row>
    <row r="47" spans="2:9">
      <c r="B47" s="172"/>
      <c r="C47" s="175" t="s">
        <v>98</v>
      </c>
      <c r="D47" s="169">
        <v>5616.4103269999996</v>
      </c>
      <c r="E47" s="170">
        <v>18538.071</v>
      </c>
      <c r="F47" s="170">
        <v>13247.7</v>
      </c>
      <c r="G47" s="170">
        <v>5524.0950000000003</v>
      </c>
      <c r="H47" s="170">
        <v>10246.200000000001</v>
      </c>
      <c r="I47" s="171">
        <f t="shared" si="0"/>
        <v>30.296627556340678</v>
      </c>
    </row>
    <row r="48" spans="2:9">
      <c r="B48" s="172"/>
      <c r="C48" s="175" t="s">
        <v>99</v>
      </c>
      <c r="D48" s="169">
        <v>9699.4711430000007</v>
      </c>
      <c r="E48" s="170">
        <v>18538.071</v>
      </c>
      <c r="F48" s="170">
        <v>13746</v>
      </c>
      <c r="G48" s="170">
        <v>5695.4</v>
      </c>
      <c r="H48" s="170">
        <v>10704.1</v>
      </c>
      <c r="I48" s="171">
        <f t="shared" si="0"/>
        <v>52.321900930253207</v>
      </c>
    </row>
    <row r="49" spans="2:9">
      <c r="B49" s="172"/>
      <c r="C49" s="175" t="s">
        <v>100</v>
      </c>
      <c r="D49" s="169">
        <v>11897.527652999999</v>
      </c>
      <c r="E49" s="170">
        <v>18538.071</v>
      </c>
      <c r="F49" s="170">
        <v>13908.5</v>
      </c>
      <c r="G49" s="170">
        <v>7002.3</v>
      </c>
      <c r="H49" s="170">
        <v>11260.6</v>
      </c>
      <c r="I49" s="171">
        <f t="shared" si="0"/>
        <v>64.178887075143905</v>
      </c>
    </row>
    <row r="50" spans="2:9">
      <c r="B50" s="172"/>
      <c r="C50" s="175" t="s">
        <v>99</v>
      </c>
      <c r="D50" s="169">
        <v>12095.723247</v>
      </c>
      <c r="E50" s="170">
        <v>18538.071</v>
      </c>
      <c r="F50" s="170">
        <v>14103.7</v>
      </c>
      <c r="G50" s="170">
        <v>6966.1</v>
      </c>
      <c r="H50" s="170">
        <v>11479.8</v>
      </c>
      <c r="I50" s="171">
        <f t="shared" si="0"/>
        <v>65.248014461698844</v>
      </c>
    </row>
    <row r="51" spans="2:9">
      <c r="B51" s="172"/>
      <c r="C51" s="175" t="s">
        <v>101</v>
      </c>
      <c r="D51" s="169">
        <v>11876.304858</v>
      </c>
      <c r="E51" s="170">
        <v>18538.071</v>
      </c>
      <c r="F51" s="170">
        <v>13746.7</v>
      </c>
      <c r="G51" s="170">
        <v>6477.8</v>
      </c>
      <c r="H51" s="170">
        <v>10910.4</v>
      </c>
      <c r="I51" s="171">
        <f t="shared" si="0"/>
        <v>64.064404856362884</v>
      </c>
    </row>
    <row r="52" spans="2:9">
      <c r="B52" s="172"/>
      <c r="C52" s="175" t="s">
        <v>101</v>
      </c>
      <c r="D52" s="169">
        <v>10246.502908</v>
      </c>
      <c r="E52" s="170">
        <v>18538.071</v>
      </c>
      <c r="F52" s="170">
        <v>12258.4</v>
      </c>
      <c r="G52" s="170">
        <v>5616.1</v>
      </c>
      <c r="H52" s="170">
        <v>9805.5</v>
      </c>
      <c r="I52" s="171">
        <f t="shared" si="0"/>
        <v>55.272756847246953</v>
      </c>
    </row>
    <row r="53" spans="2:9">
      <c r="B53" s="172"/>
      <c r="C53" s="176" t="s">
        <v>100</v>
      </c>
      <c r="D53" s="169">
        <v>8792.0937548931852</v>
      </c>
      <c r="E53" s="170">
        <v>18538.071</v>
      </c>
      <c r="F53" s="170">
        <v>10935.4</v>
      </c>
      <c r="G53" s="170">
        <v>4910</v>
      </c>
      <c r="H53" s="170">
        <v>8722.1</v>
      </c>
      <c r="I53" s="171">
        <f t="shared" si="0"/>
        <v>47.427230993414497</v>
      </c>
    </row>
    <row r="54" spans="2:9">
      <c r="B54" s="172"/>
      <c r="C54" s="175"/>
      <c r="D54" s="169"/>
      <c r="E54" s="170"/>
      <c r="F54" s="170"/>
      <c r="G54" s="170"/>
      <c r="H54" s="170"/>
      <c r="I54" s="171"/>
    </row>
    <row r="55" spans="2:9">
      <c r="B55" s="172"/>
      <c r="C55" s="175"/>
      <c r="D55" s="169"/>
      <c r="E55" s="170"/>
      <c r="F55" s="170"/>
      <c r="G55" s="170"/>
      <c r="H55" s="170"/>
      <c r="I55" s="171"/>
    </row>
    <row r="56" spans="2:9">
      <c r="B56" s="172"/>
      <c r="C56" s="175"/>
      <c r="D56" s="169"/>
      <c r="E56" s="170"/>
      <c r="F56" s="170"/>
      <c r="G56" s="170"/>
      <c r="H56" s="170"/>
      <c r="I56" s="171"/>
    </row>
    <row r="57" spans="2:9">
      <c r="B57" s="172"/>
      <c r="C57" s="175"/>
      <c r="D57" s="169"/>
      <c r="E57" s="170"/>
      <c r="F57" s="170"/>
      <c r="G57" s="170"/>
      <c r="H57" s="170"/>
      <c r="I57" s="171"/>
    </row>
    <row r="58" spans="2:9">
      <c r="B58" s="172"/>
      <c r="C58" s="175"/>
      <c r="D58" s="169"/>
      <c r="E58" s="170"/>
      <c r="F58" s="170"/>
      <c r="G58" s="170"/>
      <c r="H58" s="170"/>
      <c r="I58" s="171"/>
    </row>
    <row r="59" spans="2:9">
      <c r="B59" s="172"/>
      <c r="C59" s="176"/>
      <c r="D59" s="169"/>
      <c r="E59" s="170"/>
      <c r="F59" s="170"/>
      <c r="G59" s="170"/>
      <c r="H59" s="170"/>
      <c r="I59" s="171"/>
    </row>
    <row r="60" spans="2:9">
      <c r="B60" s="172"/>
      <c r="C60" s="175"/>
      <c r="D60" s="169"/>
      <c r="E60" s="170"/>
      <c r="F60" s="170"/>
      <c r="G60" s="170"/>
      <c r="H60" s="170"/>
      <c r="I60" s="171"/>
    </row>
    <row r="61" spans="2:9">
      <c r="B61" s="172"/>
      <c r="C61" s="175"/>
      <c r="D61" s="170"/>
      <c r="E61" s="170"/>
      <c r="F61" s="170"/>
      <c r="G61" s="170"/>
      <c r="H61" s="170"/>
      <c r="I61" s="171"/>
    </row>
    <row r="62" spans="2:9">
      <c r="B62" s="172"/>
      <c r="C62" s="175"/>
      <c r="D62" s="170"/>
      <c r="E62" s="170"/>
      <c r="F62" s="170"/>
      <c r="G62" s="170"/>
      <c r="H62" s="170"/>
      <c r="I62" s="171"/>
    </row>
    <row r="63" spans="2:9">
      <c r="B63" s="172"/>
      <c r="C63" s="175"/>
      <c r="D63" s="170"/>
      <c r="E63" s="170"/>
      <c r="F63" s="170"/>
      <c r="G63" s="170"/>
      <c r="H63" s="170"/>
      <c r="I63" s="171"/>
    </row>
    <row r="64" spans="2:9">
      <c r="B64" s="172"/>
      <c r="C64" s="175"/>
      <c r="D64" s="170"/>
      <c r="E64" s="170"/>
      <c r="F64" s="170"/>
      <c r="G64" s="170"/>
      <c r="H64" s="170"/>
      <c r="I64" s="171"/>
    </row>
    <row r="65" spans="2:11">
      <c r="B65" s="172"/>
      <c r="C65" s="177"/>
      <c r="D65" s="178"/>
      <c r="E65" s="178"/>
      <c r="F65" s="178"/>
      <c r="G65" s="178"/>
      <c r="H65" s="178"/>
      <c r="I65" s="171"/>
    </row>
    <row r="67" spans="2:11">
      <c r="B67" s="124" t="s">
        <v>561</v>
      </c>
      <c r="C67" s="125"/>
      <c r="D67" s="125"/>
      <c r="E67" s="125"/>
      <c r="F67" s="125"/>
      <c r="G67" s="126"/>
      <c r="H67" s="126"/>
      <c r="I67" s="127"/>
      <c r="J67" s="127"/>
    </row>
    <row r="68" spans="2:11">
      <c r="B68" s="128"/>
      <c r="C68" s="311" t="s">
        <v>53</v>
      </c>
      <c r="D68" s="311" t="s">
        <v>53</v>
      </c>
      <c r="E68" s="128"/>
      <c r="F68" s="311" t="s">
        <v>42</v>
      </c>
      <c r="G68" s="311"/>
      <c r="H68" s="311" t="s">
        <v>43</v>
      </c>
      <c r="I68" s="311"/>
      <c r="J68" s="311" t="s">
        <v>44</v>
      </c>
      <c r="K68" s="311"/>
    </row>
    <row r="69" spans="2:11">
      <c r="B69" s="129"/>
      <c r="C69" s="130" t="s">
        <v>42</v>
      </c>
      <c r="D69" s="130" t="s">
        <v>43</v>
      </c>
      <c r="E69" s="130" t="s">
        <v>82</v>
      </c>
      <c r="F69" s="131" t="s">
        <v>40</v>
      </c>
      <c r="G69" s="130" t="s">
        <v>45</v>
      </c>
      <c r="H69" s="131" t="s">
        <v>40</v>
      </c>
      <c r="I69" s="130" t="s">
        <v>45</v>
      </c>
      <c r="J69" s="131" t="s">
        <v>40</v>
      </c>
      <c r="K69" s="130" t="s">
        <v>45</v>
      </c>
    </row>
    <row r="70" spans="2:11">
      <c r="B70" s="132" t="s">
        <v>46</v>
      </c>
      <c r="C70" s="133">
        <v>2546.8180000000002</v>
      </c>
      <c r="D70" s="133">
        <v>909.476</v>
      </c>
      <c r="E70" s="133">
        <v>5205.2719067636108</v>
      </c>
      <c r="F70" s="161">
        <f>G70/C70</f>
        <v>0.55610815886668929</v>
      </c>
      <c r="G70" s="133">
        <v>1416.3062689485439</v>
      </c>
      <c r="H70" s="161">
        <f t="shared" ref="H70:H76" si="1">I70/D70</f>
        <v>0.57265500519766876</v>
      </c>
      <c r="I70" s="133">
        <v>520.81598350715501</v>
      </c>
      <c r="J70" s="161">
        <f t="shared" ref="J70:J76" si="2">K70/SUM(C70:D70)</f>
        <v>0.56046223280071039</v>
      </c>
      <c r="K70" s="133">
        <f t="shared" ref="K70:K75" si="3">SUM(G70,I70)</f>
        <v>1937.1222524556988</v>
      </c>
    </row>
    <row r="71" spans="2:11">
      <c r="B71" s="132" t="s">
        <v>47</v>
      </c>
      <c r="C71" s="133">
        <v>1681</v>
      </c>
      <c r="D71" s="133">
        <v>3120.6</v>
      </c>
      <c r="E71" s="133">
        <v>3968.2132952293318</v>
      </c>
      <c r="F71" s="161">
        <f>G71/C71</f>
        <v>0.57375766701840025</v>
      </c>
      <c r="G71" s="133">
        <v>964.48663825793074</v>
      </c>
      <c r="H71" s="161">
        <f t="shared" si="1"/>
        <v>0.48820090792130655</v>
      </c>
      <c r="I71" s="133">
        <v>1523.4797532592293</v>
      </c>
      <c r="J71" s="161">
        <f t="shared" si="2"/>
        <v>0.51815361369484336</v>
      </c>
      <c r="K71" s="133">
        <f t="shared" si="3"/>
        <v>2487.96639151716</v>
      </c>
    </row>
    <row r="72" spans="2:11">
      <c r="B72" s="132" t="s">
        <v>48</v>
      </c>
      <c r="C72" s="133">
        <v>2424.9229999999998</v>
      </c>
      <c r="D72" s="133">
        <v>3791.8719999999998</v>
      </c>
      <c r="E72" s="133">
        <v>3618.5651686053225</v>
      </c>
      <c r="F72" s="161">
        <f>G72/C72</f>
        <v>0.43645178199383045</v>
      </c>
      <c r="G72" s="133">
        <v>1058.3619645478252</v>
      </c>
      <c r="H72" s="161">
        <f t="shared" si="1"/>
        <v>0.28037893314558371</v>
      </c>
      <c r="I72" s="133">
        <v>1063.1610259846107</v>
      </c>
      <c r="J72" s="161">
        <f t="shared" si="2"/>
        <v>0.34125670711877032</v>
      </c>
      <c r="K72" s="133">
        <f t="shared" si="3"/>
        <v>2121.5229905324359</v>
      </c>
    </row>
    <row r="73" spans="2:11">
      <c r="B73" s="132" t="s">
        <v>49</v>
      </c>
      <c r="C73" s="133"/>
      <c r="D73" s="133">
        <v>835.14400000000001</v>
      </c>
      <c r="E73" s="133">
        <v>241.15919611927043</v>
      </c>
      <c r="F73" s="161" t="s">
        <v>18</v>
      </c>
      <c r="G73" s="134"/>
      <c r="H73" s="161">
        <f t="shared" si="1"/>
        <v>0.4584943705284899</v>
      </c>
      <c r="I73" s="133">
        <v>382.90882258064516</v>
      </c>
      <c r="J73" s="161">
        <f t="shared" si="2"/>
        <v>0.4584943705284899</v>
      </c>
      <c r="K73" s="133">
        <f t="shared" si="3"/>
        <v>382.90882258064516</v>
      </c>
    </row>
    <row r="74" spans="2:11">
      <c r="B74" s="132" t="s">
        <v>50</v>
      </c>
      <c r="C74" s="133">
        <v>180.3</v>
      </c>
      <c r="D74" s="133">
        <v>669.1</v>
      </c>
      <c r="E74" s="133">
        <v>569.24482711132248</v>
      </c>
      <c r="F74" s="161">
        <f>G74/C74</f>
        <v>0.80515252001877546</v>
      </c>
      <c r="G74" s="133">
        <v>145.16899935938523</v>
      </c>
      <c r="H74" s="161">
        <f t="shared" si="1"/>
        <v>0.49547723398428278</v>
      </c>
      <c r="I74" s="133">
        <v>331.52381725888364</v>
      </c>
      <c r="J74" s="161">
        <f t="shared" si="2"/>
        <v>0.5612112274761818</v>
      </c>
      <c r="K74" s="133">
        <f t="shared" si="3"/>
        <v>476.69281661826886</v>
      </c>
    </row>
    <row r="75" spans="2:11">
      <c r="B75" s="132" t="s">
        <v>51</v>
      </c>
      <c r="C75" s="133">
        <v>2133.8380000000002</v>
      </c>
      <c r="D75" s="133">
        <v>245</v>
      </c>
      <c r="E75" s="133">
        <v>3446.0482361711402</v>
      </c>
      <c r="F75" s="161">
        <f>G75/C75</f>
        <v>0.60794400574690577</v>
      </c>
      <c r="G75" s="133">
        <v>1297.254021334966</v>
      </c>
      <c r="H75" s="161">
        <f t="shared" si="1"/>
        <v>0.36174065246536591</v>
      </c>
      <c r="I75" s="133">
        <v>88.626459854014641</v>
      </c>
      <c r="J75" s="161">
        <f t="shared" si="2"/>
        <v>0.58258716280342782</v>
      </c>
      <c r="K75" s="133">
        <f t="shared" si="3"/>
        <v>1385.8804811889806</v>
      </c>
    </row>
    <row r="76" spans="2:11">
      <c r="B76" s="129" t="s">
        <v>52</v>
      </c>
      <c r="C76" s="135">
        <f>SUM(C70:C75)</f>
        <v>8966.8790000000008</v>
      </c>
      <c r="D76" s="135">
        <f>SUM(D70:D75)</f>
        <v>9571.1920000000009</v>
      </c>
      <c r="E76" s="135">
        <v>17048.502629999995</v>
      </c>
      <c r="F76" s="162">
        <f>G76/C76</f>
        <v>0.54440099977357226</v>
      </c>
      <c r="G76" s="135">
        <f>SUM(G70:G75)</f>
        <v>4881.5778924486503</v>
      </c>
      <c r="H76" s="162">
        <f t="shared" si="1"/>
        <v>0.40857145718574434</v>
      </c>
      <c r="I76" s="135">
        <f>SUM(I70:I75)</f>
        <v>3910.5158624445389</v>
      </c>
      <c r="J76" s="162">
        <f t="shared" si="2"/>
        <v>0.4742723099341451</v>
      </c>
      <c r="K76" s="135">
        <f>SUM(K70:K75)</f>
        <v>8792.0937548931888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S49"/>
  <sheetViews>
    <sheetView showGridLines="0" showRowColHeaders="0" showOutlineSymbols="0" zoomScaleNormal="100" workbookViewId="0">
      <selection activeCell="E26" sqref="E26:K26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6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7" t="str">
        <f>Indice!E3</f>
        <v>Agosto 2018</v>
      </c>
    </row>
    <row r="4" spans="1:19" s="7" customFormat="1" ht="20.25" customHeight="1">
      <c r="B4" s="8"/>
      <c r="C4" s="105" t="s">
        <v>69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289" t="s">
        <v>64</v>
      </c>
      <c r="D7" s="12"/>
      <c r="E7" s="13"/>
      <c r="F7" s="290" t="str">
        <f>K3</f>
        <v>Agosto 2018</v>
      </c>
      <c r="G7" s="291"/>
      <c r="H7" s="292" t="s">
        <v>65</v>
      </c>
      <c r="I7" s="292"/>
      <c r="J7" s="292" t="s">
        <v>73</v>
      </c>
      <c r="K7" s="292"/>
      <c r="L7" s="9"/>
    </row>
    <row r="8" spans="1:19" ht="12.75" customHeight="1">
      <c r="A8" s="7"/>
      <c r="B8" s="8"/>
      <c r="C8" s="289"/>
      <c r="D8" s="12"/>
      <c r="E8" s="14"/>
      <c r="F8" s="15" t="s">
        <v>0</v>
      </c>
      <c r="G8" s="25" t="s">
        <v>97</v>
      </c>
      <c r="H8" s="15" t="s">
        <v>0</v>
      </c>
      <c r="I8" s="25" t="str">
        <f>G8</f>
        <v>% 18/17</v>
      </c>
      <c r="J8" s="15" t="s">
        <v>0</v>
      </c>
      <c r="K8" s="25" t="str">
        <f>G8</f>
        <v>% 18/17</v>
      </c>
      <c r="L8" s="16"/>
    </row>
    <row r="9" spans="1:19">
      <c r="A9" s="7"/>
      <c r="B9" s="8"/>
      <c r="C9" s="18"/>
      <c r="D9" s="12"/>
      <c r="E9" s="93" t="s">
        <v>2</v>
      </c>
      <c r="F9" s="94">
        <f>VLOOKUP("Hidráulica",Dat_01!$A$8:$G$29,2,FALSE)/1000</f>
        <v>2110.0834</v>
      </c>
      <c r="G9" s="95">
        <f>VLOOKUP("Hidráulica",Dat_01!$A$8:$G$29,3,FALSE)*100</f>
        <v>94.937719490000006</v>
      </c>
      <c r="H9" s="94">
        <f>VLOOKUP("Hidráulica",Dat_01!$A$8:$G$29,4,FALSE)/1000</f>
        <v>26060.793064832</v>
      </c>
      <c r="I9" s="95">
        <f>VLOOKUP("Hidráulica",Dat_01!$A$8:$G$29,5,FALSE)*100</f>
        <v>80.433883589999994</v>
      </c>
      <c r="J9" s="94">
        <f>VLOOKUP("Hidráulica",Dat_01!$A$8:$G$29,6,FALSE)/1000</f>
        <v>30063.284520474001</v>
      </c>
      <c r="K9" s="95">
        <f>VLOOKUP("Hidráulica",Dat_01!$A$8:$G$29,7,FALSE)*100</f>
        <v>42.659747959999997</v>
      </c>
      <c r="L9" s="19"/>
      <c r="M9" s="204"/>
      <c r="N9" s="204"/>
      <c r="O9" s="205"/>
      <c r="P9" s="204"/>
      <c r="Q9" s="205"/>
      <c r="R9" s="204"/>
      <c r="S9" s="205"/>
    </row>
    <row r="10" spans="1:19">
      <c r="A10" s="7"/>
      <c r="B10" s="8"/>
      <c r="C10" s="18"/>
      <c r="D10" s="12"/>
      <c r="E10" s="93" t="s">
        <v>85</v>
      </c>
      <c r="F10" s="94">
        <f>VLOOKUP("Turbinación bombeo",Dat_01!$A$8:$G$29,2,FALSE)/1000</f>
        <v>50.643900000000002</v>
      </c>
      <c r="G10" s="95">
        <f>VLOOKUP("Turbinación bombeo",Dat_01!$A$8:$G$29,3,FALSE)*100</f>
        <v>-54.864916500000007</v>
      </c>
      <c r="H10" s="94">
        <f>VLOOKUP("Turbinación bombeo",Dat_01!$A$8:$G$29,4,FALSE)/1000</f>
        <v>1467.420549168</v>
      </c>
      <c r="I10" s="95">
        <f>VLOOKUP("Turbinación bombeo",Dat_01!$A$8:$G$29,5,FALSE)*100</f>
        <v>0.16562012000000001</v>
      </c>
      <c r="J10" s="94">
        <f>VLOOKUP("Turbinación bombeo",Dat_01!$A$8:$G$29,6,FALSE)/1000</f>
        <v>2251.3907435260003</v>
      </c>
      <c r="K10" s="95">
        <f>VLOOKUP("Turbinación bombeo",Dat_01!$A$8:$G$29,7,FALSE)*100</f>
        <v>0.65276750000000006</v>
      </c>
      <c r="L10" s="19"/>
      <c r="M10" s="204"/>
      <c r="N10" s="204"/>
      <c r="O10" s="205"/>
      <c r="P10" s="204"/>
      <c r="Q10" s="205"/>
      <c r="R10" s="204"/>
      <c r="S10" s="205"/>
    </row>
    <row r="11" spans="1:19">
      <c r="A11" s="7"/>
      <c r="B11" s="8"/>
      <c r="C11" s="11"/>
      <c r="D11" s="12"/>
      <c r="E11" s="93" t="s">
        <v>3</v>
      </c>
      <c r="F11" s="94">
        <f>VLOOKUP("Nuclear",Dat_01!$A$8:$G$29,2,FALSE)/1000</f>
        <v>5140.7584999999999</v>
      </c>
      <c r="G11" s="95">
        <f>VLOOKUP("Nuclear",Dat_01!$A$8:$G$29,3,FALSE)*100</f>
        <v>1.2169121000000001</v>
      </c>
      <c r="H11" s="94">
        <f>VLOOKUP("Nuclear",Dat_01!$A$8:$G$29,4,FALSE)/1000</f>
        <v>34922.402263999997</v>
      </c>
      <c r="I11" s="95">
        <f>VLOOKUP("Nuclear",Dat_01!$A$8:$G$29,5,FALSE)*100</f>
        <v>-7.7950802099999992</v>
      </c>
      <c r="J11" s="94">
        <f>VLOOKUP("Nuclear",Dat_01!$A$8:$G$29,6,FALSE)/1000</f>
        <v>52587.192719999999</v>
      </c>
      <c r="K11" s="95">
        <f>VLOOKUP("Nuclear",Dat_01!$A$8:$G$29,7,FALSE)*100</f>
        <v>-6.20545539</v>
      </c>
      <c r="L11" s="19"/>
      <c r="M11" s="204"/>
      <c r="N11" s="204"/>
      <c r="O11" s="205"/>
      <c r="P11" s="204"/>
      <c r="Q11" s="205"/>
      <c r="R11" s="204"/>
      <c r="S11" s="205"/>
    </row>
    <row r="12" spans="1:19">
      <c r="A12" s="7"/>
      <c r="B12" s="8"/>
      <c r="C12" s="11"/>
      <c r="D12" s="12"/>
      <c r="E12" s="93" t="s">
        <v>4</v>
      </c>
      <c r="F12" s="94">
        <f>VLOOKUP("Carbón",Dat_01!$A$8:$G$29,2,FALSE)/1000</f>
        <v>3524.2485000000001</v>
      </c>
      <c r="G12" s="95">
        <f>VLOOKUP("Carbón",Dat_01!$A$8:$G$29,3,FALSE)*100</f>
        <v>18.964618609999999</v>
      </c>
      <c r="H12" s="94">
        <f>VLOOKUP("Carbón",Dat_01!$A$8:$G$29,4,FALSE)/1000</f>
        <v>20720.435391999999</v>
      </c>
      <c r="I12" s="95">
        <f>VLOOKUP("Carbón",Dat_01!$A$8:$G$29,5,FALSE)*100</f>
        <v>-22.991232</v>
      </c>
      <c r="J12" s="94">
        <f>VLOOKUP("Carbón",Dat_01!$A$8:$G$29,6,FALSE)/1000</f>
        <v>36235.956230999996</v>
      </c>
      <c r="K12" s="95">
        <f>VLOOKUP("Carbón",Dat_01!$A$8:$G$29,7,FALSE)*100</f>
        <v>-19.385589370000002</v>
      </c>
      <c r="L12" s="19"/>
      <c r="M12" s="204"/>
      <c r="N12" s="204"/>
      <c r="O12" s="205"/>
      <c r="P12" s="204"/>
      <c r="Q12" s="205"/>
      <c r="R12" s="204"/>
      <c r="S12" s="205"/>
    </row>
    <row r="13" spans="1:19">
      <c r="A13" s="7"/>
      <c r="B13" s="8"/>
      <c r="C13" s="20"/>
      <c r="D13" s="12"/>
      <c r="E13" s="93" t="s">
        <v>86</v>
      </c>
      <c r="F13" s="94">
        <f>VLOOKUP("Ciclo combinado",Dat_01!$A$8:$G$29,2,FALSE)/1000</f>
        <v>2703.9532000000004</v>
      </c>
      <c r="G13" s="95">
        <f>VLOOKUP("Ciclo combinado",Dat_01!$A$8:$G$29,3,FALSE)*100</f>
        <v>-21.724737899999997</v>
      </c>
      <c r="H13" s="94">
        <f>VLOOKUP("Ciclo combinado",Dat_01!$A$8:$G$29,4,FALSE)/1000</f>
        <v>15735.908615</v>
      </c>
      <c r="I13" s="95">
        <f>VLOOKUP("Ciclo combinado",Dat_01!$A$8:$G$29,5,FALSE)*100</f>
        <v>-17.29619503</v>
      </c>
      <c r="J13" s="94">
        <f>VLOOKUP("Ciclo combinado",Dat_01!$A$8:$G$29,6,FALSE)/1000</f>
        <v>30357.069015999998</v>
      </c>
      <c r="K13" s="95">
        <f>VLOOKUP("Ciclo combinado",Dat_01!$A$8:$G$29,7,FALSE)*100</f>
        <v>-2.5087005200000001</v>
      </c>
      <c r="L13" s="19"/>
      <c r="M13" s="204"/>
      <c r="N13" s="204"/>
      <c r="O13" s="205"/>
      <c r="P13" s="204"/>
      <c r="Q13" s="205"/>
      <c r="R13" s="204"/>
      <c r="S13" s="205"/>
    </row>
    <row r="14" spans="1:19" ht="12.75" customHeight="1">
      <c r="A14" s="7"/>
      <c r="B14" s="8"/>
      <c r="C14" s="11"/>
      <c r="D14" s="12"/>
      <c r="E14" s="93" t="s">
        <v>5</v>
      </c>
      <c r="F14" s="94">
        <f>VLOOKUP("Eólica",Dat_01!$A$8:$G$29,2,FALSE)/1000</f>
        <v>3056.7289999999998</v>
      </c>
      <c r="G14" s="95">
        <f>VLOOKUP("Eólica",Dat_01!$A$8:$G$29,3,FALSE)*100</f>
        <v>-7.2696085400000001</v>
      </c>
      <c r="H14" s="94">
        <f>VLOOKUP("Eólica",Dat_01!$A$8:$G$29,4,FALSE)/1000</f>
        <v>33336.891817000003</v>
      </c>
      <c r="I14" s="95">
        <f>VLOOKUP("Eólica",Dat_01!$A$8:$G$29,5,FALSE)*100</f>
        <v>4.8552184</v>
      </c>
      <c r="J14" s="94">
        <f>VLOOKUP("Eólica",Dat_01!$A$8:$G$29,6,FALSE)/1000</f>
        <v>49052.064007000001</v>
      </c>
      <c r="K14" s="95">
        <f>VLOOKUP("Eólica",Dat_01!$A$8:$G$29,7,FALSE)*100</f>
        <v>13.03205268</v>
      </c>
      <c r="L14" s="19"/>
      <c r="M14" s="204"/>
      <c r="N14" s="204"/>
      <c r="O14" s="205"/>
      <c r="P14" s="204"/>
      <c r="Q14" s="205"/>
      <c r="R14" s="204"/>
      <c r="S14" s="205"/>
    </row>
    <row r="15" spans="1:19" ht="12.75" customHeight="1">
      <c r="A15" s="7"/>
      <c r="B15" s="8"/>
      <c r="C15" s="11"/>
      <c r="D15" s="12"/>
      <c r="E15" s="93" t="s">
        <v>6</v>
      </c>
      <c r="F15" s="94">
        <f>VLOOKUP("Solar fotovoltaica",Dat_01!$A$8:$G$29,2,FALSE)/1000</f>
        <v>790.10954743100001</v>
      </c>
      <c r="G15" s="95">
        <f>VLOOKUP("Solar fotovoltaica",Dat_01!$A$8:$G$29,3,FALSE)*100</f>
        <v>1.31521193</v>
      </c>
      <c r="H15" s="94">
        <f>VLOOKUP("Solar fotovoltaica",Dat_01!$A$8:$G$29,4,FALSE)/1000</f>
        <v>5354.2964744309993</v>
      </c>
      <c r="I15" s="95">
        <f>VLOOKUP("Solar fotovoltaica",Dat_01!$A$8:$G$29,5,FALSE)*100</f>
        <v>-5.7254190700000001</v>
      </c>
      <c r="J15" s="94">
        <f>VLOOKUP("Solar fotovoltaica",Dat_01!$A$8:$G$29,6,FALSE)/1000</f>
        <v>7674.8972324309998</v>
      </c>
      <c r="K15" s="95">
        <f>VLOOKUP("Solar fotovoltaica",Dat_01!$A$8:$G$29,7,FALSE)*100</f>
        <v>-0.66741578999999995</v>
      </c>
      <c r="L15" s="19"/>
      <c r="M15" s="204"/>
      <c r="N15" s="204"/>
      <c r="O15" s="205"/>
      <c r="P15" s="204"/>
      <c r="Q15" s="205"/>
      <c r="R15" s="204"/>
      <c r="S15" s="205"/>
    </row>
    <row r="16" spans="1:19">
      <c r="A16" s="7"/>
      <c r="B16" s="8"/>
      <c r="C16" s="11"/>
      <c r="D16" s="12"/>
      <c r="E16" s="93" t="s">
        <v>7</v>
      </c>
      <c r="F16" s="94">
        <f>VLOOKUP("Solar térmica",Dat_01!$A$8:$G$29,2,FALSE)/1000</f>
        <v>743.08135256899993</v>
      </c>
      <c r="G16" s="95">
        <f>VLOOKUP("Solar térmica",Dat_01!$A$8:$G$29,3,FALSE)*100</f>
        <v>7.3142121300000005</v>
      </c>
      <c r="H16" s="94">
        <f>VLOOKUP("Solar térmica",Dat_01!$A$8:$G$29,4,FALSE)/1000</f>
        <v>3532.5649405689996</v>
      </c>
      <c r="I16" s="95">
        <f>VLOOKUP("Solar térmica",Dat_01!$A$8:$G$29,5,FALSE)*100</f>
        <v>-11.446093250000001</v>
      </c>
      <c r="J16" s="94">
        <f>VLOOKUP("Solar térmica",Dat_01!$A$8:$G$29,6,FALSE)/1000</f>
        <v>4891.3141955689998</v>
      </c>
      <c r="K16" s="95">
        <f>VLOOKUP("Solar térmica",Dat_01!$A$8:$G$29,7,FALSE)*100</f>
        <v>-4.6031641099999998</v>
      </c>
      <c r="L16" s="19"/>
      <c r="M16" s="204"/>
      <c r="N16" s="204"/>
      <c r="O16" s="205"/>
      <c r="P16" s="204"/>
      <c r="Q16" s="205"/>
      <c r="R16" s="204"/>
      <c r="S16" s="205"/>
    </row>
    <row r="17" spans="1:19">
      <c r="A17" s="7"/>
      <c r="B17" s="8"/>
      <c r="C17" s="11"/>
      <c r="D17" s="12"/>
      <c r="E17" s="93" t="s">
        <v>87</v>
      </c>
      <c r="F17" s="94">
        <f>VLOOKUP("Otras renovables",Dat_01!$A$8:$G$29,2,FALSE)/1000</f>
        <v>321.39170000000001</v>
      </c>
      <c r="G17" s="95">
        <f>VLOOKUP("Otras renovables",Dat_01!$A$8:$G$29,3,FALSE)*100</f>
        <v>1.9408694800000001</v>
      </c>
      <c r="H17" s="94">
        <f>VLOOKUP("Otras renovables",Dat_01!$A$8:$G$29,4,FALSE)/1000</f>
        <v>2343.1683629999998</v>
      </c>
      <c r="I17" s="95">
        <f>VLOOKUP("Otras renovables",Dat_01!$A$8:$G$29,5,FALSE)*100</f>
        <v>-0.83264737</v>
      </c>
      <c r="J17" s="94">
        <f>VLOOKUP("Otras renovables",Dat_01!$A$8:$G$29,6,FALSE)/1000</f>
        <v>3579.0756800000004</v>
      </c>
      <c r="K17" s="95">
        <f>VLOOKUP("Otras renovables",Dat_01!$A$8:$G$29,7,FALSE)*100</f>
        <v>-0.15471839000000001</v>
      </c>
      <c r="L17" s="19"/>
      <c r="M17" s="204"/>
      <c r="N17" s="204"/>
      <c r="O17" s="205"/>
      <c r="P17" s="204"/>
      <c r="Q17" s="205"/>
      <c r="R17" s="204"/>
      <c r="S17" s="205"/>
    </row>
    <row r="18" spans="1:19">
      <c r="A18" s="7"/>
      <c r="B18" s="8"/>
      <c r="C18" s="11"/>
      <c r="D18" s="12"/>
      <c r="E18" s="93" t="s">
        <v>9</v>
      </c>
      <c r="F18" s="94">
        <f>VLOOKUP("Cogeneración",Dat_01!$A$8:$G$29,2,FALSE)/1000</f>
        <v>2367.3085000000001</v>
      </c>
      <c r="G18" s="95">
        <f>VLOOKUP("Cogeneración",Dat_01!$A$8:$G$29,3,FALSE)*100</f>
        <v>4.8568202999999999</v>
      </c>
      <c r="H18" s="94">
        <f>VLOOKUP("Cogeneración",Dat_01!$A$8:$G$29,4,FALSE)/1000</f>
        <v>19041.204431000002</v>
      </c>
      <c r="I18" s="95">
        <f>VLOOKUP("Cogeneración",Dat_01!$A$8:$G$29,5,FALSE)*100</f>
        <v>2.4887263600000002</v>
      </c>
      <c r="J18" s="94">
        <f>VLOOKUP("Cogeneración",Dat_01!$A$8:$G$29,6,FALSE)/1000</f>
        <v>28637.672837000002</v>
      </c>
      <c r="K18" s="95">
        <f>VLOOKUP("Cogeneración",Dat_01!$A$8:$G$29,7,FALSE)*100</f>
        <v>3.5575687100000004</v>
      </c>
      <c r="L18" s="19"/>
      <c r="M18" s="204"/>
      <c r="N18" s="204"/>
      <c r="O18" s="205"/>
      <c r="P18" s="204"/>
      <c r="Q18" s="205"/>
      <c r="R18" s="204"/>
      <c r="S18" s="205"/>
    </row>
    <row r="19" spans="1:19">
      <c r="A19" s="7"/>
      <c r="B19" s="8"/>
      <c r="C19" s="11"/>
      <c r="D19" s="12"/>
      <c r="E19" s="93" t="s">
        <v>72</v>
      </c>
      <c r="F19" s="94">
        <f>VLOOKUP("Residuos no renovables",Dat_01!$A$8:$G$29,2,FALSE)/1000</f>
        <v>200.26025000000001</v>
      </c>
      <c r="G19" s="95">
        <f>VLOOKUP("Residuos no renovables",Dat_01!$A$8:$G$29,3,FALSE)*100</f>
        <v>-6.9573063500000005</v>
      </c>
      <c r="H19" s="94">
        <f>VLOOKUP("Residuos no renovables",Dat_01!$A$8:$G$29,4,FALSE)/1000</f>
        <v>1527.9150155</v>
      </c>
      <c r="I19" s="95">
        <f>VLOOKUP("Residuos no renovables",Dat_01!$A$8:$G$29,5,FALSE)*100</f>
        <v>-4.0464801799999996</v>
      </c>
      <c r="J19" s="94">
        <f>VLOOKUP("Residuos no renovables",Dat_01!$A$8:$G$29,6,FALSE)/1000</f>
        <v>2394.6797980000001</v>
      </c>
      <c r="K19" s="95">
        <f>VLOOKUP("Residuos no renovables",Dat_01!$A$8:$G$29,7,FALSE)*100</f>
        <v>-2.9709757100000003</v>
      </c>
      <c r="L19" s="19"/>
      <c r="M19" s="204"/>
      <c r="N19" s="204"/>
      <c r="O19" s="205"/>
      <c r="P19" s="204"/>
      <c r="Q19" s="205"/>
      <c r="R19" s="204"/>
      <c r="S19" s="205"/>
    </row>
    <row r="20" spans="1:19">
      <c r="A20" s="7"/>
      <c r="B20" s="8"/>
      <c r="C20" s="179">
        <f>ABS(F20)</f>
        <v>66.838449999999995</v>
      </c>
      <c r="D20" s="12"/>
      <c r="E20" s="93" t="s">
        <v>84</v>
      </c>
      <c r="F20" s="94">
        <f>VLOOKUP("Residuos renovables",Dat_01!$A$8:$G$29,2,FALSE)/1000</f>
        <v>66.838449999999995</v>
      </c>
      <c r="G20" s="95">
        <f>VLOOKUP("Residuos renovables",Dat_01!$A$8:$G$29,3,FALSE)*100</f>
        <v>1.7309037999999999</v>
      </c>
      <c r="H20" s="94">
        <f>VLOOKUP("Residuos renovables",Dat_01!$A$8:$G$29,4,FALSE)/1000</f>
        <v>471.0958195</v>
      </c>
      <c r="I20" s="95">
        <f>VLOOKUP("Residuos renovables",Dat_01!$A$8:$G$29,5,FALSE)*100</f>
        <v>1.73491817</v>
      </c>
      <c r="J20" s="94">
        <f>VLOOKUP("Residuos renovables",Dat_01!$A$8:$G$29,6,FALSE)/1000</f>
        <v>736.18418099999997</v>
      </c>
      <c r="K20" s="95">
        <f>VLOOKUP("Residuos renovables",Dat_01!$A$8:$G$29,7,FALSE)*100</f>
        <v>2.2747034400000001</v>
      </c>
      <c r="L20" s="19"/>
      <c r="M20" s="204"/>
      <c r="N20" s="204"/>
      <c r="O20" s="205"/>
      <c r="P20" s="204"/>
      <c r="Q20" s="205"/>
      <c r="R20" s="204"/>
      <c r="S20" s="205"/>
    </row>
    <row r="21" spans="1:19">
      <c r="A21" s="7"/>
      <c r="B21" s="8"/>
      <c r="C21" s="11"/>
      <c r="D21" s="12"/>
      <c r="E21" s="96" t="s">
        <v>10</v>
      </c>
      <c r="F21" s="97">
        <f>SUM(F9:F20)</f>
        <v>21075.406299999995</v>
      </c>
      <c r="G21" s="98">
        <f>VLOOKUP("Generación",Dat_01!$A$8:$G$29,3,FALSE)*100</f>
        <v>3.7534782500000001</v>
      </c>
      <c r="H21" s="97">
        <f>SUM(H9:H20)</f>
        <v>164514.096746</v>
      </c>
      <c r="I21" s="98">
        <f>VLOOKUP("Generación",Dat_01!$A$8:$G$29,5,FALSE)*100</f>
        <v>0.20620002000000001</v>
      </c>
      <c r="J21" s="97">
        <f>SUM(J9:J20)</f>
        <v>248460.78116199997</v>
      </c>
      <c r="K21" s="98">
        <f>VLOOKUP("Generación",Dat_01!$A$8:$G$29,7,FALSE)*100</f>
        <v>0.94236527000000003</v>
      </c>
      <c r="L21" s="19"/>
      <c r="M21" s="204"/>
      <c r="N21" s="204"/>
      <c r="O21" s="205"/>
      <c r="P21" s="204"/>
      <c r="Q21" s="205"/>
      <c r="R21" s="204"/>
      <c r="S21" s="205"/>
    </row>
    <row r="22" spans="1:19">
      <c r="A22" s="7"/>
      <c r="B22" s="8"/>
      <c r="C22" s="11"/>
      <c r="D22" s="12"/>
      <c r="E22" s="99" t="s">
        <v>12</v>
      </c>
      <c r="F22" s="94">
        <f>VLOOKUP("Consumo de bombeo",Dat_01!$A$8:$G$29,2,FALSE)/1000</f>
        <v>-73.144499999999994</v>
      </c>
      <c r="G22" s="95">
        <f>VLOOKUP("Consumo de bombeo",Dat_01!$A$8:$G$29,3,FALSE)*100</f>
        <v>-64.305760469999996</v>
      </c>
      <c r="H22" s="94">
        <f>VLOOKUP("Consumo de bombeo",Dat_01!$A$8:$G$29,4,FALSE)/1000</f>
        <v>-2366.8846706210002</v>
      </c>
      <c r="I22" s="95">
        <f>VLOOKUP("Consumo de bombeo",Dat_01!$A$8:$G$29,5,FALSE)*100</f>
        <v>-1.1935322900000001</v>
      </c>
      <c r="J22" s="94">
        <f>VLOOKUP("Consumo de bombeo",Dat_01!$A$8:$G$29,6,FALSE)/1000</f>
        <v>-3578.9902146210002</v>
      </c>
      <c r="K22" s="95">
        <f>VLOOKUP("Consumo de bombeo",Dat_01!$A$8:$G$29,7,FALSE)*100</f>
        <v>3.88612863</v>
      </c>
      <c r="L22" s="19"/>
      <c r="M22" s="204"/>
      <c r="N22" s="204"/>
      <c r="O22" s="205"/>
      <c r="P22" s="204"/>
      <c r="Q22" s="205"/>
      <c r="R22" s="204"/>
      <c r="S22" s="205"/>
    </row>
    <row r="23" spans="1:19">
      <c r="A23" s="7"/>
      <c r="B23" s="8"/>
      <c r="C23" s="11"/>
      <c r="D23" s="12"/>
      <c r="E23" s="99" t="s">
        <v>77</v>
      </c>
      <c r="F23" s="94">
        <f>VLOOKUP("Enlace Península-Baleares",Dat_01!$A$8:$G$29,2,FALSE)/1000</f>
        <v>-153.37179999999998</v>
      </c>
      <c r="G23" s="95">
        <f>VLOOKUP("Enlace Península-Baleares",Dat_01!$A$8:$G$29,3,FALSE)*100</f>
        <v>-8.0924909399999994</v>
      </c>
      <c r="H23" s="94">
        <f>VLOOKUP("Enlace Península-Baleares",Dat_01!$A$8:$G$29,4,FALSE)/1000</f>
        <v>-856.01375199999995</v>
      </c>
      <c r="I23" s="95">
        <f>VLOOKUP("Enlace Península-Baleares",Dat_01!$A$8:$G$29,5,FALSE)*100</f>
        <v>5.9440112000000003</v>
      </c>
      <c r="J23" s="94">
        <f>VLOOKUP("Enlace Península-Baleares",Dat_01!$A$8:$G$29,6,FALSE)/1000</f>
        <v>-1227.3334750000001</v>
      </c>
      <c r="K23" s="95">
        <f>VLOOKUP("Enlace Península-Baleares",Dat_01!$A$8:$G$29,7,FALSE)*100</f>
        <v>6.5173061000000008</v>
      </c>
      <c r="L23" s="19"/>
      <c r="M23" s="204"/>
      <c r="N23" s="204"/>
      <c r="O23" s="205"/>
      <c r="P23" s="204"/>
      <c r="Q23" s="205"/>
      <c r="R23" s="204"/>
      <c r="S23" s="205"/>
    </row>
    <row r="24" spans="1:19">
      <c r="A24" s="7"/>
      <c r="B24" s="8"/>
      <c r="C24" s="11"/>
      <c r="D24" s="12"/>
      <c r="E24" s="99" t="s">
        <v>78</v>
      </c>
      <c r="F24" s="100">
        <f>VLOOKUP("Saldos intercambios internacionales",Dat_01!$A$8:$G$29,2,FALSE)/1000</f>
        <v>1234.3241</v>
      </c>
      <c r="G24" s="101">
        <f>VLOOKUP("Saldos intercambios internacionales",Dat_01!$A$8:$G$29,3,FALSE)*100</f>
        <v>-32.473724160000003</v>
      </c>
      <c r="H24" s="100">
        <f>VLOOKUP("Saldos intercambios internacionales",Dat_01!$A$8:$G$29,4,FALSE)/1000</f>
        <v>9166.7644540000001</v>
      </c>
      <c r="I24" s="101">
        <f>VLOOKUP("Saldos intercambios internacionales",Dat_01!$A$8:$G$29,5,FALSE)*100</f>
        <v>12.024138180000001</v>
      </c>
      <c r="J24" s="100">
        <f>VLOOKUP("Saldos intercambios internacionales",Dat_01!$A$8:$G$29,6,FALSE)/1000</f>
        <v>10152.91042</v>
      </c>
      <c r="K24" s="101">
        <f>VLOOKUP("Saldos intercambios internacionales",Dat_01!$A$8:$G$29,7,FALSE)*100</f>
        <v>-0.13194</v>
      </c>
      <c r="L24" s="19"/>
      <c r="M24" s="204"/>
      <c r="N24" s="204"/>
      <c r="O24" s="205"/>
      <c r="P24" s="204"/>
      <c r="Q24" s="205"/>
      <c r="R24" s="204"/>
      <c r="S24" s="205"/>
    </row>
    <row r="25" spans="1:19" ht="16.149999999999999" customHeight="1">
      <c r="E25" s="102" t="s">
        <v>13</v>
      </c>
      <c r="F25" s="103">
        <f>VLOOKUP("Demanda transporte (b.c.)",Dat_01!$A$8:$G$29,2,FALSE)/1000</f>
        <v>22083.214100000001</v>
      </c>
      <c r="G25" s="104">
        <f>VLOOKUP("Demanda transporte (b.c.)",Dat_01!$A$8:$G$29,3,FALSE)*100</f>
        <v>1.4430078400000002</v>
      </c>
      <c r="H25" s="103">
        <f>VLOOKUP("Demanda transporte (b.c.)",Dat_01!$A$8:$G$29,4,FALSE)/1000</f>
        <v>170457.962777379</v>
      </c>
      <c r="I25" s="104">
        <f>VLOOKUP("Demanda transporte (b.c.)",Dat_01!$A$8:$G$29,5,FALSE)*100</f>
        <v>0.77030609000000005</v>
      </c>
      <c r="J25" s="103">
        <f>VLOOKUP("Demanda transporte (b.c.)",Dat_01!$A$8:$G$29,6,FALSE)/1000</f>
        <v>253807.367892379</v>
      </c>
      <c r="K25" s="104">
        <f>VLOOKUP("Demanda transporte (b.c.)",Dat_01!$A$8:$G$29,7,FALSE)*100</f>
        <v>0.83316436000000005</v>
      </c>
      <c r="L25" s="19"/>
      <c r="M25" s="204"/>
      <c r="N25" s="204"/>
      <c r="O25" s="205"/>
      <c r="P25" s="204"/>
      <c r="Q25" s="205"/>
      <c r="R25" s="204"/>
      <c r="S25" s="205"/>
    </row>
    <row r="26" spans="1:19" ht="16.149999999999999" customHeight="1">
      <c r="E26" s="294" t="s">
        <v>88</v>
      </c>
      <c r="F26" s="294"/>
      <c r="G26" s="294"/>
      <c r="H26" s="294"/>
      <c r="I26" s="294"/>
      <c r="J26" s="294"/>
      <c r="K26" s="294"/>
      <c r="L26" s="19"/>
    </row>
    <row r="27" spans="1:19" ht="16.899999999999999" customHeight="1">
      <c r="E27" s="295" t="s">
        <v>54</v>
      </c>
      <c r="F27" s="295"/>
      <c r="G27" s="295"/>
      <c r="H27" s="295"/>
      <c r="I27" s="295"/>
      <c r="J27" s="295"/>
      <c r="K27" s="295"/>
      <c r="L27" s="16"/>
      <c r="M27" s="295"/>
      <c r="N27" s="295"/>
      <c r="O27" s="295"/>
      <c r="P27" s="295"/>
      <c r="Q27" s="295"/>
      <c r="R27" s="295"/>
      <c r="S27" s="295"/>
    </row>
    <row r="28" spans="1:19" ht="12.75" customHeight="1">
      <c r="E28" s="295" t="s">
        <v>74</v>
      </c>
      <c r="F28" s="295"/>
      <c r="G28" s="295"/>
      <c r="H28" s="295"/>
      <c r="I28" s="295"/>
      <c r="J28" s="295"/>
      <c r="K28" s="295"/>
      <c r="L28" s="16"/>
    </row>
    <row r="29" spans="1:19" ht="12.75" customHeight="1">
      <c r="E29" s="293" t="s">
        <v>89</v>
      </c>
      <c r="F29" s="293"/>
      <c r="G29" s="293"/>
      <c r="H29" s="293"/>
      <c r="I29" s="293"/>
      <c r="J29" s="293"/>
      <c r="K29" s="293"/>
      <c r="L29" s="16"/>
    </row>
    <row r="30" spans="1:19" ht="12.75" customHeight="1">
      <c r="E30" s="295" t="s">
        <v>90</v>
      </c>
      <c r="F30" s="295"/>
      <c r="G30" s="295"/>
      <c r="H30" s="295"/>
      <c r="I30" s="295"/>
      <c r="J30" s="295"/>
      <c r="K30" s="295"/>
      <c r="L30" s="16"/>
    </row>
    <row r="31" spans="1:19" ht="12.75" customHeight="1">
      <c r="E31" s="295" t="s">
        <v>91</v>
      </c>
      <c r="F31" s="295"/>
      <c r="G31" s="295"/>
      <c r="H31" s="295"/>
      <c r="I31" s="295"/>
      <c r="J31" s="295"/>
      <c r="K31" s="295"/>
      <c r="L31" s="16"/>
    </row>
    <row r="32" spans="1:19" ht="12.75" customHeight="1">
      <c r="E32" s="293" t="s">
        <v>76</v>
      </c>
      <c r="F32" s="293"/>
      <c r="G32" s="293"/>
      <c r="H32" s="293"/>
      <c r="I32" s="293"/>
      <c r="J32" s="293"/>
      <c r="K32" s="293"/>
      <c r="L32" s="16"/>
    </row>
    <row r="33" spans="5:11" ht="25.5" customHeight="1">
      <c r="E33" s="293" t="s">
        <v>81</v>
      </c>
      <c r="F33" s="293"/>
      <c r="G33" s="293"/>
      <c r="H33" s="293"/>
      <c r="I33" s="293"/>
      <c r="J33" s="293"/>
      <c r="K33" s="293"/>
    </row>
    <row r="34" spans="5:11" ht="12.75" customHeight="1">
      <c r="E34" s="293"/>
      <c r="F34" s="293"/>
      <c r="G34" s="293"/>
      <c r="H34" s="293"/>
      <c r="I34" s="293"/>
      <c r="J34" s="293"/>
      <c r="K34" s="293"/>
    </row>
    <row r="35" spans="5:11">
      <c r="E35" s="21"/>
      <c r="F35" s="21"/>
    </row>
    <row r="36" spans="5:11">
      <c r="E36" s="21"/>
      <c r="F36" s="21"/>
    </row>
    <row r="37" spans="5:11">
      <c r="E37" s="21"/>
      <c r="F37" s="21"/>
    </row>
    <row r="38" spans="5:11">
      <c r="E38" s="21"/>
      <c r="F38" s="21"/>
    </row>
    <row r="39" spans="5:11">
      <c r="F39" s="21"/>
    </row>
    <row r="40" spans="5:11">
      <c r="E40" s="21"/>
      <c r="F40" s="23"/>
    </row>
    <row r="41" spans="5:11">
      <c r="E41" s="21"/>
      <c r="F41" s="21"/>
    </row>
    <row r="42" spans="5:11">
      <c r="E42" s="21"/>
      <c r="F42" s="21"/>
    </row>
    <row r="43" spans="5:11">
      <c r="E43" s="21"/>
      <c r="F43" s="21"/>
    </row>
    <row r="44" spans="5:11">
      <c r="E44" s="21"/>
      <c r="F44" s="21"/>
    </row>
    <row r="45" spans="5:11">
      <c r="E45" s="21"/>
      <c r="F45" s="21"/>
    </row>
    <row r="46" spans="5:11">
      <c r="E46" s="21"/>
      <c r="F46" s="21"/>
    </row>
    <row r="47" spans="5:11">
      <c r="E47" s="21"/>
      <c r="F47" s="21"/>
    </row>
    <row r="49" spans="1:19" s="22" customFormat="1">
      <c r="A49" s="5"/>
      <c r="B49" s="5"/>
      <c r="C49" s="5"/>
      <c r="D49" s="5"/>
      <c r="E49" s="17"/>
      <c r="F49" s="17"/>
      <c r="G49" s="17"/>
      <c r="I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14">
    <mergeCell ref="E34:K34"/>
    <mergeCell ref="M27:S27"/>
    <mergeCell ref="E33:K33"/>
    <mergeCell ref="E27:K27"/>
    <mergeCell ref="E28:K28"/>
    <mergeCell ref="E29:K29"/>
    <mergeCell ref="E30:K30"/>
    <mergeCell ref="E31:K31"/>
    <mergeCell ref="C7:C8"/>
    <mergeCell ref="F7:G7"/>
    <mergeCell ref="H7:I7"/>
    <mergeCell ref="J7:K7"/>
    <mergeCell ref="E32:K32"/>
    <mergeCell ref="E26:K26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G21 I2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40"/>
  <sheetViews>
    <sheetView showGridLines="0" showRowColHeaders="0" zoomScaleNormal="100" workbookViewId="0">
      <selection activeCell="I14" sqref="I14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6" s="26" customFormat="1" ht="0.75" customHeight="1"/>
    <row r="2" spans="2:6" s="26" customFormat="1" ht="21" customHeight="1">
      <c r="E2" s="106" t="s">
        <v>1</v>
      </c>
    </row>
    <row r="3" spans="2:6" s="26" customFormat="1" ht="15" customHeight="1">
      <c r="E3" s="107" t="str">
        <f>Indice!E3</f>
        <v>Agosto 2018</v>
      </c>
    </row>
    <row r="4" spans="2:6" s="29" customFormat="1" ht="20.25" customHeight="1">
      <c r="B4" s="28"/>
      <c r="C4" s="105" t="s">
        <v>69</v>
      </c>
    </row>
    <row r="5" spans="2:6" s="29" customFormat="1" ht="12.75" customHeight="1">
      <c r="B5" s="28"/>
      <c r="C5" s="30"/>
    </row>
    <row r="6" spans="2:6" s="29" customFormat="1" ht="13.5" customHeight="1">
      <c r="B6" s="28"/>
      <c r="C6" s="31"/>
      <c r="D6" s="32"/>
      <c r="E6" s="32"/>
    </row>
    <row r="7" spans="2:6" s="29" customFormat="1" ht="12.75" customHeight="1">
      <c r="B7" s="28"/>
      <c r="C7" s="296" t="s">
        <v>58</v>
      </c>
      <c r="D7" s="32"/>
      <c r="E7" s="39"/>
    </row>
    <row r="8" spans="2:6" s="29" customFormat="1" ht="12.75" customHeight="1">
      <c r="B8" s="28"/>
      <c r="C8" s="296"/>
      <c r="D8" s="32"/>
      <c r="E8" s="39"/>
      <c r="F8" s="33"/>
    </row>
    <row r="9" spans="2:6" s="29" customFormat="1" ht="12.75" customHeight="1">
      <c r="B9" s="28"/>
      <c r="C9" s="141"/>
      <c r="D9" s="32"/>
      <c r="E9" s="39"/>
      <c r="F9" s="33"/>
    </row>
    <row r="10" spans="2:6" s="29" customFormat="1" ht="12.75" customHeight="1">
      <c r="B10" s="28"/>
      <c r="C10" s="139"/>
      <c r="D10" s="32"/>
      <c r="E10" s="39"/>
      <c r="F10" s="33"/>
    </row>
    <row r="11" spans="2:6" s="29" customFormat="1" ht="12.75" customHeight="1">
      <c r="B11" s="28"/>
      <c r="C11" s="34"/>
      <c r="D11" s="32"/>
      <c r="E11" s="39"/>
      <c r="F11" s="33"/>
    </row>
    <row r="12" spans="2:6" s="29" customFormat="1" ht="12.75" customHeight="1">
      <c r="B12" s="28"/>
      <c r="D12" s="32"/>
      <c r="E12" s="32"/>
      <c r="F12" s="33"/>
    </row>
    <row r="13" spans="2:6" s="29" customFormat="1" ht="12.75" customHeight="1">
      <c r="B13" s="28"/>
      <c r="C13" s="35"/>
      <c r="D13" s="32"/>
      <c r="E13" s="32"/>
      <c r="F13" s="33"/>
    </row>
    <row r="14" spans="2:6" s="29" customFormat="1" ht="12.75" customHeight="1">
      <c r="B14" s="28"/>
      <c r="C14" s="35"/>
      <c r="D14" s="32"/>
      <c r="E14" s="32"/>
      <c r="F14" s="33"/>
    </row>
    <row r="15" spans="2:6" s="29" customFormat="1" ht="12.75" customHeight="1">
      <c r="B15" s="28"/>
      <c r="C15" s="35"/>
      <c r="D15" s="32"/>
      <c r="E15" s="32"/>
      <c r="F15" s="33"/>
    </row>
    <row r="16" spans="2:6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296" t="s">
        <v>60</v>
      </c>
      <c r="E23" s="41"/>
    </row>
    <row r="24" spans="2:6" ht="12.75" customHeight="1">
      <c r="C24" s="296"/>
      <c r="E24" s="37"/>
    </row>
    <row r="25" spans="2:6" ht="12.75" customHeight="1">
      <c r="C25" s="296"/>
      <c r="E25" s="38"/>
    </row>
    <row r="26" spans="2:6" ht="12.75" customHeight="1">
      <c r="C26" s="139"/>
    </row>
    <row r="27" spans="2:6">
      <c r="C27" s="139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8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30"/>
  <sheetViews>
    <sheetView showGridLines="0" showRowColHeaders="0" zoomScaleNormal="100" workbookViewId="0">
      <selection activeCell="E30" sqref="E30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6" t="s">
        <v>1</v>
      </c>
    </row>
    <row r="3" spans="2:7" s="26" customFormat="1" ht="15" customHeight="1">
      <c r="E3" s="27"/>
      <c r="G3" s="107" t="str">
        <f>Indice!E3</f>
        <v>Agosto 2018</v>
      </c>
    </row>
    <row r="4" spans="2:7" s="29" customFormat="1" ht="20.25" customHeight="1">
      <c r="B4" s="28"/>
      <c r="C4" s="105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297" t="s">
        <v>75</v>
      </c>
      <c r="D7" s="32"/>
      <c r="E7" s="39"/>
      <c r="F7" s="32"/>
    </row>
    <row r="8" spans="2:7" s="29" customFormat="1" ht="12.75" customHeight="1">
      <c r="B8" s="28"/>
      <c r="C8" s="297"/>
      <c r="D8" s="32"/>
      <c r="E8" s="39"/>
      <c r="F8" s="32"/>
    </row>
    <row r="9" spans="2:7" s="29" customFormat="1" ht="12.75" customHeight="1">
      <c r="B9" s="28"/>
      <c r="C9" s="297"/>
      <c r="D9" s="32"/>
      <c r="E9" s="39"/>
      <c r="F9" s="32"/>
    </row>
    <row r="10" spans="2:7" s="29" customFormat="1" ht="12.75" customHeight="1">
      <c r="B10" s="28"/>
      <c r="C10" s="297"/>
      <c r="D10" s="32"/>
      <c r="E10" s="39"/>
      <c r="F10" s="32"/>
    </row>
    <row r="11" spans="2:7" s="29" customFormat="1" ht="12.75" customHeight="1">
      <c r="B11" s="28"/>
      <c r="C11" s="141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6"/>
      <c r="G22" s="116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Y51"/>
  <sheetViews>
    <sheetView showGridLines="0" showRowColHeaders="0" topLeftCell="B2" workbookViewId="0">
      <selection activeCell="I23" sqref="I2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Agosto 2018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97" t="s">
        <v>62</v>
      </c>
      <c r="E7" s="4"/>
    </row>
    <row r="8" spans="3:25">
      <c r="C8" s="297"/>
      <c r="E8" s="4"/>
    </row>
    <row r="9" spans="3:25">
      <c r="C9" s="29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C1:Y65"/>
  <sheetViews>
    <sheetView showGridLines="0" showRowColHeaders="0" topLeftCell="A2" workbookViewId="0">
      <selection activeCell="G23" sqref="G2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Agosto 2018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297" t="s">
        <v>63</v>
      </c>
      <c r="E7" s="4"/>
    </row>
    <row r="8" spans="3:25">
      <c r="C8" s="297"/>
      <c r="E8" s="4"/>
    </row>
    <row r="9" spans="3:25">
      <c r="C9" s="29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Y44"/>
  <sheetViews>
    <sheetView showGridLines="0" showRowColHeaders="0" topLeftCell="A2" workbookViewId="0">
      <selection activeCell="G29" sqref="G2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Agosto 2018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97" t="s">
        <v>55</v>
      </c>
      <c r="E7" s="4"/>
    </row>
    <row r="8" spans="3:25">
      <c r="C8" s="297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C1:Y44"/>
  <sheetViews>
    <sheetView showGridLines="0" showRowColHeaders="0" topLeftCell="A2" workbookViewId="0">
      <selection activeCell="K22" sqref="K2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Agosto 2018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97" t="s">
        <v>61</v>
      </c>
      <c r="E7" s="4"/>
    </row>
    <row r="8" spans="3:25">
      <c r="C8" s="297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Dat_01</vt:lpstr>
      <vt:lpstr>Data 1</vt:lpstr>
      <vt:lpstr>Dat_02</vt:lpstr>
      <vt:lpstr>Data 2</vt:lpstr>
      <vt:lpstr>Data 3</vt:lpstr>
      <vt:lpstr>zzz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2018-09-28T07:52:41Z</dcterms:modified>
</cp:coreProperties>
</file>