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ABR\INF_ELABORADA\"/>
    </mc:Choice>
  </mc:AlternateContent>
  <xr:revisionPtr revIDLastSave="0" documentId="13_ncr:1_{674BCD04-908A-4770-AAE7-5C6FDC5D2CC2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43" l="1"/>
  <c r="O158" i="44"/>
  <c r="J55" i="43" l="1"/>
  <c r="I76" i="43" l="1"/>
  <c r="H70" i="43"/>
  <c r="F70" i="43"/>
  <c r="C166" i="44" l="1"/>
  <c r="D166" i="44"/>
  <c r="E166" i="44"/>
  <c r="F166" i="44"/>
  <c r="G166" i="44"/>
  <c r="H166" i="44"/>
  <c r="I166" i="44"/>
  <c r="J166" i="44"/>
  <c r="K166" i="44"/>
  <c r="L166" i="44"/>
  <c r="M166" i="44"/>
  <c r="N166" i="44"/>
  <c r="C167" i="44"/>
  <c r="D167" i="44"/>
  <c r="E167" i="44"/>
  <c r="F167" i="44"/>
  <c r="G167" i="44"/>
  <c r="H167" i="44"/>
  <c r="I167" i="44"/>
  <c r="J167" i="44"/>
  <c r="K167" i="44"/>
  <c r="L167" i="44"/>
  <c r="M167" i="44"/>
  <c r="N167" i="44"/>
  <c r="B167" i="44"/>
  <c r="B166" i="44"/>
  <c r="C164" i="44"/>
  <c r="D164" i="44"/>
  <c r="E164" i="44"/>
  <c r="F164" i="44"/>
  <c r="G164" i="44"/>
  <c r="H164" i="44"/>
  <c r="I164" i="44"/>
  <c r="J164" i="44"/>
  <c r="K164" i="44"/>
  <c r="L164" i="44"/>
  <c r="M164" i="44"/>
  <c r="N164" i="44"/>
  <c r="C165" i="44"/>
  <c r="D165" i="44"/>
  <c r="E165" i="44"/>
  <c r="F165" i="44"/>
  <c r="G165" i="44"/>
  <c r="H165" i="44"/>
  <c r="I165" i="44"/>
  <c r="J165" i="44"/>
  <c r="K165" i="44"/>
  <c r="L165" i="44"/>
  <c r="M165" i="44"/>
  <c r="N165" i="44"/>
  <c r="B165" i="44"/>
  <c r="B164" i="44"/>
  <c r="E396" i="59" l="1"/>
  <c r="E395" i="59"/>
  <c r="E397" i="47" l="1"/>
  <c r="E396" i="47"/>
  <c r="Q262" i="44" l="1"/>
  <c r="G25" i="6" l="1"/>
  <c r="I25" i="6"/>
  <c r="K25" i="6"/>
  <c r="G76" i="43" l="1"/>
  <c r="I53" i="43" l="1"/>
  <c r="B52" i="43"/>
  <c r="B51" i="43"/>
  <c r="B50" i="43"/>
  <c r="B49" i="43"/>
  <c r="B48" i="43"/>
  <c r="B47" i="43"/>
  <c r="B46" i="43"/>
  <c r="B45" i="43"/>
  <c r="B44" i="43"/>
  <c r="B43" i="43"/>
  <c r="B42" i="43"/>
  <c r="B40" i="43"/>
  <c r="B39" i="43"/>
  <c r="B38" i="43"/>
  <c r="B37" i="43"/>
  <c r="B36" i="43"/>
  <c r="B35" i="43"/>
  <c r="B34" i="43"/>
  <c r="B33" i="43"/>
  <c r="B32" i="43"/>
  <c r="B31" i="43"/>
  <c r="B30" i="43"/>
  <c r="B28" i="43"/>
  <c r="B27" i="43"/>
  <c r="B26" i="43"/>
  <c r="B25" i="43"/>
  <c r="B24" i="43"/>
  <c r="B23" i="43"/>
  <c r="B22" i="43"/>
  <c r="B21" i="43"/>
  <c r="B20" i="43"/>
  <c r="B19" i="43"/>
  <c r="B18" i="43"/>
  <c r="B16" i="43"/>
  <c r="B15" i="43"/>
  <c r="B14" i="43"/>
  <c r="B13" i="43"/>
  <c r="B12" i="43"/>
  <c r="B11" i="43"/>
  <c r="B10" i="43"/>
  <c r="B9" i="43"/>
  <c r="B8" i="43"/>
  <c r="B7" i="43"/>
  <c r="B6" i="43"/>
  <c r="V181" i="44" l="1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G211" i="44" l="1"/>
  <c r="I211" i="44"/>
  <c r="H211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I47" i="49" l="1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C18" i="48" l="1"/>
  <c r="E398" i="49" l="1"/>
  <c r="C398" i="49"/>
  <c r="G398" i="49" l="1"/>
  <c r="F398" i="49"/>
  <c r="F72" i="43"/>
  <c r="H96" i="44" l="1"/>
  <c r="B96" i="44"/>
  <c r="K70" i="43" l="1"/>
  <c r="J70" i="43" s="1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F277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I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I202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I263" i="49"/>
  <c r="I292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I355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F200" i="47" l="1"/>
  <c r="F351" i="47"/>
  <c r="F47" i="47"/>
  <c r="F261" i="47"/>
  <c r="F108" i="47"/>
  <c r="C110" i="49"/>
  <c r="C79" i="49"/>
  <c r="C107" i="49"/>
  <c r="C168" i="49"/>
  <c r="C46" i="49"/>
  <c r="I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I110" i="49"/>
  <c r="G292" i="47"/>
  <c r="I293" i="49" s="1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I321" i="49"/>
  <c r="I353" i="49"/>
  <c r="I199" i="49"/>
  <c r="G170" i="47"/>
  <c r="I171" i="49" s="1"/>
  <c r="I107" i="49"/>
  <c r="I230" i="49"/>
  <c r="I138" i="49"/>
  <c r="I322" i="49"/>
  <c r="G261" i="47"/>
  <c r="I262" i="49" s="1"/>
  <c r="I141" i="49"/>
  <c r="G108" i="47"/>
  <c r="I109" i="49" s="1"/>
  <c r="I77" i="49"/>
  <c r="G200" i="47"/>
  <c r="I201" i="49" s="1"/>
  <c r="I169" i="49"/>
  <c r="I49" i="49"/>
  <c r="G17" i="47"/>
  <c r="I18" i="49" s="1"/>
  <c r="G231" i="47"/>
  <c r="I232" i="49" s="1"/>
  <c r="I200" i="49"/>
  <c r="I168" i="49"/>
  <c r="G139" i="47"/>
  <c r="I140" i="49" s="1"/>
  <c r="I108" i="49"/>
  <c r="G47" i="47"/>
  <c r="I48" i="49" s="1"/>
  <c r="G323" i="47"/>
  <c r="I324" i="49" s="1"/>
  <c r="I260" i="49"/>
  <c r="F397" i="49"/>
  <c r="G382" i="47"/>
  <c r="I383" i="49" s="1"/>
  <c r="G351" i="47" l="1"/>
  <c r="I352" i="49" s="1"/>
  <c r="G78" i="47"/>
  <c r="I79" i="49" s="1"/>
  <c r="I291" i="49"/>
  <c r="I261" i="49"/>
  <c r="F398" i="47"/>
  <c r="F397" i="47"/>
  <c r="F396" i="47"/>
  <c r="G397" i="49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O68" i="48"/>
  <c r="O125" i="48"/>
  <c r="O98" i="48"/>
  <c r="O131" i="48"/>
  <c r="O104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O133" i="48"/>
  <c r="O106" i="48"/>
  <c r="O128" i="48"/>
  <c r="O101" i="48"/>
  <c r="O136" i="48"/>
  <c r="O109" i="48"/>
  <c r="M140" i="44"/>
  <c r="N157" i="44"/>
  <c r="L141" i="44"/>
  <c r="N154" i="44"/>
  <c r="O82" i="48" s="1"/>
  <c r="O135" i="48" l="1"/>
  <c r="N78" i="48"/>
  <c r="N108" i="48" s="1"/>
  <c r="N158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N159" i="44"/>
  <c r="M125" i="48"/>
  <c r="M98" i="48"/>
  <c r="M68" i="48"/>
  <c r="M69" i="48"/>
  <c r="N126" i="48"/>
  <c r="N99" i="48"/>
  <c r="N88" i="48"/>
  <c r="M72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58" i="44"/>
  <c r="K159" i="44" s="1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78" i="48"/>
  <c r="J108" i="48" s="1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58" i="44"/>
  <c r="I159" i="44" s="1"/>
  <c r="I125" i="48"/>
  <c r="I98" i="48"/>
  <c r="I68" i="48"/>
  <c r="I69" i="48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58" i="44"/>
  <c r="H159" i="44" s="1"/>
  <c r="H98" i="48"/>
  <c r="H68" i="48"/>
  <c r="H125" i="48"/>
  <c r="H137" i="48"/>
  <c r="H110" i="48"/>
  <c r="H72" i="48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58" i="44"/>
  <c r="G159" i="44" s="1"/>
  <c r="G68" i="48"/>
  <c r="G98" i="48"/>
  <c r="G125" i="48"/>
  <c r="G137" i="48"/>
  <c r="G110" i="48"/>
  <c r="G72" i="48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58" i="44"/>
  <c r="F159" i="44" s="1"/>
  <c r="F125" i="48"/>
  <c r="F98" i="48"/>
  <c r="F68" i="48"/>
  <c r="F111" i="48"/>
  <c r="F138" i="48"/>
  <c r="F107" i="48"/>
  <c r="F134" i="48"/>
  <c r="F72" i="48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58" i="44"/>
  <c r="D98" i="48"/>
  <c r="D68" i="48"/>
  <c r="D125" i="48"/>
  <c r="D104" i="48"/>
  <c r="D131" i="48"/>
  <c r="D137" i="48"/>
  <c r="D110" i="48"/>
  <c r="D134" i="48"/>
  <c r="D107" i="48"/>
  <c r="D72" i="48"/>
  <c r="E139" i="48"/>
  <c r="E112" i="48"/>
  <c r="D136" i="48"/>
  <c r="D109" i="48"/>
  <c r="D133" i="48"/>
  <c r="D106" i="48"/>
  <c r="D101" i="48"/>
  <c r="D128" i="48"/>
  <c r="D138" i="48"/>
  <c r="D111" i="48"/>
  <c r="D69" i="48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59" i="44"/>
  <c r="C158" i="44"/>
  <c r="C78" i="48"/>
  <c r="C135" i="48" s="1"/>
  <c r="C70" i="48"/>
  <c r="C100" i="48" s="1"/>
  <c r="C98" i="48"/>
  <c r="C68" i="48"/>
  <c r="C125" i="48"/>
  <c r="E145" i="48"/>
  <c r="C69" i="48"/>
  <c r="C138" i="48"/>
  <c r="C111" i="48"/>
  <c r="E118" i="48"/>
  <c r="E121" i="48" s="1"/>
  <c r="E122" i="48" s="1"/>
  <c r="C131" i="48"/>
  <c r="C104" i="48"/>
  <c r="D139" i="48"/>
  <c r="D112" i="48"/>
  <c r="C72" i="48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E148" i="48" l="1"/>
  <c r="E149" i="48" s="1"/>
  <c r="D146" i="48"/>
  <c r="D91" i="48"/>
  <c r="D92" i="48" s="1"/>
  <c r="D118" i="48"/>
  <c r="D121" i="48" s="1"/>
  <c r="D122" i="48" s="1"/>
  <c r="C108" i="48"/>
  <c r="C127" i="48"/>
  <c r="C82" i="48"/>
  <c r="C112" i="48" s="1"/>
  <c r="O166" i="44"/>
  <c r="C89" i="48"/>
  <c r="B159" i="44"/>
  <c r="C102" i="48"/>
  <c r="C129" i="48"/>
  <c r="C9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<sst xmlns="http://schemas.openxmlformats.org/spreadsheetml/2006/main" count="2357" uniqueCount="249">
  <si>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</si>
  <si>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</si>
  <si>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</si>
  <si>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</si>
  <si>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</si>
  <si>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</si>
  <si>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</si>
  <si>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</si>
  <si>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</si>
  <si>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</si>
  <si>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</si>
  <si>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</si>
  <si>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</si>
  <si>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</si>
  <si>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</si>
  <si>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</si>
  <si>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</si>
  <si>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</si>
  <si>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</si>
  <si>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</si>
  <si>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</si>
  <si>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</si>
  <si>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</si>
  <si>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</si>
  <si>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</si>
  <si>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</si>
  <si>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</si>
  <si>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</si>
  <si>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</si>
  <si>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</si>
  <si>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</si>
  <si>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</si>
  <si>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</si>
  <si>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</si>
  <si>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</si>
  <si>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</si>
  <si>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</si>
  <si>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</si>
  <si>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</si>
  <si>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</si>
  <si>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</si>
  <si>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</si>
  <si>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</si>
  <si>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</si>
  <si>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</si>
  <si>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</si>
  <si>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</si>
  <si>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</si>
  <si>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</si>
  <si>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</si>
  <si>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</si>
  <si>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</si>
  <si>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</si>
  <si>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</si>
  <si>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</si>
  <si>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</si>
  <si>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</si>
  <si>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</si>
  <si>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</si>
  <si>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</si>
  <si>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</si>
  <si>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</si>
  <si>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</si>
  <si>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</si>
  <si>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</si>
  <si>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</si>
  <si>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</si>
  <si>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</si>
  <si>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</si>
  <si>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</si>
  <si>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</si>
  <si>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</si>
  <si>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</si>
  <si>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</si>
  <si>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</si>
  <si>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</si>
  <si>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</si>
  <si>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</si>
  <si>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</si>
  <si>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</si>
  <si>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</si>
  <si>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</si>
  <si>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</si>
  <si>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</si>
  <si>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</si>
  <si>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</si>
  <si>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</si>
  <si>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</si>
  <si>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</si>
  <si>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</si>
  <si>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</si>
  <si>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</si>
  <si>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</si>
  <si>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</si>
  <si>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</si>
  <si>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</si>
  <si>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</si>
  <si>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</si>
  <si>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</si>
  <si>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</si>
  <si>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</si>
  <si>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</si>
  <si>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</si>
  <si>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</si>
  <si>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</si>
  <si>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</si>
  <si>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</si>
  <si>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</si>
  <si>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</si>
  <si>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</si>
  <si>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</si>
  <si>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</si>
  <si>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</si>
  <si>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</si>
  <si>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</si>
  <si>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</si>
  <si>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</si>
  <si>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</si>
  <si>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</si>
  <si>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</si>
  <si>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</si>
  <si>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</si>
  <si>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</si>
  <si>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</si>
  <si>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</si>
  <si>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</si>
  <si>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</si>
  <si>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</si>
  <si>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</si>
  <si>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</si>
  <si>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</si>
  <si>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</si>
  <si>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</si>
  <si>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</si>
  <si>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</si>
  <si>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</si>
  <si>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</si>
  <si>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</si>
  <si>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</si>
  <si>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</si>
  <si>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</si>
  <si>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</si>
  <si>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</si>
  <si>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</si>
  <si>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</si>
  <si>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</si>
  <si>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</si>
  <si>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</si>
  <si>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</si>
  <si>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</si>
  <si>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</si>
  <si>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</si>
  <si>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</si>
  <si>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</si>
  <si>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</si>
  <si>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</si>
  <si>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</si>
  <si>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</si>
  <si>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</si>
  <si>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</si>
  <si>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</si>
  <si>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</si>
  <si>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</si>
  <si>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</si>
  <si>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</si>
  <si>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</si>
  <si>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</si>
  <si>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</si>
  <si>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</si>
  <si>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</si>
  <si>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</si>
  <si>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</si>
  <si>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</si>
  <si>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</si>
  <si>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</si>
  <si>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</si>
  <si>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</si>
  <si>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</si>
  <si>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</si>
  <si>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</si>
  <si>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</si>
  <si>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</si>
  <si>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</si>
  <si>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</si>
  <si>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</si>
  <si>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</si>
  <si>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</si>
  <si>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</si>
  <si>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</si>
  <si>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</si>
  <si>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</si>
  <si>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</si>
  <si>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</si>
  <si>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</si>
  <si>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</si>
  <si>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</si>
  <si>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</si>
  <si>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</si>
  <si>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</si>
  <si>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2021 Enero</t>
  </si>
  <si>
    <t>2021 Febrero</t>
  </si>
  <si>
    <t>2021 Marzo</t>
  </si>
  <si>
    <t>2021 Abril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</si>
  <si>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</si>
  <si>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</si>
  <si>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</si>
  <si>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</si>
  <si>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</si>
  <si>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</si>
  <si>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</si>
  <si>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</si>
  <si>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</si>
  <si>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TERN</t>
  </si>
  <si>
    <t>Septiembre 2021</t>
  </si>
  <si>
    <t>Octubre 2021</t>
  </si>
  <si>
    <t>Noviembre 2021</t>
  </si>
  <si>
    <t>Diciembre 2021</t>
  </si>
  <si>
    <t>Miércoles 08/12/2021 (13:34 h)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</si>
  <si>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</si>
  <si>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</si>
  <si>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</si>
  <si>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</si>
  <si>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</si>
  <si>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</si>
  <si>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</si>
  <si>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</si>
  <si>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</si>
  <si>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</si>
  <si>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</si>
  <si>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</si>
  <si>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</si>
  <si>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30/04/2022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</si>
  <si>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ut="05/12/2022 08:43:54" si="2.000000018024d0963ad924450b041cada55a6f1050a757a4979897db3ae400a7bb8056626be3f8967214cec8bd1245fb8d9b2719626dff5c14f93245eee856ec7d2e38eb9e49156f98b406aa33f6e791a9cee3b096977b709b8dd1a7879fd29ea5de55b24fec8e9984ce8a525807637a37fcba38162d4c4fb869c9ad7d68789e9d5a710843f83a83988d9806c6d35f7acb36780b8c5e99e829b9cf5bd0af58133f69.p.3082.0.1.Europe/Madrid.upriv*_1*_pidn2*_14*_session*-lat*_1.000000010e708f1483bb841782b056b0b95fa833bc6025e0233cb8ae3ae36dae0193e8ef5ec684f962c66cf021d2b657fae64ff48d00d72f.0000000101266b0d718cb2e945c08f83f73f2064bc6025e06c704f00174d93ac1737149a220d4afb9fe2d7a1af4e5da0736fecffe7d2c740.0.1.1.BDEbi.D066E1C611E6257C10D00080EF253B44.0-3082.1.1_-0.1.0_-3082.1.1_5.5.0.*0.00000001180c3b7be993abb5ace8d88226c8e4b2c911585af44aaf675f193a65a792f4a7fa967085.0.23.11*.2*.0400*.31152J.e.000000010e064183e8abd1cd69c4ff85200c82dbc911585ab355611ef2afe31e505ad9b9ebdf0c3d.0.10*.131*.122*.122.0.0" msgID="A26884FE11ECD1CFB5F20080EF358059"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</si>
  <si>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ut="05/12/2022 08:55:55" si="2.000000018024d0963ad924450b041cada55a6f1050a757a4979897db3ae400a7bb8056626be3f8967214cec8bd1245fb8d9b2719626dff5c14f93245eee856ec7d2e38eb9e49156f98b406aa33f6e791a9cee3b096977b709b8dd1a7879fd29ea5de55b24fec8e9984ce8a525807637a37fcba38162d4c4fb869c9ad7d68789e9d5a710843f83a83988d9806c6d35f7acb36780b8c5e99e829b9cf5bd0af58133f69.p.3082.0.1.Europe/Madrid.upriv*_1*_pidn2*_14*_session*-lat*_1.000000010e708f1483bb841782b056b0b95fa833bc6025e0233cb8ae3ae36dae0193e8ef5ec684f962c66cf021d2b657fae64ff48d00d72f.0000000101266b0d718cb2e945c08f83f73f2064bc6025e06c704f00174d93ac1737149a220d4afb9fe2d7a1af4e5da0736fecffe7d2c740.0.1.1.BDEbi.D066E1C611E6257C10D00080EF253B44.0-3082.1.1_-0.1.0_-3082.1.1_5.5.0.*0.00000001180c3b7be993abb5ace8d88226c8e4b2c911585af44aaf675f193a65a792f4a7fa967085.0.23.11*.2*.0400*.31152J.e.000000010e064183e8abd1cd69c4ff85200c82dbc911585ab355611ef2afe31e505ad9b9ebdf0c3d.0.10*.131*.122*.122.0.0" msgID="B3AFB4BC11ECD1CFB5F20080EFF50058"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nrr="1224" nrc="843"&gt;&lt;pg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</si>
  <si>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2022 Abril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</si>
  <si>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ut="05/12/2022 09:45:32" si="2.00000001d48d0dbdffa7ae633192d94e03622b94526db1a3e186c187b02a7f77854273c392a9eb889181c2baf78e96bef1ba7af2a79f3ef184200ffe5f6285ae52e2225ba48d635fd9799ecd122aac62f251a09a4e7f2e612795b52f25ecdc7df858cefaa2b62e6e2d177803f24c7470f35e27fcb3dd0c6cd01461440a863951fcf8b91359dda6c6992d7cf84de1c4255598024fbd77549dfc9ac80128a0b17ec77b.p.3082.0.1.Europe/Madrid.upriv*_1*_pidn2*_15*_session*-lat*_1.00000001312366bf18074ed6fe052e0d038d0c95bc6025e0702ef65c5eceff0587d8b2f2286352448d5671ae87df598a85724bd8143ebdaa.00000001fc2a90808946a9d59ee9a014f768a59dbc6025e07c799edf29bcc7b27b86d328832461e790e156a2281a713e8e71ba8a2e56b194.0.1.1.SIOSbi.A04572404A6ABF2446090B938515E87E.0-3082.1.1_-0.1.0_-3082.1.1_5.5.0.*0.000000015ce9607e11ef39344949e79ed676fb95c911585a4f5693adac021a438b91c3609f7ef857.0.23.11*.2*.0400*.31152J.e.0000000172e7e73c3690698a0e4ea00fd8f3dc0dc911585ab6c5fc92fdacc94b5add128958c6dc85.0.10*.131*.122*.122.0.0" msgID="4017587611ECD1D8B5F20080EFA55E55"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nrr="182" nrc="13"&gt;&lt;pg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</si>
  <si>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01/04/2022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</si>
  <si>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ut="05/12/2022 09:46:16" si="2.000000018024d0963ad924450b041cada55a6f1050a757a4979897db3ae400a7bb8056626be3f8967214cec8bd1245fb8d9b2719626dff5c14f93245eee856ec7d2e38eb9e49156f98b406aa33f6e791a9cee3b096977b709b8dd1a7879fd29ea5de55b24fec8e9984ce8a525807637a37fcba38162d4c4fb869c9ad7d68789e9d5a710843f83a83988d9806c6d35f7acb36780b8c5e99e829b9cf5bd0af58133f69.p.3082.0.1.Europe/Madrid.upriv*_1*_pidn2*_14*_session*-lat*_1.000000010e708f1483bb841782b056b0b95fa833bc6025e0233cb8ae3ae36dae0193e8ef5ec684f962c66cf021d2b657fae64ff48d00d72f.0000000101266b0d718cb2e945c08f83f73f2064bc6025e06c704f00174d93ac1737149a220d4afb9fe2d7a1af4e5da0736fecffe7d2c740.0.1.1.BDEbi.D066E1C611E6257C10D00080EF253B44.0-3082.1.1_-0.1.0_-3082.1.1_5.5.0.*0.00000001180c3b7be993abb5ace8d88226c8e4b2c911585af44aaf675f193a65a792f4a7fa967085.0.23.11*.2*.0400*.31152J.e.000000010e064183e8abd1cd69c4ff85200c82dbc911585ab355611ef2afe31e505ad9b9ebdf0c3d.0.10*.131*.122*.122.0.0" msgID="56C4200E11ECD1D8B5F20080EF954059"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nrr="1128" nrc="63"&gt;&lt;pg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</si>
  <si>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ut="05/12/2022 09:56:09" si="2.000000018024d0963ad924450b041cada55a6f1050a757a4979897db3ae400a7bb8056626be3f8967214cec8bd1245fb8d9b2719626dff5c14f93245eee856ec7d2e38eb9e49156f98b406aa33f6e791a9cee3b096977b709b8dd1a7879fd29ea5de55b24fec8e9984ce8a525807637a37fcba38162d4c4fb869c9ad7d68789e9d5a710843f83a83988d9806c6d35f7acb36780b8c5e99e829b9cf5bd0af58133f69.p.3082.0.1.Europe/Madrid.upriv*_1*_pidn2*_14*_session*-lat*_1.000000010e708f1483bb841782b056b0b95fa833bc6025e0233cb8ae3ae36dae0193e8ef5ec684f962c66cf021d2b657fae64ff48d00d72f.0000000101266b0d718cb2e945c08f83f73f2064bc6025e06c704f00174d93ac1737149a220d4afb9fe2d7a1af4e5da0736fecffe7d2c740.0.1.1.BDEbi.D066E1C611E6257C10D00080EF253B44.0-3082.1.1_-0.1.0_-3082.1.1_5.5.0.*0.00000001180c3b7be993abb5ace8d88226c8e4b2c911585af44aaf675f193a65a792f4a7fa967085.0.23.11*.2*.0400*.31152J.e.000000010e064183e8abd1cd69c4ff85200c82dbc911585ab355611ef2afe31e505ad9b9ebdf0c3d.0.10*.131*.122*.122.0.0" msgID="A69F58E611ECD1D8B5F20080EFC5A058"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nrr="1164" nrc="64"&gt;&lt;pg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</si>
  <si>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ut="05/12/2022 10:05:16" si="2.000000018024d0963ad924450b041cada55a6f1050a757a4979897db3ae400a7bb8056626be3f8967214cec8bd1245fb8d9b2719626dff5c14f93245eee856ec7d2e38eb9e49156f98b406aa33f6e791a9cee3b096977b709b8dd1a7879fd29ea5de55b24fec8e9984ce8a525807637a37fcba38162d4c4fb869c9ad7d68789e9d5a710843f83a83988d9806c6d35f7acb36780b8c5e99e829b9cf5bd0af58133f69.p.3082.0.1.Europe/Madrid.upriv*_1*_pidn2*_14*_session*-lat*_1.000000010e708f1483bb841782b056b0b95fa833bc6025e0233cb8ae3ae36dae0193e8ef5ec684f962c66cf021d2b657fae64ff48d00d72f.0000000101266b0d718cb2e945c08f83f73f2064bc6025e06c704f00174d93ac1737149a220d4afb9fe2d7a1af4e5da0736fecffe7d2c740.0.1.1.BDEbi.D066E1C611E6257C10D00080EF253B44.0-3082.1.1_-0.1.0_-3082.1.1_5.5.0.*0.00000001180c3b7be993abb5ace8d88226c8e4b2c911585af44aaf675f193a65a792f4a7fa967085.0.23.11*.2*.0400*.31152J.e.000000010e064183e8abd1cd69c4ff85200c82dbc911585ab355611ef2afe31e505ad9b9ebdf0c3d.0.10*.131*.122*.122.0.0" msgID="0211BCD611ECD1DAB5F20080EFB5805A"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nrr="1166" nrc="1600"&gt;&lt;pg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</si>
  <si>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Sin emisiones CO2: hidráulica, nuclear, eólica, solar fotovoltaica, solar térmica, otras renovables y residuos renovables.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</si>
  <si>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ut="05/12/2022 10:30:03" si="2.000000018024d0963ad924450b041cada55a6f1050a757a4979897db3ae400a7bb8056626be3f8967214cec8bd1245fb8d9b2719626dff5c14f93245eee856ec7d2e38eb9e49156f98b406aa33f6e791a9cee3b096977b709b8dd1a7879fd29ea5de55b24fec8e9984ce8a525807637a37fcba38162d4c4fb869c9ad7d68789e9d5a710843f83a83988d9806c6d35f7acb36780b8c5e99e829b9cf5bd0af58133f69.p.3082.0.1.Europe/Madrid.upriv*_1*_pidn2*_14*_session*-lat*_1.000000010e708f1483bb841782b056b0b95fa833bc6025e0233cb8ae3ae36dae0193e8ef5ec684f962c66cf021d2b657fae64ff48d00d72f.0000000101266b0d718cb2e945c08f83f73f2064bc6025e06c704f00174d93ac1737149a220d4afb9fe2d7a1af4e5da0736fecffe7d2c740.0.1.1.BDEbi.D066E1C611E6257C10D00080EF253B44.0-3082.1.1_-0.1.0_-3082.1.1_5.5.0.*0.00000001180c3b7be993abb5ace8d88226c8e4b2c911585af44aaf675f193a65a792f4a7fa967085.0.23.11*.2*.0400*.31152J.e.000000010e064183e8abd1cd69c4ff85200c82dbc911585ab355611ef2afe31e505ad9b9ebdf0c3d.0.10*.131*.122*.122.0.0" msgID="65AE8E7911ECD1DEB5F20080EFF5FF56"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nrr="2051" nrc="2320"&gt;&lt;pg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</si>
  <si>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23/04/2022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</si>
  <si>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ut="05/12/2022 10:32:00" si="2.000000018024d0963ad924450b041cada55a6f1050a757a4979897db3ae400a7bb8056626be3f8967214cec8bd1245fb8d9b2719626dff5c14f93245eee856ec7d2e38eb9e49156f98b406aa33f6e791a9cee3b096977b709b8dd1a7879fd29ea5de55b24fec8e9984ce8a525807637a37fcba38162d4c4fb869c9ad7d68789e9d5a710843f83a83988d9806c6d35f7acb36780b8c5e99e829b9cf5bd0af58133f69.p.3082.0.1.Europe/Madrid.upriv*_1*_pidn2*_14*_session*-lat*_1.000000010e708f1483bb841782b056b0b95fa833bc6025e0233cb8ae3ae36dae0193e8ef5ec684f962c66cf021d2b657fae64ff48d00d72f.0000000101266b0d718cb2e945c08f83f73f2064bc6025e06c704f00174d93ac1737149a220d4afb9fe2d7a1af4e5da0736fecffe7d2c740.0.1.1.BDEbi.D066E1C611E6257C10D00080EF253B44.0-3082.1.1_-0.1.0_-3082.1.1_5.5.0.*0.00000001180c3b7be993abb5ace8d88226c8e4b2c911585af44aaf675f193a65a792f4a7fa967085.0.23.11*.2*.0400*.31152J.e.000000010e064183e8abd1cd69c4ff85200c82dbc911585ab355611ef2afe31e505ad9b9ebdf0c3d.0.10*.131*.122*.122.0.0" msgID="C0857C1211ECD1DEB5F20080EFD5C058"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nrr="1642" nrc="1253"&gt;&lt;pg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</si>
  <si>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ut="05/12/2022 10:33:05" si="2.000000018024d0963ad924450b041cada55a6f1050a757a4979897db3ae400a7bb8056626be3f8967214cec8bd1245fb8d9b2719626dff5c14f93245eee856ec7d2e38eb9e49156f98b406aa33f6e791a9cee3b096977b709b8dd1a7879fd29ea5de55b24fec8e9984ce8a525807637a37fcba38162d4c4fb869c9ad7d68789e9d5a710843f83a83988d9806c6d35f7acb36780b8c5e99e829b9cf5bd0af58133f69.p.3082.0.1.Europe/Madrid.upriv*_1*_pidn2*_14*_session*-lat*_1.000000010e708f1483bb841782b056b0b95fa833bc6025e0233cb8ae3ae36dae0193e8ef5ec684f962c66cf021d2b657fae64ff48d00d72f.0000000101266b0d718cb2e945c08f83f73f2064bc6025e06c704f00174d93ac1737149a220d4afb9fe2d7a1af4e5da0736fecffe7d2c740.0.1.1.BDEbi.D066E1C611E6257C10D00080EF253B44.0-3082.1.1_-0.1.0_-3082.1.1_5.5.0.*0.00000001180c3b7be993abb5ace8d88226c8e4b2c911585af44aaf675f193a65a792f4a7fa967085.0.23.11*.2*.0400*.31152J.e.000000010e064183e8abd1cd69c4ff85200c82dbc911585ab355611ef2afe31e505ad9b9ebdf0c3d.0.10*.131*.122*.122.0.0" msgID="CEB7A52611ECD1DEB5F20080EFA56059"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nrr="500" nrc="515"&gt;&lt;pg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</si>
  <si>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66358bc070c04dc3909e0dfac8443186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</si>
  <si>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ut="05/12/2022 16:50:55" si="2.000000011cd87b4f7a310caec1a77bce2899197d3289a4e7e28ebad19430d4902ab910a026249c8df5e93ef669ac023ded35676b9d505083114fc8df50ed76e0749eb0feea4f419fbf9dcdea06aa7b9bbb7e08d3b611be38b47b6a055c08c5f3b9dbf8cd321cbd428c9e15344df533fa9bb388ebc82d8db576e6342ae38f777459a91974ac9816dfa3504914ed8cde0552019dfc1d8c141024d314f66e52c8371b2a.p.3082.0.1.Europe/Madrid.upriv*_1*_pidn2*_15*_session*-lat*_1.00000001498ee120efa8844e55ae747d0c7ec2f5bc6025e0220497ee0d49aabbb9ad0c6e1e977ff7354b5a97d41e0e4e878069413e305df6.00000001e524d42627ed934a74f4caf29e99e1f5bc6025e0de04de85284124bb6c64e09931b26582805219ebcd89e9f91cc6b52ca2def324.0.1.1.BDEbi.D066E1C611E6257C10D00080EF253B44.0-3082.1.1_-0.1.0_-3082.1.1_5.5.0.*0.0000000134190e5ede540c114c0b86f41f72c25fc911585aeb6e93fd72d88b0b6ccb1fb0b2f5d676.0.23.11*.2*.0400*.31152J.e.00000001da42f6222b9f7998b9639e5028190319c911585a193bba74a3ee8e51801b33d780bbbd53.0.10*.131*.122*.122.0.0" msgID="9D82244D11ECD213310D0080EF1559B9"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nrr="394" nrc="418"&gt;&lt;pg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</si>
  <si>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Sábado 23/04/2022 (20:09 h)</t>
  </si>
  <si>
    <t>Lunes 11/04/2022 (02:44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</si>
</sst>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0" fillId="14" borderId="13">
      <alignment vertical="center" wrapText="1"/>
    </xf>
    <xf numFmtId="165" fontId="70" fillId="13" borderId="13">
      <alignment horizontal="left" vertical="center"/>
    </xf>
    <xf numFmtId="165" fontId="70" fillId="14" borderId="13">
      <alignment horizontal="center" wrapText="1"/>
    </xf>
    <xf numFmtId="168" fontId="70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48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8" fillId="0" borderId="24" xfId="47" applyNumberFormat="1" applyFont="1" applyBorder="1" applyAlignment="1">
      <alignment horizontal="right" vertical="center"/>
    </xf>
    <xf numFmtId="167" fontId="68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70" fillId="14" borderId="13" xfId="48" applyAlignment="1">
      <alignment vertical="center"/>
    </xf>
    <xf numFmtId="165" fontId="70" fillId="14" borderId="13" xfId="50" quotePrefix="1" applyAlignment="1">
      <alignment horizontal="center"/>
    </xf>
    <xf numFmtId="165" fontId="70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70" fillId="13" borderId="13" xfId="49" quotePrefix="1" applyAlignment="1">
      <alignment horizontal="left" vertical="center"/>
    </xf>
    <xf numFmtId="168" fontId="70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46" fillId="6" borderId="13" xfId="53" quotePrefix="1" applyAlignment="1">
      <alignment horizontal="center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8536585365853647"/>
                  <c:y val="9.9346405228757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8048780487804877"/>
                  <c:y val="0.176545520045288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5367133986300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991869918699185"/>
                  <c:y val="0.156862745098039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1788617886178865"/>
                  <c:y val="-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3.0593449112951303</c:v>
                </c:pt>
                <c:pt idx="1">
                  <c:v>6.5360644004657855</c:v>
                </c:pt>
                <c:pt idx="2">
                  <c:v>3.2352292344432958</c:v>
                </c:pt>
                <c:pt idx="3">
                  <c:v>22.55602915073835</c:v>
                </c:pt>
                <c:pt idx="4">
                  <c:v>5.1469924171801322</c:v>
                </c:pt>
                <c:pt idx="5">
                  <c:v>7.3007720612344009E-3</c:v>
                </c:pt>
                <c:pt idx="6">
                  <c:v>0.369516869093998</c:v>
                </c:pt>
                <c:pt idx="7">
                  <c:v>0.12087828609938757</c:v>
                </c:pt>
                <c:pt idx="8">
                  <c:v>25.878581588218708</c:v>
                </c:pt>
                <c:pt idx="9">
                  <c:v>15.696754547823202</c:v>
                </c:pt>
                <c:pt idx="10">
                  <c:v>14.279365074637019</c:v>
                </c:pt>
                <c:pt idx="11">
                  <c:v>2.1158583319648874</c:v>
                </c:pt>
                <c:pt idx="12">
                  <c:v>0.99808441597886743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153.67971897199999</c:v>
                </c:pt>
                <c:pt idx="1">
                  <c:v>238.70894406400001</c:v>
                </c:pt>
                <c:pt idx="2">
                  <c:v>105.70565758799999</c:v>
                </c:pt>
                <c:pt idx="3">
                  <c:v>115.791574032</c:v>
                </c:pt>
                <c:pt idx="4">
                  <c:v>159.74251133199999</c:v>
                </c:pt>
                <c:pt idx="5">
                  <c:v>118.239862456</c:v>
                </c:pt>
                <c:pt idx="6">
                  <c:v>232.11323870199999</c:v>
                </c:pt>
                <c:pt idx="7">
                  <c:v>202.78682990199999</c:v>
                </c:pt>
                <c:pt idx="8">
                  <c:v>269.90862404000001</c:v>
                </c:pt>
                <c:pt idx="9">
                  <c:v>215.45218475999999</c:v>
                </c:pt>
                <c:pt idx="10">
                  <c:v>285.08618899800001</c:v>
                </c:pt>
                <c:pt idx="11">
                  <c:v>280.11079998399998</c:v>
                </c:pt>
                <c:pt idx="12">
                  <c:v>336.71035219200002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4197.3329299999996</c:v>
                </c:pt>
                <c:pt idx="1">
                  <c:v>4373.2505520000004</c:v>
                </c:pt>
                <c:pt idx="2">
                  <c:v>3684.3838049999999</c:v>
                </c:pt>
                <c:pt idx="3">
                  <c:v>5119.3289409999998</c:v>
                </c:pt>
                <c:pt idx="4">
                  <c:v>5151.2435720000003</c:v>
                </c:pt>
                <c:pt idx="5">
                  <c:v>4890.5065249999998</c:v>
                </c:pt>
                <c:pt idx="6">
                  <c:v>4748.3949460000003</c:v>
                </c:pt>
                <c:pt idx="7">
                  <c:v>3562.3582710000001</c:v>
                </c:pt>
                <c:pt idx="8">
                  <c:v>3922.855106</c:v>
                </c:pt>
                <c:pt idx="9">
                  <c:v>5048.424951</c:v>
                </c:pt>
                <c:pt idx="10">
                  <c:v>4771.058908</c:v>
                </c:pt>
                <c:pt idx="11">
                  <c:v>4766.7915640000001</c:v>
                </c:pt>
                <c:pt idx="12">
                  <c:v>4413.7242699999997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270.69138700000002</c:v>
                </c:pt>
                <c:pt idx="1">
                  <c:v>333.03452900000002</c:v>
                </c:pt>
                <c:pt idx="2">
                  <c:v>431.99096700000001</c:v>
                </c:pt>
                <c:pt idx="3">
                  <c:v>302.41718100000003</c:v>
                </c:pt>
                <c:pt idx="4">
                  <c:v>320.34443199999998</c:v>
                </c:pt>
                <c:pt idx="5">
                  <c:v>477.92579699999999</c:v>
                </c:pt>
                <c:pt idx="6">
                  <c:v>528.18759499999999</c:v>
                </c:pt>
                <c:pt idx="7">
                  <c:v>577.43674399999998</c:v>
                </c:pt>
                <c:pt idx="8">
                  <c:v>721.09479699999997</c:v>
                </c:pt>
                <c:pt idx="9">
                  <c:v>710.59119999999996</c:v>
                </c:pt>
                <c:pt idx="10">
                  <c:v>569.21095200000002</c:v>
                </c:pt>
                <c:pt idx="11">
                  <c:v>705.89505599999995</c:v>
                </c:pt>
                <c:pt idx="12">
                  <c:v>691.80370400000004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2864.730763</c:v>
                </c:pt>
                <c:pt idx="1">
                  <c:v>2004.7763130000001</c:v>
                </c:pt>
                <c:pt idx="2">
                  <c:v>3136.247484</c:v>
                </c:pt>
                <c:pt idx="3">
                  <c:v>3024.7339200000001</c:v>
                </c:pt>
                <c:pt idx="4">
                  <c:v>3325.1556350000001</c:v>
                </c:pt>
                <c:pt idx="5">
                  <c:v>4296.9849320000003</c:v>
                </c:pt>
                <c:pt idx="6">
                  <c:v>3806.271381</c:v>
                </c:pt>
                <c:pt idx="7">
                  <c:v>5697.61654</c:v>
                </c:pt>
                <c:pt idx="8">
                  <c:v>4499.7333719999997</c:v>
                </c:pt>
                <c:pt idx="9">
                  <c:v>5197.395829</c:v>
                </c:pt>
                <c:pt idx="10">
                  <c:v>4086.8536220000001</c:v>
                </c:pt>
                <c:pt idx="11">
                  <c:v>3253.4613840000002</c:v>
                </c:pt>
                <c:pt idx="12">
                  <c:v>2573.7803039999999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2190.0643239999999</c:v>
                </c:pt>
                <c:pt idx="1">
                  <c:v>2203.7572810000001</c:v>
                </c:pt>
                <c:pt idx="2">
                  <c:v>2183.6421690000002</c:v>
                </c:pt>
                <c:pt idx="3">
                  <c:v>2238.7745369999998</c:v>
                </c:pt>
                <c:pt idx="4">
                  <c:v>2102.2103360000001</c:v>
                </c:pt>
                <c:pt idx="5">
                  <c:v>2159.0921499999999</c:v>
                </c:pt>
                <c:pt idx="6">
                  <c:v>2136.4721209999998</c:v>
                </c:pt>
                <c:pt idx="7">
                  <c:v>2168.9871889999999</c:v>
                </c:pt>
                <c:pt idx="8">
                  <c:v>2167.9654059999998</c:v>
                </c:pt>
                <c:pt idx="9">
                  <c:v>2140.854178</c:v>
                </c:pt>
                <c:pt idx="10">
                  <c:v>2101.6384309999999</c:v>
                </c:pt>
                <c:pt idx="11">
                  <c:v>2200.0099839999998</c:v>
                </c:pt>
                <c:pt idx="12">
                  <c:v>1707.3136910000001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170.05904150000001</c:v>
                </c:pt>
                <c:pt idx="1">
                  <c:v>170.74740800000001</c:v>
                </c:pt>
                <c:pt idx="2">
                  <c:v>184.30269150000001</c:v>
                </c:pt>
                <c:pt idx="3">
                  <c:v>193.16825549999999</c:v>
                </c:pt>
                <c:pt idx="4">
                  <c:v>198.4023795</c:v>
                </c:pt>
                <c:pt idx="5">
                  <c:v>167.38102850000001</c:v>
                </c:pt>
                <c:pt idx="6">
                  <c:v>179.471082</c:v>
                </c:pt>
                <c:pt idx="7">
                  <c:v>164.8067685</c:v>
                </c:pt>
                <c:pt idx="8">
                  <c:v>171.82050699999999</c:v>
                </c:pt>
                <c:pt idx="9">
                  <c:v>159.55676600000001</c:v>
                </c:pt>
                <c:pt idx="10">
                  <c:v>138.52277699999999</c:v>
                </c:pt>
                <c:pt idx="11">
                  <c:v>173.90431599999999</c:v>
                </c:pt>
                <c:pt idx="12">
                  <c:v>163.790278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319.42587699999996</c:v>
                </c:pt>
                <c:pt idx="1">
                  <c:v>251.407815</c:v>
                </c:pt>
                <c:pt idx="2">
                  <c:v>244.29902600000003</c:v>
                </c:pt>
                <c:pt idx="3">
                  <c:v>297.46807000000001</c:v>
                </c:pt>
                <c:pt idx="4">
                  <c:v>179.118662</c:v>
                </c:pt>
                <c:pt idx="5">
                  <c:v>139.99740599999998</c:v>
                </c:pt>
                <c:pt idx="6">
                  <c:v>291.09868800000004</c:v>
                </c:pt>
                <c:pt idx="7">
                  <c:v>340.69507099999998</c:v>
                </c:pt>
                <c:pt idx="8">
                  <c:v>143.248672</c:v>
                </c:pt>
                <c:pt idx="9">
                  <c:v>188.45239799999999</c:v>
                </c:pt>
                <c:pt idx="10">
                  <c:v>342.23361200000005</c:v>
                </c:pt>
                <c:pt idx="11">
                  <c:v>172.471059</c:v>
                </c:pt>
                <c:pt idx="12">
                  <c:v>115.374332</c:v>
                </c:pt>
                <c:pt idx="13">
                  <c:v>111.75659399999999</c:v>
                </c:pt>
                <c:pt idx="14">
                  <c:v>61.965980000000002</c:v>
                </c:pt>
                <c:pt idx="15">
                  <c:v>132.32562200000001</c:v>
                </c:pt>
                <c:pt idx="16">
                  <c:v>121.604596</c:v>
                </c:pt>
                <c:pt idx="17">
                  <c:v>169.32138699999999</c:v>
                </c:pt>
                <c:pt idx="18">
                  <c:v>240.23095699999999</c:v>
                </c:pt>
                <c:pt idx="19">
                  <c:v>340.03783700000002</c:v>
                </c:pt>
                <c:pt idx="20">
                  <c:v>218.93901399999999</c:v>
                </c:pt>
                <c:pt idx="21">
                  <c:v>178.84892300000001</c:v>
                </c:pt>
                <c:pt idx="22">
                  <c:v>347.30294400000002</c:v>
                </c:pt>
                <c:pt idx="23">
                  <c:v>169.15166500000001</c:v>
                </c:pt>
                <c:pt idx="24">
                  <c:v>33.181423000000002</c:v>
                </c:pt>
                <c:pt idx="25">
                  <c:v>64.825469999999996</c:v>
                </c:pt>
                <c:pt idx="26">
                  <c:v>42.705824</c:v>
                </c:pt>
                <c:pt idx="27">
                  <c:v>83.482683999999992</c:v>
                </c:pt>
                <c:pt idx="28">
                  <c:v>76.700134000000006</c:v>
                </c:pt>
                <c:pt idx="29">
                  <c:v>117.127628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40.954235809067448</c:v>
                </c:pt>
                <c:pt idx="1">
                  <c:v>34.951086358455989</c:v>
                </c:pt>
                <c:pt idx="2">
                  <c:v>35.849381532789401</c:v>
                </c:pt>
                <c:pt idx="3">
                  <c:v>40.231192256209823</c:v>
                </c:pt>
                <c:pt idx="4">
                  <c:v>24.39266624629353</c:v>
                </c:pt>
                <c:pt idx="5">
                  <c:v>18.505806425464648</c:v>
                </c:pt>
                <c:pt idx="6">
                  <c:v>37.106360343972113</c:v>
                </c:pt>
                <c:pt idx="7">
                  <c:v>43.255400826371734</c:v>
                </c:pt>
                <c:pt idx="8">
                  <c:v>21.725086674329841</c:v>
                </c:pt>
                <c:pt idx="9">
                  <c:v>29.040603492010714</c:v>
                </c:pt>
                <c:pt idx="10">
                  <c:v>45.842502818136978</c:v>
                </c:pt>
                <c:pt idx="11">
                  <c:v>24.081816597245371</c:v>
                </c:pt>
                <c:pt idx="12">
                  <c:v>16.833984628897831</c:v>
                </c:pt>
                <c:pt idx="13">
                  <c:v>17.802532858578452</c:v>
                </c:pt>
                <c:pt idx="14">
                  <c:v>10.389448202940162</c:v>
                </c:pt>
                <c:pt idx="15">
                  <c:v>21.003120408828742</c:v>
                </c:pt>
                <c:pt idx="16">
                  <c:v>20.533095549203903</c:v>
                </c:pt>
                <c:pt idx="17">
                  <c:v>26.262103084084089</c:v>
                </c:pt>
                <c:pt idx="18">
                  <c:v>35.222219210782448</c:v>
                </c:pt>
                <c:pt idx="19">
                  <c:v>45.946304542877883</c:v>
                </c:pt>
                <c:pt idx="20">
                  <c:v>29.774352325890096</c:v>
                </c:pt>
                <c:pt idx="21">
                  <c:v>27.850583477320427</c:v>
                </c:pt>
                <c:pt idx="22">
                  <c:v>47.341136290147709</c:v>
                </c:pt>
                <c:pt idx="23">
                  <c:v>26.02710840109258</c:v>
                </c:pt>
                <c:pt idx="24">
                  <c:v>5.2795781436976039</c:v>
                </c:pt>
                <c:pt idx="25">
                  <c:v>9.6980167848665886</c:v>
                </c:pt>
                <c:pt idx="26">
                  <c:v>6.5406411842049454</c:v>
                </c:pt>
                <c:pt idx="27">
                  <c:v>13.056932837603757</c:v>
                </c:pt>
                <c:pt idx="28">
                  <c:v>11.225277886108481</c:v>
                </c:pt>
                <c:pt idx="29">
                  <c:v>18.142117406838139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</c:lvl>
                <c:lvl>
                  <c:pt idx="0">
                    <c:v>2021</c:v>
                  </c:pt>
                  <c:pt idx="275">
                    <c:v>2022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182.23006700000002</c:v>
                </c:pt>
                <c:pt idx="1">
                  <c:v>76.236577999999994</c:v>
                </c:pt>
                <c:pt idx="2">
                  <c:v>225.27495099999999</c:v>
                </c:pt>
                <c:pt idx="3">
                  <c:v>191.12843900000001</c:v>
                </c:pt>
                <c:pt idx="4">
                  <c:v>111.212344</c:v>
                </c:pt>
                <c:pt idx="5">
                  <c:v>259.98687899999999</c:v>
                </c:pt>
                <c:pt idx="6">
                  <c:v>219.57142800000003</c:v>
                </c:pt>
                <c:pt idx="7">
                  <c:v>143.101348</c:v>
                </c:pt>
                <c:pt idx="8">
                  <c:v>125.65394599999999</c:v>
                </c:pt>
                <c:pt idx="9">
                  <c:v>84.318479999999994</c:v>
                </c:pt>
                <c:pt idx="10">
                  <c:v>207.286731</c:v>
                </c:pt>
                <c:pt idx="11">
                  <c:v>186.45267699999999</c:v>
                </c:pt>
                <c:pt idx="12">
                  <c:v>78.329933000000011</c:v>
                </c:pt>
                <c:pt idx="13">
                  <c:v>117.66423899999999</c:v>
                </c:pt>
                <c:pt idx="14">
                  <c:v>192.73874000000001</c:v>
                </c:pt>
                <c:pt idx="15">
                  <c:v>243.00871600000002</c:v>
                </c:pt>
                <c:pt idx="16">
                  <c:v>227.67860700000003</c:v>
                </c:pt>
                <c:pt idx="17">
                  <c:v>122.06965699999999</c:v>
                </c:pt>
                <c:pt idx="18">
                  <c:v>63.650571999999997</c:v>
                </c:pt>
                <c:pt idx="19">
                  <c:v>47.180656999999997</c:v>
                </c:pt>
                <c:pt idx="20">
                  <c:v>40.098292000000001</c:v>
                </c:pt>
                <c:pt idx="21">
                  <c:v>63.853379999999994</c:v>
                </c:pt>
                <c:pt idx="22">
                  <c:v>189.36308600000001</c:v>
                </c:pt>
                <c:pt idx="23">
                  <c:v>221.39314300000001</c:v>
                </c:pt>
                <c:pt idx="24">
                  <c:v>138.57859400000001</c:v>
                </c:pt>
                <c:pt idx="25">
                  <c:v>52.446192000000003</c:v>
                </c:pt>
                <c:pt idx="26">
                  <c:v>55.059716999999999</c:v>
                </c:pt>
                <c:pt idx="27">
                  <c:v>64.012263000000004</c:v>
                </c:pt>
                <c:pt idx="28">
                  <c:v>87.662492</c:v>
                </c:pt>
                <c:pt idx="29">
                  <c:v>73.165069000000003</c:v>
                </c:pt>
                <c:pt idx="30">
                  <c:v>168.07542999999998</c:v>
                </c:pt>
                <c:pt idx="31">
                  <c:v>90.772222999999997</c:v>
                </c:pt>
                <c:pt idx="32">
                  <c:v>108.662935</c:v>
                </c:pt>
                <c:pt idx="33">
                  <c:v>61.359756999999995</c:v>
                </c:pt>
                <c:pt idx="34">
                  <c:v>77.207909000000001</c:v>
                </c:pt>
                <c:pt idx="35">
                  <c:v>120.717904</c:v>
                </c:pt>
                <c:pt idx="36">
                  <c:v>91.632914</c:v>
                </c:pt>
                <c:pt idx="37">
                  <c:v>192.913725</c:v>
                </c:pt>
                <c:pt idx="38">
                  <c:v>250.586984</c:v>
                </c:pt>
                <c:pt idx="39">
                  <c:v>183.57865900000002</c:v>
                </c:pt>
                <c:pt idx="40">
                  <c:v>278.169061</c:v>
                </c:pt>
                <c:pt idx="41">
                  <c:v>291.86210899999998</c:v>
                </c:pt>
                <c:pt idx="42">
                  <c:v>229.81404599999999</c:v>
                </c:pt>
                <c:pt idx="43">
                  <c:v>204.91981099999998</c:v>
                </c:pt>
                <c:pt idx="44">
                  <c:v>269.403255</c:v>
                </c:pt>
                <c:pt idx="45">
                  <c:v>292.65579599999995</c:v>
                </c:pt>
                <c:pt idx="46">
                  <c:v>106.187793</c:v>
                </c:pt>
                <c:pt idx="47">
                  <c:v>186.68162099999998</c:v>
                </c:pt>
                <c:pt idx="48">
                  <c:v>149.783219</c:v>
                </c:pt>
                <c:pt idx="49">
                  <c:v>87.604952000000011</c:v>
                </c:pt>
                <c:pt idx="50">
                  <c:v>147.67504</c:v>
                </c:pt>
                <c:pt idx="51">
                  <c:v>119.544276</c:v>
                </c:pt>
                <c:pt idx="52">
                  <c:v>120.53874999999999</c:v>
                </c:pt>
                <c:pt idx="53">
                  <c:v>174.24223599999999</c:v>
                </c:pt>
                <c:pt idx="54">
                  <c:v>133.723097</c:v>
                </c:pt>
                <c:pt idx="55">
                  <c:v>88.333927000000003</c:v>
                </c:pt>
                <c:pt idx="56">
                  <c:v>52.269663999999999</c:v>
                </c:pt>
                <c:pt idx="57">
                  <c:v>48.855035000000001</c:v>
                </c:pt>
                <c:pt idx="58">
                  <c:v>81.927820999999994</c:v>
                </c:pt>
                <c:pt idx="59">
                  <c:v>117.86642999999999</c:v>
                </c:pt>
                <c:pt idx="60">
                  <c:v>107.58640800000001</c:v>
                </c:pt>
                <c:pt idx="61">
                  <c:v>104.231497</c:v>
                </c:pt>
                <c:pt idx="62">
                  <c:v>60.775770999999999</c:v>
                </c:pt>
                <c:pt idx="63">
                  <c:v>124.33124000000001</c:v>
                </c:pt>
                <c:pt idx="64">
                  <c:v>102.700847</c:v>
                </c:pt>
                <c:pt idx="65">
                  <c:v>87.224457999999998</c:v>
                </c:pt>
                <c:pt idx="66">
                  <c:v>124.34185400000001</c:v>
                </c:pt>
                <c:pt idx="67">
                  <c:v>101.42814199999999</c:v>
                </c:pt>
                <c:pt idx="68">
                  <c:v>72.182373999999996</c:v>
                </c:pt>
                <c:pt idx="69">
                  <c:v>96.903625000000005</c:v>
                </c:pt>
                <c:pt idx="70">
                  <c:v>108.534159</c:v>
                </c:pt>
                <c:pt idx="71">
                  <c:v>200.63940100000002</c:v>
                </c:pt>
                <c:pt idx="72">
                  <c:v>168.742403</c:v>
                </c:pt>
                <c:pt idx="73">
                  <c:v>97.811302999999995</c:v>
                </c:pt>
                <c:pt idx="74">
                  <c:v>73.397408999999996</c:v>
                </c:pt>
                <c:pt idx="75">
                  <c:v>113.45855800000001</c:v>
                </c:pt>
                <c:pt idx="76">
                  <c:v>105.000179</c:v>
                </c:pt>
                <c:pt idx="77">
                  <c:v>96.281396999999998</c:v>
                </c:pt>
                <c:pt idx="78">
                  <c:v>119.67024099999999</c:v>
                </c:pt>
                <c:pt idx="79">
                  <c:v>91.508506999999994</c:v>
                </c:pt>
                <c:pt idx="80">
                  <c:v>246.62601000000001</c:v>
                </c:pt>
                <c:pt idx="81">
                  <c:v>176.27420000000001</c:v>
                </c:pt>
                <c:pt idx="82">
                  <c:v>118.335171</c:v>
                </c:pt>
                <c:pt idx="83">
                  <c:v>145.48106300000001</c:v>
                </c:pt>
                <c:pt idx="84">
                  <c:v>137.70433</c:v>
                </c:pt>
                <c:pt idx="85">
                  <c:v>113.49032799999999</c:v>
                </c:pt>
                <c:pt idx="86">
                  <c:v>125.772662</c:v>
                </c:pt>
                <c:pt idx="87">
                  <c:v>158.17301500000002</c:v>
                </c:pt>
                <c:pt idx="88">
                  <c:v>127.661293</c:v>
                </c:pt>
                <c:pt idx="89">
                  <c:v>71.417717999999994</c:v>
                </c:pt>
                <c:pt idx="90">
                  <c:v>68.183721999999989</c:v>
                </c:pt>
                <c:pt idx="91">
                  <c:v>53.853722000000005</c:v>
                </c:pt>
                <c:pt idx="92">
                  <c:v>81.504232000000002</c:v>
                </c:pt>
                <c:pt idx="93">
                  <c:v>108.750077</c:v>
                </c:pt>
                <c:pt idx="94">
                  <c:v>175.47572</c:v>
                </c:pt>
                <c:pt idx="95">
                  <c:v>185.84592800000001</c:v>
                </c:pt>
                <c:pt idx="96">
                  <c:v>170.28628600000002</c:v>
                </c:pt>
                <c:pt idx="97">
                  <c:v>100.12591</c:v>
                </c:pt>
                <c:pt idx="98">
                  <c:v>118.72372800000001</c:v>
                </c:pt>
                <c:pt idx="99">
                  <c:v>106.79435099999999</c:v>
                </c:pt>
                <c:pt idx="100">
                  <c:v>101.930645</c:v>
                </c:pt>
                <c:pt idx="101">
                  <c:v>129.881685</c:v>
                </c:pt>
                <c:pt idx="102">
                  <c:v>268.85704100000004</c:v>
                </c:pt>
                <c:pt idx="103">
                  <c:v>180.85459999999998</c:v>
                </c:pt>
                <c:pt idx="104">
                  <c:v>192.08371</c:v>
                </c:pt>
                <c:pt idx="105">
                  <c:v>191.56914</c:v>
                </c:pt>
                <c:pt idx="106">
                  <c:v>169.40151399999999</c:v>
                </c:pt>
                <c:pt idx="107">
                  <c:v>110.355237</c:v>
                </c:pt>
                <c:pt idx="108">
                  <c:v>164.72239999999999</c:v>
                </c:pt>
                <c:pt idx="109">
                  <c:v>90.316156000000007</c:v>
                </c:pt>
                <c:pt idx="110">
                  <c:v>60.916510000000002</c:v>
                </c:pt>
                <c:pt idx="111">
                  <c:v>54.754841999999996</c:v>
                </c:pt>
                <c:pt idx="112">
                  <c:v>107.59925</c:v>
                </c:pt>
                <c:pt idx="113">
                  <c:v>186.93346700000001</c:v>
                </c:pt>
                <c:pt idx="114">
                  <c:v>132.45575600000001</c:v>
                </c:pt>
                <c:pt idx="115">
                  <c:v>99.539763999999991</c:v>
                </c:pt>
                <c:pt idx="116">
                  <c:v>96.478289999999987</c:v>
                </c:pt>
                <c:pt idx="117">
                  <c:v>97.796486999999999</c:v>
                </c:pt>
                <c:pt idx="118">
                  <c:v>141.16972099999998</c:v>
                </c:pt>
                <c:pt idx="119">
                  <c:v>126.49287799999999</c:v>
                </c:pt>
                <c:pt idx="120">
                  <c:v>139.68551700000003</c:v>
                </c:pt>
                <c:pt idx="121">
                  <c:v>231.39542799999998</c:v>
                </c:pt>
                <c:pt idx="122">
                  <c:v>105.184585</c:v>
                </c:pt>
                <c:pt idx="123">
                  <c:v>65.451475000000002</c:v>
                </c:pt>
                <c:pt idx="124">
                  <c:v>81.196016</c:v>
                </c:pt>
                <c:pt idx="125">
                  <c:v>117.95353299999999</c:v>
                </c:pt>
                <c:pt idx="126">
                  <c:v>126.27573600000001</c:v>
                </c:pt>
                <c:pt idx="127">
                  <c:v>136.36306099999999</c:v>
                </c:pt>
                <c:pt idx="128">
                  <c:v>161.55542399999999</c:v>
                </c:pt>
                <c:pt idx="129">
                  <c:v>90.905316999999997</c:v>
                </c:pt>
                <c:pt idx="130">
                  <c:v>83.163594000000003</c:v>
                </c:pt>
                <c:pt idx="131">
                  <c:v>63.677168999999999</c:v>
                </c:pt>
                <c:pt idx="132">
                  <c:v>70.815585999999996</c:v>
                </c:pt>
                <c:pt idx="133">
                  <c:v>105.13843500000002</c:v>
                </c:pt>
                <c:pt idx="134">
                  <c:v>77.891987</c:v>
                </c:pt>
                <c:pt idx="135">
                  <c:v>88.146130999999997</c:v>
                </c:pt>
                <c:pt idx="136">
                  <c:v>135.29221699999999</c:v>
                </c:pt>
                <c:pt idx="137">
                  <c:v>245.59370000000001</c:v>
                </c:pt>
                <c:pt idx="138">
                  <c:v>264.10150699999997</c:v>
                </c:pt>
                <c:pt idx="139">
                  <c:v>194.31456600000001</c:v>
                </c:pt>
                <c:pt idx="140">
                  <c:v>100.869519</c:v>
                </c:pt>
                <c:pt idx="141">
                  <c:v>70.188290999999992</c:v>
                </c:pt>
                <c:pt idx="142">
                  <c:v>75.149498000000008</c:v>
                </c:pt>
                <c:pt idx="143">
                  <c:v>136.277231</c:v>
                </c:pt>
                <c:pt idx="144">
                  <c:v>225.98200699999998</c:v>
                </c:pt>
                <c:pt idx="145">
                  <c:v>200.105333</c:v>
                </c:pt>
                <c:pt idx="146">
                  <c:v>84.59216099999999</c:v>
                </c:pt>
                <c:pt idx="147">
                  <c:v>43.372470999999997</c:v>
                </c:pt>
                <c:pt idx="148">
                  <c:v>80.783937999999992</c:v>
                </c:pt>
                <c:pt idx="149">
                  <c:v>164.18552199999999</c:v>
                </c:pt>
                <c:pt idx="150">
                  <c:v>107.689087</c:v>
                </c:pt>
                <c:pt idx="151">
                  <c:v>70.608243999999999</c:v>
                </c:pt>
                <c:pt idx="152">
                  <c:v>79.501566000000011</c:v>
                </c:pt>
                <c:pt idx="153">
                  <c:v>106.17876099999999</c:v>
                </c:pt>
                <c:pt idx="154">
                  <c:v>31.283776000000003</c:v>
                </c:pt>
                <c:pt idx="155">
                  <c:v>18.009798</c:v>
                </c:pt>
                <c:pt idx="156">
                  <c:v>30.801286000000001</c:v>
                </c:pt>
                <c:pt idx="157">
                  <c:v>76.818422999999996</c:v>
                </c:pt>
                <c:pt idx="158">
                  <c:v>139.00310899999999</c:v>
                </c:pt>
                <c:pt idx="159">
                  <c:v>224.04742100000001</c:v>
                </c:pt>
                <c:pt idx="160">
                  <c:v>131.33592899999999</c:v>
                </c:pt>
                <c:pt idx="161">
                  <c:v>116.04786800000001</c:v>
                </c:pt>
                <c:pt idx="162">
                  <c:v>65.756388000000001</c:v>
                </c:pt>
                <c:pt idx="163">
                  <c:v>33.642375999999999</c:v>
                </c:pt>
                <c:pt idx="164">
                  <c:v>46.564877000000003</c:v>
                </c:pt>
                <c:pt idx="165">
                  <c:v>152.68408700000001</c:v>
                </c:pt>
                <c:pt idx="166">
                  <c:v>117.793465</c:v>
                </c:pt>
                <c:pt idx="167">
                  <c:v>45.131029000000005</c:v>
                </c:pt>
                <c:pt idx="168">
                  <c:v>82.342123000000001</c:v>
                </c:pt>
                <c:pt idx="169">
                  <c:v>51.168244000000008</c:v>
                </c:pt>
                <c:pt idx="170">
                  <c:v>108.26396200000001</c:v>
                </c:pt>
                <c:pt idx="171">
                  <c:v>91.990882999999997</c:v>
                </c:pt>
                <c:pt idx="172">
                  <c:v>196.96962100000002</c:v>
                </c:pt>
                <c:pt idx="173">
                  <c:v>221.25798699999999</c:v>
                </c:pt>
                <c:pt idx="174">
                  <c:v>154.246115</c:v>
                </c:pt>
                <c:pt idx="175">
                  <c:v>208.75555300000002</c:v>
                </c:pt>
                <c:pt idx="176">
                  <c:v>120.70046499999999</c:v>
                </c:pt>
                <c:pt idx="177">
                  <c:v>118.211063</c:v>
                </c:pt>
                <c:pt idx="178">
                  <c:v>100.70335300000001</c:v>
                </c:pt>
                <c:pt idx="179">
                  <c:v>77.789228000000008</c:v>
                </c:pt>
                <c:pt idx="180">
                  <c:v>58.146766000000007</c:v>
                </c:pt>
                <c:pt idx="181">
                  <c:v>121.07462099999999</c:v>
                </c:pt>
                <c:pt idx="182">
                  <c:v>83.121623999999997</c:v>
                </c:pt>
                <c:pt idx="183">
                  <c:v>38.888199</c:v>
                </c:pt>
                <c:pt idx="184">
                  <c:v>179.964888</c:v>
                </c:pt>
                <c:pt idx="185">
                  <c:v>246.533998</c:v>
                </c:pt>
                <c:pt idx="186">
                  <c:v>215.238437</c:v>
                </c:pt>
                <c:pt idx="187">
                  <c:v>168.73938099999998</c:v>
                </c:pt>
                <c:pt idx="188">
                  <c:v>125.47463</c:v>
                </c:pt>
                <c:pt idx="189">
                  <c:v>105.89893099999999</c:v>
                </c:pt>
                <c:pt idx="190">
                  <c:v>90.848475000000008</c:v>
                </c:pt>
                <c:pt idx="191">
                  <c:v>122.08157700000001</c:v>
                </c:pt>
                <c:pt idx="192">
                  <c:v>201.98101399999999</c:v>
                </c:pt>
                <c:pt idx="193">
                  <c:v>170.255595</c:v>
                </c:pt>
                <c:pt idx="194">
                  <c:v>151.565426</c:v>
                </c:pt>
                <c:pt idx="195">
                  <c:v>178.06794099999999</c:v>
                </c:pt>
                <c:pt idx="196">
                  <c:v>76.483199999999997</c:v>
                </c:pt>
                <c:pt idx="197">
                  <c:v>59.870756</c:v>
                </c:pt>
                <c:pt idx="198">
                  <c:v>51.859968000000002</c:v>
                </c:pt>
                <c:pt idx="199">
                  <c:v>54.082108999999996</c:v>
                </c:pt>
                <c:pt idx="200">
                  <c:v>68.709029999999998</c:v>
                </c:pt>
                <c:pt idx="201">
                  <c:v>183.80328700000001</c:v>
                </c:pt>
                <c:pt idx="202">
                  <c:v>217.531643</c:v>
                </c:pt>
                <c:pt idx="203">
                  <c:v>113.222797</c:v>
                </c:pt>
                <c:pt idx="204">
                  <c:v>168.46372399999998</c:v>
                </c:pt>
                <c:pt idx="205">
                  <c:v>77.004168000000007</c:v>
                </c:pt>
                <c:pt idx="206">
                  <c:v>53.185224000000005</c:v>
                </c:pt>
                <c:pt idx="207">
                  <c:v>37.106322999999996</c:v>
                </c:pt>
                <c:pt idx="208">
                  <c:v>77.944802999999993</c:v>
                </c:pt>
                <c:pt idx="209">
                  <c:v>43.982253</c:v>
                </c:pt>
                <c:pt idx="210">
                  <c:v>159.536011</c:v>
                </c:pt>
                <c:pt idx="211">
                  <c:v>214.90374</c:v>
                </c:pt>
                <c:pt idx="212">
                  <c:v>278.104557</c:v>
                </c:pt>
                <c:pt idx="213">
                  <c:v>321.622816</c:v>
                </c:pt>
                <c:pt idx="214">
                  <c:v>299.71646100000004</c:v>
                </c:pt>
                <c:pt idx="215">
                  <c:v>291.50400000000002</c:v>
                </c:pt>
                <c:pt idx="216">
                  <c:v>238.34883899999997</c:v>
                </c:pt>
                <c:pt idx="217">
                  <c:v>168.86299299999999</c:v>
                </c:pt>
                <c:pt idx="218">
                  <c:v>235.93647799999999</c:v>
                </c:pt>
                <c:pt idx="219">
                  <c:v>274.33406899999994</c:v>
                </c:pt>
                <c:pt idx="220">
                  <c:v>295.472418</c:v>
                </c:pt>
                <c:pt idx="221">
                  <c:v>281.052682</c:v>
                </c:pt>
                <c:pt idx="222">
                  <c:v>187.24220600000001</c:v>
                </c:pt>
                <c:pt idx="223">
                  <c:v>90.485464999999991</c:v>
                </c:pt>
                <c:pt idx="224">
                  <c:v>58.279859999999999</c:v>
                </c:pt>
                <c:pt idx="225">
                  <c:v>80.061032000000012</c:v>
                </c:pt>
                <c:pt idx="226">
                  <c:v>127.324252</c:v>
                </c:pt>
                <c:pt idx="227">
                  <c:v>228.948578</c:v>
                </c:pt>
                <c:pt idx="228">
                  <c:v>277.06967099999997</c:v>
                </c:pt>
                <c:pt idx="229">
                  <c:v>219.12346399999998</c:v>
                </c:pt>
                <c:pt idx="230">
                  <c:v>289.04092700000001</c:v>
                </c:pt>
                <c:pt idx="231">
                  <c:v>219.48891999999998</c:v>
                </c:pt>
                <c:pt idx="232">
                  <c:v>154.32367099999999</c:v>
                </c:pt>
                <c:pt idx="233">
                  <c:v>82.706011000000004</c:v>
                </c:pt>
                <c:pt idx="234">
                  <c:v>82.872039000000001</c:v>
                </c:pt>
                <c:pt idx="235">
                  <c:v>165.64692600000001</c:v>
                </c:pt>
                <c:pt idx="236">
                  <c:v>218.25944699999999</c:v>
                </c:pt>
                <c:pt idx="237">
                  <c:v>184.36218700000001</c:v>
                </c:pt>
                <c:pt idx="238">
                  <c:v>249.635299</c:v>
                </c:pt>
                <c:pt idx="239">
                  <c:v>259.46151900000001</c:v>
                </c:pt>
                <c:pt idx="240">
                  <c:v>368.92908699999998</c:v>
                </c:pt>
                <c:pt idx="241">
                  <c:v>350.87088900000003</c:v>
                </c:pt>
                <c:pt idx="242">
                  <c:v>309.36996700000003</c:v>
                </c:pt>
                <c:pt idx="243">
                  <c:v>81.182106000000005</c:v>
                </c:pt>
                <c:pt idx="244">
                  <c:v>232.54872</c:v>
                </c:pt>
                <c:pt idx="245">
                  <c:v>335.91356800000005</c:v>
                </c:pt>
                <c:pt idx="246">
                  <c:v>294.551716</c:v>
                </c:pt>
                <c:pt idx="247">
                  <c:v>319.35013800000002</c:v>
                </c:pt>
                <c:pt idx="248">
                  <c:v>390.46231300000005</c:v>
                </c:pt>
                <c:pt idx="249">
                  <c:v>282.725908</c:v>
                </c:pt>
                <c:pt idx="250">
                  <c:v>301.45201200000002</c:v>
                </c:pt>
                <c:pt idx="251">
                  <c:v>423.30775200000005</c:v>
                </c:pt>
                <c:pt idx="252">
                  <c:v>386.485388</c:v>
                </c:pt>
                <c:pt idx="253">
                  <c:v>417.07023799999996</c:v>
                </c:pt>
                <c:pt idx="254">
                  <c:v>260.28360699999996</c:v>
                </c:pt>
                <c:pt idx="255">
                  <c:v>99.346322000000001</c:v>
                </c:pt>
                <c:pt idx="256">
                  <c:v>92.523330000000001</c:v>
                </c:pt>
                <c:pt idx="257">
                  <c:v>60.152150999999996</c:v>
                </c:pt>
                <c:pt idx="258">
                  <c:v>107.20201300000001</c:v>
                </c:pt>
                <c:pt idx="259">
                  <c:v>147.840676</c:v>
                </c:pt>
                <c:pt idx="260">
                  <c:v>113.43718</c:v>
                </c:pt>
                <c:pt idx="261">
                  <c:v>83.451227000000003</c:v>
                </c:pt>
                <c:pt idx="262">
                  <c:v>122.51447400000001</c:v>
                </c:pt>
                <c:pt idx="263">
                  <c:v>119.96771099999999</c:v>
                </c:pt>
                <c:pt idx="264">
                  <c:v>131.450579</c:v>
                </c:pt>
                <c:pt idx="265">
                  <c:v>141.59109799999999</c:v>
                </c:pt>
                <c:pt idx="266">
                  <c:v>162.03058199999998</c:v>
                </c:pt>
                <c:pt idx="267">
                  <c:v>198.19411799999997</c:v>
                </c:pt>
                <c:pt idx="268">
                  <c:v>160.13869</c:v>
                </c:pt>
                <c:pt idx="269">
                  <c:v>235.758375</c:v>
                </c:pt>
                <c:pt idx="270">
                  <c:v>391.16411900000003</c:v>
                </c:pt>
                <c:pt idx="271">
                  <c:v>378.94098299999996</c:v>
                </c:pt>
                <c:pt idx="272">
                  <c:v>214.961682</c:v>
                </c:pt>
                <c:pt idx="273">
                  <c:v>93.666549000000003</c:v>
                </c:pt>
                <c:pt idx="274">
                  <c:v>120.18132399999999</c:v>
                </c:pt>
                <c:pt idx="275">
                  <c:v>139.46714299999999</c:v>
                </c:pt>
                <c:pt idx="276">
                  <c:v>103.22421899999999</c:v>
                </c:pt>
                <c:pt idx="277">
                  <c:v>151.54802099999998</c:v>
                </c:pt>
                <c:pt idx="278">
                  <c:v>303.58201500000001</c:v>
                </c:pt>
                <c:pt idx="279">
                  <c:v>291.232482</c:v>
                </c:pt>
                <c:pt idx="280">
                  <c:v>206.08566300000001</c:v>
                </c:pt>
                <c:pt idx="281">
                  <c:v>208.517426</c:v>
                </c:pt>
                <c:pt idx="282">
                  <c:v>261.85432700000001</c:v>
                </c:pt>
                <c:pt idx="283">
                  <c:v>392.63695100000001</c:v>
                </c:pt>
                <c:pt idx="284">
                  <c:v>307.09090900000001</c:v>
                </c:pt>
                <c:pt idx="285">
                  <c:v>245.221847</c:v>
                </c:pt>
                <c:pt idx="286">
                  <c:v>263.36616300000003</c:v>
                </c:pt>
                <c:pt idx="287">
                  <c:v>128.97225800000001</c:v>
                </c:pt>
                <c:pt idx="288">
                  <c:v>84.023750000000007</c:v>
                </c:pt>
                <c:pt idx="289">
                  <c:v>62.009610000000002</c:v>
                </c:pt>
                <c:pt idx="290">
                  <c:v>64.098206000000005</c:v>
                </c:pt>
                <c:pt idx="291">
                  <c:v>76.089658</c:v>
                </c:pt>
                <c:pt idx="292">
                  <c:v>50.593338000000003</c:v>
                </c:pt>
                <c:pt idx="293">
                  <c:v>95.961089000000001</c:v>
                </c:pt>
                <c:pt idx="294">
                  <c:v>208.84425399999998</c:v>
                </c:pt>
                <c:pt idx="295">
                  <c:v>308.51583400000004</c:v>
                </c:pt>
                <c:pt idx="296">
                  <c:v>174.68729300000001</c:v>
                </c:pt>
                <c:pt idx="297">
                  <c:v>95.033597</c:v>
                </c:pt>
                <c:pt idx="298">
                  <c:v>82.138345000000001</c:v>
                </c:pt>
                <c:pt idx="299">
                  <c:v>99.780138000000008</c:v>
                </c:pt>
                <c:pt idx="300">
                  <c:v>122.851392</c:v>
                </c:pt>
                <c:pt idx="301">
                  <c:v>134.06660399999998</c:v>
                </c:pt>
                <c:pt idx="302">
                  <c:v>212.95236799999998</c:v>
                </c:pt>
                <c:pt idx="303">
                  <c:v>114.510254</c:v>
                </c:pt>
                <c:pt idx="304">
                  <c:v>91.937937999999988</c:v>
                </c:pt>
                <c:pt idx="305">
                  <c:v>297.76748099999998</c:v>
                </c:pt>
                <c:pt idx="306">
                  <c:v>315.257271</c:v>
                </c:pt>
                <c:pt idx="307">
                  <c:v>143.00407200000001</c:v>
                </c:pt>
                <c:pt idx="308">
                  <c:v>83.152304999999998</c:v>
                </c:pt>
                <c:pt idx="309">
                  <c:v>104.76411</c:v>
                </c:pt>
                <c:pt idx="310">
                  <c:v>199.61296399999998</c:v>
                </c:pt>
                <c:pt idx="311">
                  <c:v>147.17840699999999</c:v>
                </c:pt>
                <c:pt idx="312">
                  <c:v>237.96122199999999</c:v>
                </c:pt>
                <c:pt idx="313">
                  <c:v>135.36111300000002</c:v>
                </c:pt>
                <c:pt idx="314">
                  <c:v>102.295768</c:v>
                </c:pt>
                <c:pt idx="315">
                  <c:v>49.844251999999997</c:v>
                </c:pt>
                <c:pt idx="316">
                  <c:v>73.976751999999991</c:v>
                </c:pt>
                <c:pt idx="317">
                  <c:v>49.262667999999998</c:v>
                </c:pt>
                <c:pt idx="318">
                  <c:v>247.01759799999999</c:v>
                </c:pt>
                <c:pt idx="319">
                  <c:v>299.31438199999997</c:v>
                </c:pt>
                <c:pt idx="320">
                  <c:v>232.98200600000001</c:v>
                </c:pt>
                <c:pt idx="321">
                  <c:v>313.494958</c:v>
                </c:pt>
                <c:pt idx="322">
                  <c:v>175.595237</c:v>
                </c:pt>
                <c:pt idx="323">
                  <c:v>145.04514500000002</c:v>
                </c:pt>
                <c:pt idx="324">
                  <c:v>233.749876</c:v>
                </c:pt>
                <c:pt idx="325">
                  <c:v>139.12622699999997</c:v>
                </c:pt>
                <c:pt idx="326">
                  <c:v>204.219041</c:v>
                </c:pt>
                <c:pt idx="327">
                  <c:v>187.93743399999997</c:v>
                </c:pt>
                <c:pt idx="328">
                  <c:v>111.768598</c:v>
                </c:pt>
                <c:pt idx="329">
                  <c:v>134.72277400000002</c:v>
                </c:pt>
                <c:pt idx="330">
                  <c:v>301.68914000000001</c:v>
                </c:pt>
                <c:pt idx="331">
                  <c:v>175.135582</c:v>
                </c:pt>
                <c:pt idx="332">
                  <c:v>59.524362000000004</c:v>
                </c:pt>
                <c:pt idx="333">
                  <c:v>58.070957</c:v>
                </c:pt>
                <c:pt idx="334">
                  <c:v>122.91699700000001</c:v>
                </c:pt>
                <c:pt idx="335">
                  <c:v>183.592702</c:v>
                </c:pt>
                <c:pt idx="336">
                  <c:v>179.27895699999999</c:v>
                </c:pt>
                <c:pt idx="337">
                  <c:v>292.193397</c:v>
                </c:pt>
                <c:pt idx="338">
                  <c:v>162.66122399999998</c:v>
                </c:pt>
                <c:pt idx="339">
                  <c:v>130.20854700000001</c:v>
                </c:pt>
                <c:pt idx="340">
                  <c:v>102.681793</c:v>
                </c:pt>
                <c:pt idx="341">
                  <c:v>167.990995</c:v>
                </c:pt>
                <c:pt idx="342">
                  <c:v>159.00417899999997</c:v>
                </c:pt>
                <c:pt idx="343">
                  <c:v>200.78646499999999</c:v>
                </c:pt>
                <c:pt idx="344">
                  <c:v>249.18439599999999</c:v>
                </c:pt>
                <c:pt idx="345">
                  <c:v>232.19116200000002</c:v>
                </c:pt>
                <c:pt idx="346">
                  <c:v>162.969685</c:v>
                </c:pt>
                <c:pt idx="347">
                  <c:v>357.43951299999998</c:v>
                </c:pt>
                <c:pt idx="348">
                  <c:v>324.42634100000004</c:v>
                </c:pt>
                <c:pt idx="349">
                  <c:v>205.35738899999998</c:v>
                </c:pt>
                <c:pt idx="350">
                  <c:v>392.84063500000002</c:v>
                </c:pt>
                <c:pt idx="351">
                  <c:v>202.779304</c:v>
                </c:pt>
                <c:pt idx="352">
                  <c:v>138.549688</c:v>
                </c:pt>
                <c:pt idx="353">
                  <c:v>238.59893700000001</c:v>
                </c:pt>
                <c:pt idx="354">
                  <c:v>284.60391299999998</c:v>
                </c:pt>
                <c:pt idx="355">
                  <c:v>306.63752199999999</c:v>
                </c:pt>
                <c:pt idx="356">
                  <c:v>278.91898700000002</c:v>
                </c:pt>
                <c:pt idx="357">
                  <c:v>226.112503</c:v>
                </c:pt>
                <c:pt idx="358">
                  <c:v>186.82620399999999</c:v>
                </c:pt>
                <c:pt idx="359">
                  <c:v>115.387671</c:v>
                </c:pt>
                <c:pt idx="360">
                  <c:v>115.301436</c:v>
                </c:pt>
                <c:pt idx="361">
                  <c:v>172.24667700000001</c:v>
                </c:pt>
                <c:pt idx="362">
                  <c:v>64.639876999999998</c:v>
                </c:pt>
                <c:pt idx="363">
                  <c:v>183.386764</c:v>
                </c:pt>
                <c:pt idx="364">
                  <c:v>308.62641300000001</c:v>
                </c:pt>
                <c:pt idx="365">
                  <c:v>327.84807699999999</c:v>
                </c:pt>
                <c:pt idx="366">
                  <c:v>259.572315</c:v>
                </c:pt>
                <c:pt idx="367">
                  <c:v>247.54922600000003</c:v>
                </c:pt>
                <c:pt idx="368">
                  <c:v>298.96186999999998</c:v>
                </c:pt>
                <c:pt idx="369">
                  <c:v>180.01666200000003</c:v>
                </c:pt>
                <c:pt idx="370">
                  <c:v>140.25360599999999</c:v>
                </c:pt>
                <c:pt idx="371">
                  <c:v>291.23038800000006</c:v>
                </c:pt>
                <c:pt idx="372">
                  <c:v>340.73457100000002</c:v>
                </c:pt>
                <c:pt idx="373">
                  <c:v>143.248672</c:v>
                </c:pt>
                <c:pt idx="374">
                  <c:v>188.62789799999999</c:v>
                </c:pt>
                <c:pt idx="375">
                  <c:v>342.30431200000004</c:v>
                </c:pt>
                <c:pt idx="376">
                  <c:v>172.513159</c:v>
                </c:pt>
                <c:pt idx="377">
                  <c:v>115.374332</c:v>
                </c:pt>
                <c:pt idx="378">
                  <c:v>111.75659399999999</c:v>
                </c:pt>
                <c:pt idx="379">
                  <c:v>61.965980000000002</c:v>
                </c:pt>
                <c:pt idx="380">
                  <c:v>139.81402199999999</c:v>
                </c:pt>
                <c:pt idx="381">
                  <c:v>123.50419600000001</c:v>
                </c:pt>
                <c:pt idx="382">
                  <c:v>169.95018699999997</c:v>
                </c:pt>
                <c:pt idx="383">
                  <c:v>242.474557</c:v>
                </c:pt>
                <c:pt idx="384">
                  <c:v>341.69873700000005</c:v>
                </c:pt>
                <c:pt idx="385">
                  <c:v>218.93901399999999</c:v>
                </c:pt>
                <c:pt idx="386">
                  <c:v>178.84892300000001</c:v>
                </c:pt>
                <c:pt idx="387">
                  <c:v>347.51214400000003</c:v>
                </c:pt>
                <c:pt idx="388">
                  <c:v>169.86396500000001</c:v>
                </c:pt>
                <c:pt idx="389">
                  <c:v>33.181423000000002</c:v>
                </c:pt>
                <c:pt idx="390">
                  <c:v>64.825469999999996</c:v>
                </c:pt>
                <c:pt idx="391">
                  <c:v>42.705824</c:v>
                </c:pt>
                <c:pt idx="392">
                  <c:v>83.534083999999993</c:v>
                </c:pt>
                <c:pt idx="393">
                  <c:v>76.712934000000004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</c:lvl>
                <c:lvl>
                  <c:pt idx="0">
                    <c:v>2021</c:v>
                  </c:pt>
                  <c:pt idx="275">
                    <c:v>2022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168.5719670594701</c:v>
                </c:pt>
                <c:pt idx="1">
                  <c:v>168.5719670594701</c:v>
                </c:pt>
                <c:pt idx="2">
                  <c:v>168.5719670594701</c:v>
                </c:pt>
                <c:pt idx="3">
                  <c:v>168.5719670594701</c:v>
                </c:pt>
                <c:pt idx="4">
                  <c:v>168.5719670594701</c:v>
                </c:pt>
                <c:pt idx="5">
                  <c:v>168.5719670594701</c:v>
                </c:pt>
                <c:pt idx="6">
                  <c:v>168.5719670594701</c:v>
                </c:pt>
                <c:pt idx="7">
                  <c:v>168.5719670594701</c:v>
                </c:pt>
                <c:pt idx="8">
                  <c:v>168.5719670594701</c:v>
                </c:pt>
                <c:pt idx="9">
                  <c:v>168.5719670594701</c:v>
                </c:pt>
                <c:pt idx="10">
                  <c:v>168.5719670594701</c:v>
                </c:pt>
                <c:pt idx="11">
                  <c:v>168.5719670594701</c:v>
                </c:pt>
                <c:pt idx="12">
                  <c:v>168.5719670594701</c:v>
                </c:pt>
                <c:pt idx="13">
                  <c:v>168.5719670594701</c:v>
                </c:pt>
                <c:pt idx="14">
                  <c:v>168.5719670594701</c:v>
                </c:pt>
                <c:pt idx="15">
                  <c:v>168.5719670594701</c:v>
                </c:pt>
                <c:pt idx="16">
                  <c:v>168.5719670594701</c:v>
                </c:pt>
                <c:pt idx="17">
                  <c:v>168.5719670594701</c:v>
                </c:pt>
                <c:pt idx="18">
                  <c:v>168.5719670594701</c:v>
                </c:pt>
                <c:pt idx="19">
                  <c:v>168.5719670594701</c:v>
                </c:pt>
                <c:pt idx="20">
                  <c:v>168.5719670594701</c:v>
                </c:pt>
                <c:pt idx="21">
                  <c:v>168.5719670594701</c:v>
                </c:pt>
                <c:pt idx="22">
                  <c:v>168.5719670594701</c:v>
                </c:pt>
                <c:pt idx="23">
                  <c:v>168.5719670594701</c:v>
                </c:pt>
                <c:pt idx="24">
                  <c:v>168.5719670594701</c:v>
                </c:pt>
                <c:pt idx="25">
                  <c:v>168.5719670594701</c:v>
                </c:pt>
                <c:pt idx="26">
                  <c:v>168.5719670594701</c:v>
                </c:pt>
                <c:pt idx="27">
                  <c:v>168.5719670594701</c:v>
                </c:pt>
                <c:pt idx="28">
                  <c:v>168.5719670594701</c:v>
                </c:pt>
                <c:pt idx="29">
                  <c:v>168.5719670594701</c:v>
                </c:pt>
                <c:pt idx="30">
                  <c:v>148.21505251824942</c:v>
                </c:pt>
                <c:pt idx="31">
                  <c:v>148.21505251824942</c:v>
                </c:pt>
                <c:pt idx="32">
                  <c:v>148.21505251824942</c:v>
                </c:pt>
                <c:pt idx="33">
                  <c:v>148.21505251824942</c:v>
                </c:pt>
                <c:pt idx="34">
                  <c:v>148.21505251824942</c:v>
                </c:pt>
                <c:pt idx="35">
                  <c:v>148.21505251824942</c:v>
                </c:pt>
                <c:pt idx="36">
                  <c:v>148.21505251824942</c:v>
                </c:pt>
                <c:pt idx="37">
                  <c:v>148.21505251824942</c:v>
                </c:pt>
                <c:pt idx="38">
                  <c:v>148.21505251824942</c:v>
                </c:pt>
                <c:pt idx="39">
                  <c:v>148.21505251824942</c:v>
                </c:pt>
                <c:pt idx="40">
                  <c:v>148.21505251824942</c:v>
                </c:pt>
                <c:pt idx="41">
                  <c:v>148.21505251824942</c:v>
                </c:pt>
                <c:pt idx="42">
                  <c:v>148.21505251824942</c:v>
                </c:pt>
                <c:pt idx="43">
                  <c:v>148.21505251824942</c:v>
                </c:pt>
                <c:pt idx="44">
                  <c:v>148.21505251824942</c:v>
                </c:pt>
                <c:pt idx="45">
                  <c:v>148.21505251824942</c:v>
                </c:pt>
                <c:pt idx="46">
                  <c:v>148.21505251824942</c:v>
                </c:pt>
                <c:pt idx="47">
                  <c:v>148.21505251824942</c:v>
                </c:pt>
                <c:pt idx="48">
                  <c:v>148.21505251824942</c:v>
                </c:pt>
                <c:pt idx="49">
                  <c:v>148.21505251824942</c:v>
                </c:pt>
                <c:pt idx="50">
                  <c:v>148.21505251824942</c:v>
                </c:pt>
                <c:pt idx="51">
                  <c:v>148.21505251824942</c:v>
                </c:pt>
                <c:pt idx="52">
                  <c:v>148.21505251824942</c:v>
                </c:pt>
                <c:pt idx="53">
                  <c:v>148.21505251824942</c:v>
                </c:pt>
                <c:pt idx="54">
                  <c:v>148.21505251824942</c:v>
                </c:pt>
                <c:pt idx="55">
                  <c:v>148.21505251824942</c:v>
                </c:pt>
                <c:pt idx="56">
                  <c:v>148.21505251824942</c:v>
                </c:pt>
                <c:pt idx="57">
                  <c:v>148.21505251824942</c:v>
                </c:pt>
                <c:pt idx="58">
                  <c:v>148.21505251824942</c:v>
                </c:pt>
                <c:pt idx="59">
                  <c:v>148.21505251824942</c:v>
                </c:pt>
                <c:pt idx="60">
                  <c:v>148.21505251824942</c:v>
                </c:pt>
                <c:pt idx="61">
                  <c:v>125.35116599614517</c:v>
                </c:pt>
                <c:pt idx="62">
                  <c:v>125.35116599614517</c:v>
                </c:pt>
                <c:pt idx="63">
                  <c:v>125.35116599614517</c:v>
                </c:pt>
                <c:pt idx="64">
                  <c:v>125.35116599614517</c:v>
                </c:pt>
                <c:pt idx="65">
                  <c:v>125.35116599614517</c:v>
                </c:pt>
                <c:pt idx="66">
                  <c:v>125.35116599614517</c:v>
                </c:pt>
                <c:pt idx="67">
                  <c:v>125.35116599614517</c:v>
                </c:pt>
                <c:pt idx="68">
                  <c:v>125.35116599614517</c:v>
                </c:pt>
                <c:pt idx="69">
                  <c:v>125.35116599614517</c:v>
                </c:pt>
                <c:pt idx="70">
                  <c:v>125.35116599614517</c:v>
                </c:pt>
                <c:pt idx="71">
                  <c:v>125.35116599614517</c:v>
                </c:pt>
                <c:pt idx="72">
                  <c:v>125.35116599614517</c:v>
                </c:pt>
                <c:pt idx="73">
                  <c:v>125.35116599614517</c:v>
                </c:pt>
                <c:pt idx="74">
                  <c:v>125.35116599614517</c:v>
                </c:pt>
                <c:pt idx="75">
                  <c:v>125.35116599614517</c:v>
                </c:pt>
                <c:pt idx="76">
                  <c:v>125.35116599614517</c:v>
                </c:pt>
                <c:pt idx="77">
                  <c:v>125.35116599614517</c:v>
                </c:pt>
                <c:pt idx="78">
                  <c:v>125.35116599614517</c:v>
                </c:pt>
                <c:pt idx="79">
                  <c:v>125.35116599614517</c:v>
                </c:pt>
                <c:pt idx="80">
                  <c:v>125.35116599614517</c:v>
                </c:pt>
                <c:pt idx="81">
                  <c:v>125.35116599614517</c:v>
                </c:pt>
                <c:pt idx="82">
                  <c:v>125.35116599614517</c:v>
                </c:pt>
                <c:pt idx="83">
                  <c:v>125.35116599614517</c:v>
                </c:pt>
                <c:pt idx="84">
                  <c:v>125.35116599614517</c:v>
                </c:pt>
                <c:pt idx="85">
                  <c:v>125.35116599614517</c:v>
                </c:pt>
                <c:pt idx="86">
                  <c:v>125.35116599614517</c:v>
                </c:pt>
                <c:pt idx="87">
                  <c:v>125.35116599614517</c:v>
                </c:pt>
                <c:pt idx="88">
                  <c:v>125.35116599614517</c:v>
                </c:pt>
                <c:pt idx="89">
                  <c:v>125.35116599614517</c:v>
                </c:pt>
                <c:pt idx="90">
                  <c:v>125.35116599614517</c:v>
                </c:pt>
                <c:pt idx="91">
                  <c:v>123.29819065912838</c:v>
                </c:pt>
                <c:pt idx="92">
                  <c:v>123.29819065912838</c:v>
                </c:pt>
                <c:pt idx="93">
                  <c:v>123.29819065912838</c:v>
                </c:pt>
                <c:pt idx="94">
                  <c:v>123.29819065912838</c:v>
                </c:pt>
                <c:pt idx="95">
                  <c:v>123.29819065912838</c:v>
                </c:pt>
                <c:pt idx="96">
                  <c:v>123.29819065912838</c:v>
                </c:pt>
                <c:pt idx="97">
                  <c:v>123.29819065912838</c:v>
                </c:pt>
                <c:pt idx="98">
                  <c:v>123.29819065912838</c:v>
                </c:pt>
                <c:pt idx="99">
                  <c:v>123.29819065912838</c:v>
                </c:pt>
                <c:pt idx="100">
                  <c:v>123.29819065912838</c:v>
                </c:pt>
                <c:pt idx="101">
                  <c:v>123.29819065912838</c:v>
                </c:pt>
                <c:pt idx="102">
                  <c:v>123.29819065912838</c:v>
                </c:pt>
                <c:pt idx="103">
                  <c:v>123.29819065912838</c:v>
                </c:pt>
                <c:pt idx="104">
                  <c:v>123.29819065912838</c:v>
                </c:pt>
                <c:pt idx="105">
                  <c:v>123.29819065912838</c:v>
                </c:pt>
                <c:pt idx="106">
                  <c:v>123.29819065912838</c:v>
                </c:pt>
                <c:pt idx="107">
                  <c:v>123.29819065912838</c:v>
                </c:pt>
                <c:pt idx="108">
                  <c:v>123.29819065912838</c:v>
                </c:pt>
                <c:pt idx="109">
                  <c:v>123.29819065912838</c:v>
                </c:pt>
                <c:pt idx="110">
                  <c:v>123.29819065912838</c:v>
                </c:pt>
                <c:pt idx="111">
                  <c:v>123.29819065912838</c:v>
                </c:pt>
                <c:pt idx="112">
                  <c:v>123.29819065912838</c:v>
                </c:pt>
                <c:pt idx="113">
                  <c:v>123.29819065912838</c:v>
                </c:pt>
                <c:pt idx="114">
                  <c:v>123.29819065912838</c:v>
                </c:pt>
                <c:pt idx="115">
                  <c:v>123.29819065912838</c:v>
                </c:pt>
                <c:pt idx="116">
                  <c:v>123.29819065912838</c:v>
                </c:pt>
                <c:pt idx="117">
                  <c:v>123.29819065912838</c:v>
                </c:pt>
                <c:pt idx="118">
                  <c:v>123.29819065912838</c:v>
                </c:pt>
                <c:pt idx="119">
                  <c:v>123.29819065912838</c:v>
                </c:pt>
                <c:pt idx="120">
                  <c:v>123.29819065912838</c:v>
                </c:pt>
                <c:pt idx="121">
                  <c:v>123.29819065912838</c:v>
                </c:pt>
                <c:pt idx="122">
                  <c:v>119.88189259959397</c:v>
                </c:pt>
                <c:pt idx="123">
                  <c:v>119.88189259959397</c:v>
                </c:pt>
                <c:pt idx="124">
                  <c:v>119.88189259959397</c:v>
                </c:pt>
                <c:pt idx="125">
                  <c:v>119.88189259959397</c:v>
                </c:pt>
                <c:pt idx="126">
                  <c:v>119.88189259959397</c:v>
                </c:pt>
                <c:pt idx="127">
                  <c:v>119.88189259959397</c:v>
                </c:pt>
                <c:pt idx="128">
                  <c:v>119.88189259959397</c:v>
                </c:pt>
                <c:pt idx="129">
                  <c:v>119.88189259959397</c:v>
                </c:pt>
                <c:pt idx="130">
                  <c:v>119.88189259959397</c:v>
                </c:pt>
                <c:pt idx="131">
                  <c:v>119.88189259959397</c:v>
                </c:pt>
                <c:pt idx="132">
                  <c:v>119.88189259959397</c:v>
                </c:pt>
                <c:pt idx="133">
                  <c:v>119.88189259959397</c:v>
                </c:pt>
                <c:pt idx="134">
                  <c:v>119.88189259959397</c:v>
                </c:pt>
                <c:pt idx="135">
                  <c:v>119.88189259959397</c:v>
                </c:pt>
                <c:pt idx="136">
                  <c:v>119.88189259959397</c:v>
                </c:pt>
                <c:pt idx="137">
                  <c:v>119.88189259959397</c:v>
                </c:pt>
                <c:pt idx="138">
                  <c:v>119.88189259959397</c:v>
                </c:pt>
                <c:pt idx="139">
                  <c:v>119.88189259959397</c:v>
                </c:pt>
                <c:pt idx="140">
                  <c:v>119.88189259959397</c:v>
                </c:pt>
                <c:pt idx="141">
                  <c:v>119.88189259959397</c:v>
                </c:pt>
                <c:pt idx="142">
                  <c:v>119.88189259959397</c:v>
                </c:pt>
                <c:pt idx="143">
                  <c:v>119.88189259959397</c:v>
                </c:pt>
                <c:pt idx="144">
                  <c:v>119.88189259959397</c:v>
                </c:pt>
                <c:pt idx="145">
                  <c:v>119.88189259959397</c:v>
                </c:pt>
                <c:pt idx="146">
                  <c:v>119.88189259959397</c:v>
                </c:pt>
                <c:pt idx="147">
                  <c:v>119.88189259959397</c:v>
                </c:pt>
                <c:pt idx="148">
                  <c:v>119.88189259959397</c:v>
                </c:pt>
                <c:pt idx="149">
                  <c:v>119.88189259959397</c:v>
                </c:pt>
                <c:pt idx="150">
                  <c:v>119.88189259959397</c:v>
                </c:pt>
                <c:pt idx="151">
                  <c:v>119.88189259959397</c:v>
                </c:pt>
                <c:pt idx="152">
                  <c:v>119.88189259959397</c:v>
                </c:pt>
                <c:pt idx="153">
                  <c:v>117.97411428529821</c:v>
                </c:pt>
                <c:pt idx="154">
                  <c:v>117.97411428529821</c:v>
                </c:pt>
                <c:pt idx="155">
                  <c:v>117.97411428529821</c:v>
                </c:pt>
                <c:pt idx="156">
                  <c:v>117.97411428529821</c:v>
                </c:pt>
                <c:pt idx="157">
                  <c:v>117.97411428529821</c:v>
                </c:pt>
                <c:pt idx="158">
                  <c:v>117.97411428529821</c:v>
                </c:pt>
                <c:pt idx="159">
                  <c:v>117.97411428529821</c:v>
                </c:pt>
                <c:pt idx="160">
                  <c:v>117.97411428529821</c:v>
                </c:pt>
                <c:pt idx="161">
                  <c:v>117.97411428529821</c:v>
                </c:pt>
                <c:pt idx="162">
                  <c:v>117.97411428529821</c:v>
                </c:pt>
                <c:pt idx="163">
                  <c:v>117.97411428529821</c:v>
                </c:pt>
                <c:pt idx="164">
                  <c:v>117.97411428529821</c:v>
                </c:pt>
                <c:pt idx="165">
                  <c:v>117.97411428529821</c:v>
                </c:pt>
                <c:pt idx="166">
                  <c:v>117.97411428529821</c:v>
                </c:pt>
                <c:pt idx="167">
                  <c:v>117.97411428529821</c:v>
                </c:pt>
                <c:pt idx="168">
                  <c:v>117.97411428529821</c:v>
                </c:pt>
                <c:pt idx="169">
                  <c:v>117.97411428529821</c:v>
                </c:pt>
                <c:pt idx="170">
                  <c:v>117.97411428529821</c:v>
                </c:pt>
                <c:pt idx="171">
                  <c:v>117.97411428529821</c:v>
                </c:pt>
                <c:pt idx="172">
                  <c:v>117.97411428529821</c:v>
                </c:pt>
                <c:pt idx="173">
                  <c:v>117.97411428529821</c:v>
                </c:pt>
                <c:pt idx="174">
                  <c:v>117.97411428529821</c:v>
                </c:pt>
                <c:pt idx="175">
                  <c:v>117.97411428529821</c:v>
                </c:pt>
                <c:pt idx="176">
                  <c:v>117.97411428529821</c:v>
                </c:pt>
                <c:pt idx="177">
                  <c:v>117.97411428529821</c:v>
                </c:pt>
                <c:pt idx="178">
                  <c:v>117.97411428529821</c:v>
                </c:pt>
                <c:pt idx="179">
                  <c:v>117.97411428529821</c:v>
                </c:pt>
                <c:pt idx="180">
                  <c:v>117.97411428529821</c:v>
                </c:pt>
                <c:pt idx="181">
                  <c:v>117.97411428529821</c:v>
                </c:pt>
                <c:pt idx="182">
                  <c:v>117.97411428529821</c:v>
                </c:pt>
                <c:pt idx="183">
                  <c:v>137.65246829030852</c:v>
                </c:pt>
                <c:pt idx="184">
                  <c:v>137.65246829030852</c:v>
                </c:pt>
                <c:pt idx="185">
                  <c:v>137.65246829030852</c:v>
                </c:pt>
                <c:pt idx="186">
                  <c:v>137.65246829030852</c:v>
                </c:pt>
                <c:pt idx="187">
                  <c:v>137.65246829030852</c:v>
                </c:pt>
                <c:pt idx="188">
                  <c:v>137.65246829030852</c:v>
                </c:pt>
                <c:pt idx="189">
                  <c:v>137.65246829030852</c:v>
                </c:pt>
                <c:pt idx="190">
                  <c:v>137.65246829030852</c:v>
                </c:pt>
                <c:pt idx="191">
                  <c:v>137.65246829030852</c:v>
                </c:pt>
                <c:pt idx="192">
                  <c:v>137.65246829030852</c:v>
                </c:pt>
                <c:pt idx="193">
                  <c:v>137.65246829030852</c:v>
                </c:pt>
                <c:pt idx="194">
                  <c:v>137.65246829030852</c:v>
                </c:pt>
                <c:pt idx="195">
                  <c:v>137.65246829030852</c:v>
                </c:pt>
                <c:pt idx="196">
                  <c:v>137.65246829030852</c:v>
                </c:pt>
                <c:pt idx="197">
                  <c:v>137.65246829030852</c:v>
                </c:pt>
                <c:pt idx="198">
                  <c:v>137.65246829030852</c:v>
                </c:pt>
                <c:pt idx="199">
                  <c:v>137.65246829030852</c:v>
                </c:pt>
                <c:pt idx="200">
                  <c:v>137.65246829030852</c:v>
                </c:pt>
                <c:pt idx="201">
                  <c:v>137.65246829030852</c:v>
                </c:pt>
                <c:pt idx="202">
                  <c:v>137.65246829030852</c:v>
                </c:pt>
                <c:pt idx="203">
                  <c:v>137.65246829030852</c:v>
                </c:pt>
                <c:pt idx="204">
                  <c:v>137.65246829030852</c:v>
                </c:pt>
                <c:pt idx="205">
                  <c:v>137.65246829030852</c:v>
                </c:pt>
                <c:pt idx="206">
                  <c:v>137.65246829030852</c:v>
                </c:pt>
                <c:pt idx="207">
                  <c:v>137.65246829030852</c:v>
                </c:pt>
                <c:pt idx="208">
                  <c:v>137.65246829030852</c:v>
                </c:pt>
                <c:pt idx="209">
                  <c:v>137.65246829030852</c:v>
                </c:pt>
                <c:pt idx="210">
                  <c:v>137.65246829030852</c:v>
                </c:pt>
                <c:pt idx="211">
                  <c:v>137.65246829030852</c:v>
                </c:pt>
                <c:pt idx="212">
                  <c:v>137.65246829030852</c:v>
                </c:pt>
                <c:pt idx="213">
                  <c:v>137.65246829030852</c:v>
                </c:pt>
                <c:pt idx="214">
                  <c:v>183.91544727138802</c:v>
                </c:pt>
                <c:pt idx="215">
                  <c:v>183.91544727138802</c:v>
                </c:pt>
                <c:pt idx="216">
                  <c:v>183.91544727138802</c:v>
                </c:pt>
                <c:pt idx="217">
                  <c:v>183.91544727138802</c:v>
                </c:pt>
                <c:pt idx="218">
                  <c:v>183.91544727138802</c:v>
                </c:pt>
                <c:pt idx="219">
                  <c:v>183.91544727138802</c:v>
                </c:pt>
                <c:pt idx="220">
                  <c:v>183.91544727138802</c:v>
                </c:pt>
                <c:pt idx="221">
                  <c:v>183.91544727138802</c:v>
                </c:pt>
                <c:pt idx="222">
                  <c:v>183.91544727138802</c:v>
                </c:pt>
                <c:pt idx="223">
                  <c:v>183.91544727138802</c:v>
                </c:pt>
                <c:pt idx="224">
                  <c:v>183.91544727138802</c:v>
                </c:pt>
                <c:pt idx="225">
                  <c:v>183.91544727138802</c:v>
                </c:pt>
                <c:pt idx="226">
                  <c:v>183.91544727138802</c:v>
                </c:pt>
                <c:pt idx="227">
                  <c:v>183.91544727138802</c:v>
                </c:pt>
                <c:pt idx="228">
                  <c:v>183.91544727138802</c:v>
                </c:pt>
                <c:pt idx="229">
                  <c:v>183.91544727138802</c:v>
                </c:pt>
                <c:pt idx="230">
                  <c:v>183.91544727138802</c:v>
                </c:pt>
                <c:pt idx="231">
                  <c:v>183.91544727138802</c:v>
                </c:pt>
                <c:pt idx="232">
                  <c:v>183.91544727138802</c:v>
                </c:pt>
                <c:pt idx="233">
                  <c:v>183.91544727138802</c:v>
                </c:pt>
                <c:pt idx="234">
                  <c:v>183.91544727138802</c:v>
                </c:pt>
                <c:pt idx="235">
                  <c:v>183.91544727138802</c:v>
                </c:pt>
                <c:pt idx="236">
                  <c:v>183.91544727138802</c:v>
                </c:pt>
                <c:pt idx="237">
                  <c:v>183.91544727138802</c:v>
                </c:pt>
                <c:pt idx="238">
                  <c:v>183.91544727138802</c:v>
                </c:pt>
                <c:pt idx="239">
                  <c:v>183.91544727138802</c:v>
                </c:pt>
                <c:pt idx="240">
                  <c:v>183.91544727138802</c:v>
                </c:pt>
                <c:pt idx="241">
                  <c:v>183.91544727138802</c:v>
                </c:pt>
                <c:pt idx="242">
                  <c:v>183.91544727138802</c:v>
                </c:pt>
                <c:pt idx="243">
                  <c:v>183.91544727138802</c:v>
                </c:pt>
                <c:pt idx="244">
                  <c:v>181.48791176451735</c:v>
                </c:pt>
                <c:pt idx="245">
                  <c:v>181.48791176451735</c:v>
                </c:pt>
                <c:pt idx="246">
                  <c:v>181.48791176451735</c:v>
                </c:pt>
                <c:pt idx="247">
                  <c:v>181.48791176451735</c:v>
                </c:pt>
                <c:pt idx="248">
                  <c:v>181.48791176451735</c:v>
                </c:pt>
                <c:pt idx="249">
                  <c:v>181.48791176451735</c:v>
                </c:pt>
                <c:pt idx="250">
                  <c:v>181.48791176451735</c:v>
                </c:pt>
                <c:pt idx="251">
                  <c:v>181.48791176451735</c:v>
                </c:pt>
                <c:pt idx="252">
                  <c:v>181.48791176451735</c:v>
                </c:pt>
                <c:pt idx="253">
                  <c:v>181.48791176451735</c:v>
                </c:pt>
                <c:pt idx="254">
                  <c:v>181.48791176451735</c:v>
                </c:pt>
                <c:pt idx="255">
                  <c:v>181.48791176451735</c:v>
                </c:pt>
                <c:pt idx="256">
                  <c:v>181.48791176451735</c:v>
                </c:pt>
                <c:pt idx="257">
                  <c:v>181.48791176451735</c:v>
                </c:pt>
                <c:pt idx="258">
                  <c:v>181.48791176451735</c:v>
                </c:pt>
                <c:pt idx="259">
                  <c:v>181.48791176451735</c:v>
                </c:pt>
                <c:pt idx="260">
                  <c:v>181.48791176451735</c:v>
                </c:pt>
                <c:pt idx="261">
                  <c:v>181.48791176451735</c:v>
                </c:pt>
                <c:pt idx="262">
                  <c:v>181.48791176451735</c:v>
                </c:pt>
                <c:pt idx="263">
                  <c:v>181.48791176451735</c:v>
                </c:pt>
                <c:pt idx="264">
                  <c:v>181.48791176451735</c:v>
                </c:pt>
                <c:pt idx="265">
                  <c:v>181.48791176451735</c:v>
                </c:pt>
                <c:pt idx="266">
                  <c:v>181.48791176451735</c:v>
                </c:pt>
                <c:pt idx="267">
                  <c:v>181.48791176451735</c:v>
                </c:pt>
                <c:pt idx="268">
                  <c:v>181.48791176451735</c:v>
                </c:pt>
                <c:pt idx="269">
                  <c:v>181.48791176451735</c:v>
                </c:pt>
                <c:pt idx="270">
                  <c:v>181.48791176451735</c:v>
                </c:pt>
                <c:pt idx="271">
                  <c:v>181.48791176451735</c:v>
                </c:pt>
                <c:pt idx="272">
                  <c:v>181.48791176451735</c:v>
                </c:pt>
                <c:pt idx="273">
                  <c:v>181.48791176451735</c:v>
                </c:pt>
                <c:pt idx="274">
                  <c:v>181.48791176451735</c:v>
                </c:pt>
                <c:pt idx="275">
                  <c:v>211.46485176939154</c:v>
                </c:pt>
                <c:pt idx="276">
                  <c:v>211.46485176939154</c:v>
                </c:pt>
                <c:pt idx="277">
                  <c:v>211.46485176939154</c:v>
                </c:pt>
                <c:pt idx="278">
                  <c:v>211.46485176939154</c:v>
                </c:pt>
                <c:pt idx="279">
                  <c:v>211.46485176939154</c:v>
                </c:pt>
                <c:pt idx="280">
                  <c:v>211.46485176939154</c:v>
                </c:pt>
                <c:pt idx="281">
                  <c:v>211.46485176939154</c:v>
                </c:pt>
                <c:pt idx="282">
                  <c:v>211.46485176939154</c:v>
                </c:pt>
                <c:pt idx="283">
                  <c:v>211.46485176939154</c:v>
                </c:pt>
                <c:pt idx="284">
                  <c:v>211.46485176939154</c:v>
                </c:pt>
                <c:pt idx="285">
                  <c:v>211.46485176939154</c:v>
                </c:pt>
                <c:pt idx="286">
                  <c:v>211.46485176939154</c:v>
                </c:pt>
                <c:pt idx="287">
                  <c:v>211.46485176939154</c:v>
                </c:pt>
                <c:pt idx="288">
                  <c:v>211.46485176939154</c:v>
                </c:pt>
                <c:pt idx="289">
                  <c:v>211.46485176939154</c:v>
                </c:pt>
                <c:pt idx="290">
                  <c:v>211.46485176939154</c:v>
                </c:pt>
                <c:pt idx="291">
                  <c:v>211.46485176939154</c:v>
                </c:pt>
                <c:pt idx="292">
                  <c:v>211.46485176939154</c:v>
                </c:pt>
                <c:pt idx="293">
                  <c:v>211.46485176939154</c:v>
                </c:pt>
                <c:pt idx="294">
                  <c:v>211.46485176939154</c:v>
                </c:pt>
                <c:pt idx="295">
                  <c:v>211.46485176939154</c:v>
                </c:pt>
                <c:pt idx="296">
                  <c:v>211.46485176939154</c:v>
                </c:pt>
                <c:pt idx="297">
                  <c:v>211.46485176939154</c:v>
                </c:pt>
                <c:pt idx="298">
                  <c:v>211.46485176939154</c:v>
                </c:pt>
                <c:pt idx="299">
                  <c:v>211.46485176939154</c:v>
                </c:pt>
                <c:pt idx="300">
                  <c:v>211.46485176939154</c:v>
                </c:pt>
                <c:pt idx="301">
                  <c:v>211.46485176939154</c:v>
                </c:pt>
                <c:pt idx="302">
                  <c:v>211.46485176939154</c:v>
                </c:pt>
                <c:pt idx="303">
                  <c:v>211.46485176939154</c:v>
                </c:pt>
                <c:pt idx="304">
                  <c:v>211.46485176939154</c:v>
                </c:pt>
                <c:pt idx="305">
                  <c:v>211.46485176939154</c:v>
                </c:pt>
                <c:pt idx="306">
                  <c:v>223.24475299128139</c:v>
                </c:pt>
                <c:pt idx="307">
                  <c:v>223.24475299128139</c:v>
                </c:pt>
                <c:pt idx="308">
                  <c:v>223.24475299128139</c:v>
                </c:pt>
                <c:pt idx="309">
                  <c:v>223.24475299128139</c:v>
                </c:pt>
                <c:pt idx="310">
                  <c:v>223.24475299128139</c:v>
                </c:pt>
                <c:pt idx="311">
                  <c:v>223.24475299128139</c:v>
                </c:pt>
                <c:pt idx="312">
                  <c:v>223.24475299128139</c:v>
                </c:pt>
                <c:pt idx="313">
                  <c:v>223.24475299128139</c:v>
                </c:pt>
                <c:pt idx="314">
                  <c:v>223.24475299128139</c:v>
                </c:pt>
                <c:pt idx="315">
                  <c:v>223.24475299128139</c:v>
                </c:pt>
                <c:pt idx="316">
                  <c:v>223.24475299128139</c:v>
                </c:pt>
                <c:pt idx="317">
                  <c:v>223.24475299128139</c:v>
                </c:pt>
                <c:pt idx="318">
                  <c:v>223.24475299128139</c:v>
                </c:pt>
                <c:pt idx="319">
                  <c:v>223.24475299128139</c:v>
                </c:pt>
                <c:pt idx="320">
                  <c:v>223.24475299128139</c:v>
                </c:pt>
                <c:pt idx="321">
                  <c:v>223.24475299128139</c:v>
                </c:pt>
                <c:pt idx="322">
                  <c:v>223.24475299128139</c:v>
                </c:pt>
                <c:pt idx="323">
                  <c:v>223.24475299128139</c:v>
                </c:pt>
                <c:pt idx="324">
                  <c:v>223.24475299128139</c:v>
                </c:pt>
                <c:pt idx="325">
                  <c:v>223.24475299128139</c:v>
                </c:pt>
                <c:pt idx="326">
                  <c:v>223.24475299128139</c:v>
                </c:pt>
                <c:pt idx="327">
                  <c:v>223.24475299128139</c:v>
                </c:pt>
                <c:pt idx="328">
                  <c:v>223.24475299128139</c:v>
                </c:pt>
                <c:pt idx="329">
                  <c:v>223.24475299128139</c:v>
                </c:pt>
                <c:pt idx="330">
                  <c:v>223.24475299128139</c:v>
                </c:pt>
                <c:pt idx="331">
                  <c:v>223.24475299128139</c:v>
                </c:pt>
                <c:pt idx="332">
                  <c:v>223.24475299128139</c:v>
                </c:pt>
                <c:pt idx="333">
                  <c:v>223.24475299128139</c:v>
                </c:pt>
                <c:pt idx="334">
                  <c:v>206.73080165777128</c:v>
                </c:pt>
                <c:pt idx="335">
                  <c:v>206.73080165777128</c:v>
                </c:pt>
                <c:pt idx="336">
                  <c:v>206.73080165777128</c:v>
                </c:pt>
                <c:pt idx="337">
                  <c:v>206.73080165777128</c:v>
                </c:pt>
                <c:pt idx="338">
                  <c:v>206.73080165777128</c:v>
                </c:pt>
                <c:pt idx="339">
                  <c:v>206.73080165777128</c:v>
                </c:pt>
                <c:pt idx="340">
                  <c:v>206.73080165777128</c:v>
                </c:pt>
                <c:pt idx="341">
                  <c:v>206.73080165777128</c:v>
                </c:pt>
                <c:pt idx="342">
                  <c:v>206.73080165777128</c:v>
                </c:pt>
                <c:pt idx="343">
                  <c:v>206.73080165777128</c:v>
                </c:pt>
                <c:pt idx="344">
                  <c:v>206.73080165777128</c:v>
                </c:pt>
                <c:pt idx="345">
                  <c:v>206.73080165777128</c:v>
                </c:pt>
                <c:pt idx="346">
                  <c:v>206.73080165777128</c:v>
                </c:pt>
                <c:pt idx="347">
                  <c:v>206.73080165777128</c:v>
                </c:pt>
                <c:pt idx="348">
                  <c:v>206.73080165777128</c:v>
                </c:pt>
                <c:pt idx="349">
                  <c:v>206.73080165777128</c:v>
                </c:pt>
                <c:pt idx="350">
                  <c:v>206.73080165777128</c:v>
                </c:pt>
                <c:pt idx="351">
                  <c:v>206.73080165777128</c:v>
                </c:pt>
                <c:pt idx="352">
                  <c:v>206.73080165777128</c:v>
                </c:pt>
                <c:pt idx="353">
                  <c:v>206.73080165777128</c:v>
                </c:pt>
                <c:pt idx="354">
                  <c:v>206.73080165777128</c:v>
                </c:pt>
                <c:pt idx="355">
                  <c:v>206.73080165777128</c:v>
                </c:pt>
                <c:pt idx="356">
                  <c:v>206.73080165777128</c:v>
                </c:pt>
                <c:pt idx="357">
                  <c:v>206.73080165777128</c:v>
                </c:pt>
                <c:pt idx="358">
                  <c:v>206.73080165777128</c:v>
                </c:pt>
                <c:pt idx="359">
                  <c:v>206.73080165777128</c:v>
                </c:pt>
                <c:pt idx="360">
                  <c:v>206.73080165777128</c:v>
                </c:pt>
                <c:pt idx="361">
                  <c:v>206.73080165777128</c:v>
                </c:pt>
                <c:pt idx="362">
                  <c:v>206.73080165777128</c:v>
                </c:pt>
                <c:pt idx="363">
                  <c:v>206.73080165777128</c:v>
                </c:pt>
                <c:pt idx="364">
                  <c:v>206.73080165777128</c:v>
                </c:pt>
                <c:pt idx="365">
                  <c:v>173.32165756034877</c:v>
                </c:pt>
                <c:pt idx="366">
                  <c:v>173.32165756034877</c:v>
                </c:pt>
                <c:pt idx="367">
                  <c:v>173.32165756034877</c:v>
                </c:pt>
                <c:pt idx="368">
                  <c:v>173.32165756034877</c:v>
                </c:pt>
                <c:pt idx="369">
                  <c:v>173.32165756034877</c:v>
                </c:pt>
                <c:pt idx="370">
                  <c:v>173.32165756034877</c:v>
                </c:pt>
                <c:pt idx="371">
                  <c:v>173.32165756034877</c:v>
                </c:pt>
                <c:pt idx="372">
                  <c:v>173.32165756034877</c:v>
                </c:pt>
                <c:pt idx="373">
                  <c:v>173.32165756034877</c:v>
                </c:pt>
                <c:pt idx="374">
                  <c:v>173.32165756034877</c:v>
                </c:pt>
                <c:pt idx="375">
                  <c:v>173.32165756034877</c:v>
                </c:pt>
                <c:pt idx="376">
                  <c:v>173.32165756034877</c:v>
                </c:pt>
                <c:pt idx="377">
                  <c:v>173.32165756034877</c:v>
                </c:pt>
                <c:pt idx="378">
                  <c:v>173.32165756034877</c:v>
                </c:pt>
                <c:pt idx="379">
                  <c:v>173.32165756034877</c:v>
                </c:pt>
                <c:pt idx="380">
                  <c:v>173.32165756034877</c:v>
                </c:pt>
                <c:pt idx="381">
                  <c:v>173.32165756034877</c:v>
                </c:pt>
                <c:pt idx="382">
                  <c:v>173.32165756034877</c:v>
                </c:pt>
                <c:pt idx="383">
                  <c:v>173.32165756034877</c:v>
                </c:pt>
                <c:pt idx="384">
                  <c:v>173.32165756034877</c:v>
                </c:pt>
                <c:pt idx="385">
                  <c:v>173.32165756034877</c:v>
                </c:pt>
                <c:pt idx="386">
                  <c:v>173.32165756034877</c:v>
                </c:pt>
                <c:pt idx="387">
                  <c:v>173.32165756034877</c:v>
                </c:pt>
                <c:pt idx="388">
                  <c:v>173.32165756034877</c:v>
                </c:pt>
                <c:pt idx="389">
                  <c:v>173.32165756034877</c:v>
                </c:pt>
                <c:pt idx="390">
                  <c:v>173.32165756034877</c:v>
                </c:pt>
                <c:pt idx="391">
                  <c:v>173.32165756034877</c:v>
                </c:pt>
                <c:pt idx="392">
                  <c:v>173.32165756034877</c:v>
                </c:pt>
                <c:pt idx="393">
                  <c:v>173.32165756034877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168.5719670594701</c:v>
                </c:pt>
                <c:pt idx="1">
                  <c:v>76.236577999999994</c:v>
                </c:pt>
                <c:pt idx="2">
                  <c:v>168.5719670594701</c:v>
                </c:pt>
                <c:pt idx="3">
                  <c:v>168.5719670594701</c:v>
                </c:pt>
                <c:pt idx="4">
                  <c:v>111.212344</c:v>
                </c:pt>
                <c:pt idx="5">
                  <c:v>168.5719670594701</c:v>
                </c:pt>
                <c:pt idx="6">
                  <c:v>168.5719670594701</c:v>
                </c:pt>
                <c:pt idx="7">
                  <c:v>143.101348</c:v>
                </c:pt>
                <c:pt idx="8">
                  <c:v>125.65394599999999</c:v>
                </c:pt>
                <c:pt idx="9">
                  <c:v>84.318479999999994</c:v>
                </c:pt>
                <c:pt idx="10">
                  <c:v>168.5719670594701</c:v>
                </c:pt>
                <c:pt idx="11">
                  <c:v>168.5719670594701</c:v>
                </c:pt>
                <c:pt idx="12">
                  <c:v>78.329933000000011</c:v>
                </c:pt>
                <c:pt idx="13">
                  <c:v>117.66423899999999</c:v>
                </c:pt>
                <c:pt idx="14">
                  <c:v>168.5719670594701</c:v>
                </c:pt>
                <c:pt idx="15">
                  <c:v>168.5719670594701</c:v>
                </c:pt>
                <c:pt idx="16">
                  <c:v>168.5719670594701</c:v>
                </c:pt>
                <c:pt idx="17">
                  <c:v>122.06965699999999</c:v>
                </c:pt>
                <c:pt idx="18">
                  <c:v>63.650571999999997</c:v>
                </c:pt>
                <c:pt idx="19">
                  <c:v>47.180656999999997</c:v>
                </c:pt>
                <c:pt idx="20">
                  <c:v>40.098292000000001</c:v>
                </c:pt>
                <c:pt idx="21">
                  <c:v>63.853379999999994</c:v>
                </c:pt>
                <c:pt idx="22">
                  <c:v>168.5719670594701</c:v>
                </c:pt>
                <c:pt idx="23">
                  <c:v>168.5719670594701</c:v>
                </c:pt>
                <c:pt idx="24">
                  <c:v>138.57859400000001</c:v>
                </c:pt>
                <c:pt idx="25">
                  <c:v>52.446192000000003</c:v>
                </c:pt>
                <c:pt idx="26">
                  <c:v>55.059716999999999</c:v>
                </c:pt>
                <c:pt idx="27">
                  <c:v>64.012263000000004</c:v>
                </c:pt>
                <c:pt idx="28">
                  <c:v>87.662492</c:v>
                </c:pt>
                <c:pt idx="29">
                  <c:v>73.165069000000003</c:v>
                </c:pt>
                <c:pt idx="30">
                  <c:v>148.21505251824942</c:v>
                </c:pt>
                <c:pt idx="31">
                  <c:v>90.772222999999997</c:v>
                </c:pt>
                <c:pt idx="32">
                  <c:v>108.662935</c:v>
                </c:pt>
                <c:pt idx="33">
                  <c:v>61.359756999999995</c:v>
                </c:pt>
                <c:pt idx="34">
                  <c:v>77.207909000000001</c:v>
                </c:pt>
                <c:pt idx="35">
                  <c:v>120.717904</c:v>
                </c:pt>
                <c:pt idx="36">
                  <c:v>91.632914</c:v>
                </c:pt>
                <c:pt idx="37">
                  <c:v>148.21505251824942</c:v>
                </c:pt>
                <c:pt idx="38">
                  <c:v>148.21505251824942</c:v>
                </c:pt>
                <c:pt idx="39">
                  <c:v>148.21505251824942</c:v>
                </c:pt>
                <c:pt idx="40">
                  <c:v>148.21505251824942</c:v>
                </c:pt>
                <c:pt idx="41">
                  <c:v>148.21505251824942</c:v>
                </c:pt>
                <c:pt idx="42">
                  <c:v>148.21505251824942</c:v>
                </c:pt>
                <c:pt idx="43">
                  <c:v>148.21505251824942</c:v>
                </c:pt>
                <c:pt idx="44">
                  <c:v>148.21505251824942</c:v>
                </c:pt>
                <c:pt idx="45">
                  <c:v>148.21505251824942</c:v>
                </c:pt>
                <c:pt idx="46">
                  <c:v>106.187793</c:v>
                </c:pt>
                <c:pt idx="47">
                  <c:v>148.21505251824942</c:v>
                </c:pt>
                <c:pt idx="48">
                  <c:v>148.21505251824942</c:v>
                </c:pt>
                <c:pt idx="49">
                  <c:v>87.604952000000011</c:v>
                </c:pt>
                <c:pt idx="50">
                  <c:v>147.67504</c:v>
                </c:pt>
                <c:pt idx="51">
                  <c:v>119.544276</c:v>
                </c:pt>
                <c:pt idx="52">
                  <c:v>120.53874999999999</c:v>
                </c:pt>
                <c:pt idx="53">
                  <c:v>148.21505251824942</c:v>
                </c:pt>
                <c:pt idx="54">
                  <c:v>133.723097</c:v>
                </c:pt>
                <c:pt idx="55">
                  <c:v>88.333927000000003</c:v>
                </c:pt>
                <c:pt idx="56">
                  <c:v>52.269663999999999</c:v>
                </c:pt>
                <c:pt idx="57">
                  <c:v>48.855035000000001</c:v>
                </c:pt>
                <c:pt idx="58">
                  <c:v>81.927820999999994</c:v>
                </c:pt>
                <c:pt idx="59">
                  <c:v>117.86642999999999</c:v>
                </c:pt>
                <c:pt idx="60">
                  <c:v>107.58640800000001</c:v>
                </c:pt>
                <c:pt idx="61">
                  <c:v>104.231497</c:v>
                </c:pt>
                <c:pt idx="62">
                  <c:v>60.775770999999999</c:v>
                </c:pt>
                <c:pt idx="63">
                  <c:v>124.33124000000001</c:v>
                </c:pt>
                <c:pt idx="64">
                  <c:v>102.700847</c:v>
                </c:pt>
                <c:pt idx="65">
                  <c:v>87.224457999999998</c:v>
                </c:pt>
                <c:pt idx="66">
                  <c:v>124.34185400000001</c:v>
                </c:pt>
                <c:pt idx="67">
                  <c:v>101.42814199999999</c:v>
                </c:pt>
                <c:pt idx="68">
                  <c:v>72.182373999999996</c:v>
                </c:pt>
                <c:pt idx="69">
                  <c:v>96.903625000000005</c:v>
                </c:pt>
                <c:pt idx="70">
                  <c:v>108.534159</c:v>
                </c:pt>
                <c:pt idx="71">
                  <c:v>125.35116599614517</c:v>
                </c:pt>
                <c:pt idx="72">
                  <c:v>125.35116599614517</c:v>
                </c:pt>
                <c:pt idx="73">
                  <c:v>97.811302999999995</c:v>
                </c:pt>
                <c:pt idx="74">
                  <c:v>73.397408999999996</c:v>
                </c:pt>
                <c:pt idx="75">
                  <c:v>113.45855800000001</c:v>
                </c:pt>
                <c:pt idx="76">
                  <c:v>105.000179</c:v>
                </c:pt>
                <c:pt idx="77">
                  <c:v>96.281396999999998</c:v>
                </c:pt>
                <c:pt idx="78">
                  <c:v>119.67024099999999</c:v>
                </c:pt>
                <c:pt idx="79">
                  <c:v>91.508506999999994</c:v>
                </c:pt>
                <c:pt idx="80">
                  <c:v>125.35116599614517</c:v>
                </c:pt>
                <c:pt idx="81">
                  <c:v>125.35116599614517</c:v>
                </c:pt>
                <c:pt idx="82">
                  <c:v>118.335171</c:v>
                </c:pt>
                <c:pt idx="83">
                  <c:v>125.35116599614517</c:v>
                </c:pt>
                <c:pt idx="84">
                  <c:v>125.35116599614517</c:v>
                </c:pt>
                <c:pt idx="85">
                  <c:v>113.49032799999999</c:v>
                </c:pt>
                <c:pt idx="86">
                  <c:v>125.35116599614517</c:v>
                </c:pt>
                <c:pt idx="87">
                  <c:v>125.35116599614517</c:v>
                </c:pt>
                <c:pt idx="88">
                  <c:v>125.35116599614517</c:v>
                </c:pt>
                <c:pt idx="89">
                  <c:v>71.417717999999994</c:v>
                </c:pt>
                <c:pt idx="90">
                  <c:v>68.183721999999989</c:v>
                </c:pt>
                <c:pt idx="91">
                  <c:v>53.853722000000005</c:v>
                </c:pt>
                <c:pt idx="92">
                  <c:v>81.504232000000002</c:v>
                </c:pt>
                <c:pt idx="93">
                  <c:v>108.750077</c:v>
                </c:pt>
                <c:pt idx="94">
                  <c:v>123.29819065912838</c:v>
                </c:pt>
                <c:pt idx="95">
                  <c:v>123.29819065912838</c:v>
                </c:pt>
                <c:pt idx="96">
                  <c:v>123.29819065912838</c:v>
                </c:pt>
                <c:pt idx="97">
                  <c:v>100.12591</c:v>
                </c:pt>
                <c:pt idx="98">
                  <c:v>118.72372800000001</c:v>
                </c:pt>
                <c:pt idx="99">
                  <c:v>106.79435099999999</c:v>
                </c:pt>
                <c:pt idx="100">
                  <c:v>101.930645</c:v>
                </c:pt>
                <c:pt idx="101">
                  <c:v>123.29819065912838</c:v>
                </c:pt>
                <c:pt idx="102">
                  <c:v>123.29819065912838</c:v>
                </c:pt>
                <c:pt idx="103">
                  <c:v>123.29819065912838</c:v>
                </c:pt>
                <c:pt idx="104">
                  <c:v>123.29819065912838</c:v>
                </c:pt>
                <c:pt idx="105">
                  <c:v>123.29819065912838</c:v>
                </c:pt>
                <c:pt idx="106">
                  <c:v>123.29819065912838</c:v>
                </c:pt>
                <c:pt idx="107">
                  <c:v>110.355237</c:v>
                </c:pt>
                <c:pt idx="108">
                  <c:v>123.29819065912838</c:v>
                </c:pt>
                <c:pt idx="109">
                  <c:v>90.316156000000007</c:v>
                </c:pt>
                <c:pt idx="110">
                  <c:v>60.916510000000002</c:v>
                </c:pt>
                <c:pt idx="111">
                  <c:v>54.754841999999996</c:v>
                </c:pt>
                <c:pt idx="112">
                  <c:v>107.59925</c:v>
                </c:pt>
                <c:pt idx="113">
                  <c:v>123.29819065912838</c:v>
                </c:pt>
                <c:pt idx="114">
                  <c:v>123.29819065912838</c:v>
                </c:pt>
                <c:pt idx="115">
                  <c:v>99.539763999999991</c:v>
                </c:pt>
                <c:pt idx="116">
                  <c:v>96.478289999999987</c:v>
                </c:pt>
                <c:pt idx="117">
                  <c:v>97.796486999999999</c:v>
                </c:pt>
                <c:pt idx="118">
                  <c:v>123.29819065912838</c:v>
                </c:pt>
                <c:pt idx="119">
                  <c:v>123.29819065912838</c:v>
                </c:pt>
                <c:pt idx="120">
                  <c:v>123.29819065912838</c:v>
                </c:pt>
                <c:pt idx="121">
                  <c:v>123.29819065912838</c:v>
                </c:pt>
                <c:pt idx="122">
                  <c:v>105.184585</c:v>
                </c:pt>
                <c:pt idx="123">
                  <c:v>65.451475000000002</c:v>
                </c:pt>
                <c:pt idx="124">
                  <c:v>81.196016</c:v>
                </c:pt>
                <c:pt idx="125">
                  <c:v>117.95353299999999</c:v>
                </c:pt>
                <c:pt idx="126">
                  <c:v>119.88189259959397</c:v>
                </c:pt>
                <c:pt idx="127">
                  <c:v>119.88189259959397</c:v>
                </c:pt>
                <c:pt idx="128">
                  <c:v>119.88189259959397</c:v>
                </c:pt>
                <c:pt idx="129">
                  <c:v>90.905316999999997</c:v>
                </c:pt>
                <c:pt idx="130">
                  <c:v>83.163594000000003</c:v>
                </c:pt>
                <c:pt idx="131">
                  <c:v>63.677168999999999</c:v>
                </c:pt>
                <c:pt idx="132">
                  <c:v>70.815585999999996</c:v>
                </c:pt>
                <c:pt idx="133">
                  <c:v>105.13843500000002</c:v>
                </c:pt>
                <c:pt idx="134">
                  <c:v>77.891987</c:v>
                </c:pt>
                <c:pt idx="135">
                  <c:v>88.146130999999997</c:v>
                </c:pt>
                <c:pt idx="136">
                  <c:v>119.88189259959397</c:v>
                </c:pt>
                <c:pt idx="137">
                  <c:v>119.88189259959397</c:v>
                </c:pt>
                <c:pt idx="138">
                  <c:v>119.88189259959397</c:v>
                </c:pt>
                <c:pt idx="139">
                  <c:v>119.88189259959397</c:v>
                </c:pt>
                <c:pt idx="140">
                  <c:v>100.869519</c:v>
                </c:pt>
                <c:pt idx="141">
                  <c:v>70.188290999999992</c:v>
                </c:pt>
                <c:pt idx="142">
                  <c:v>75.149498000000008</c:v>
                </c:pt>
                <c:pt idx="143">
                  <c:v>119.88189259959397</c:v>
                </c:pt>
                <c:pt idx="144">
                  <c:v>119.88189259959397</c:v>
                </c:pt>
                <c:pt idx="145">
                  <c:v>119.88189259959397</c:v>
                </c:pt>
                <c:pt idx="146">
                  <c:v>84.59216099999999</c:v>
                </c:pt>
                <c:pt idx="147">
                  <c:v>43.372470999999997</c:v>
                </c:pt>
                <c:pt idx="148">
                  <c:v>80.783937999999992</c:v>
                </c:pt>
                <c:pt idx="149">
                  <c:v>119.88189259959397</c:v>
                </c:pt>
                <c:pt idx="150">
                  <c:v>107.689087</c:v>
                </c:pt>
                <c:pt idx="151">
                  <c:v>70.608243999999999</c:v>
                </c:pt>
                <c:pt idx="152">
                  <c:v>79.501566000000011</c:v>
                </c:pt>
                <c:pt idx="153">
                  <c:v>106.17876099999999</c:v>
                </c:pt>
                <c:pt idx="154">
                  <c:v>31.283776000000003</c:v>
                </c:pt>
                <c:pt idx="155">
                  <c:v>18.009798</c:v>
                </c:pt>
                <c:pt idx="156">
                  <c:v>30.801286000000001</c:v>
                </c:pt>
                <c:pt idx="157">
                  <c:v>76.818422999999996</c:v>
                </c:pt>
                <c:pt idx="158">
                  <c:v>117.97411428529821</c:v>
                </c:pt>
                <c:pt idx="159">
                  <c:v>117.97411428529821</c:v>
                </c:pt>
                <c:pt idx="160">
                  <c:v>117.97411428529821</c:v>
                </c:pt>
                <c:pt idx="161">
                  <c:v>116.04786800000001</c:v>
                </c:pt>
                <c:pt idx="162">
                  <c:v>65.756388000000001</c:v>
                </c:pt>
                <c:pt idx="163">
                  <c:v>33.642375999999999</c:v>
                </c:pt>
                <c:pt idx="164">
                  <c:v>46.564877000000003</c:v>
                </c:pt>
                <c:pt idx="165">
                  <c:v>117.97411428529821</c:v>
                </c:pt>
                <c:pt idx="166">
                  <c:v>117.793465</c:v>
                </c:pt>
                <c:pt idx="167">
                  <c:v>45.131029000000005</c:v>
                </c:pt>
                <c:pt idx="168">
                  <c:v>82.342123000000001</c:v>
                </c:pt>
                <c:pt idx="169">
                  <c:v>51.168244000000008</c:v>
                </c:pt>
                <c:pt idx="170">
                  <c:v>108.26396200000001</c:v>
                </c:pt>
                <c:pt idx="171">
                  <c:v>91.990882999999997</c:v>
                </c:pt>
                <c:pt idx="172">
                  <c:v>117.97411428529821</c:v>
                </c:pt>
                <c:pt idx="173">
                  <c:v>117.97411428529821</c:v>
                </c:pt>
                <c:pt idx="174">
                  <c:v>117.97411428529821</c:v>
                </c:pt>
                <c:pt idx="175">
                  <c:v>117.97411428529821</c:v>
                </c:pt>
                <c:pt idx="176">
                  <c:v>117.97411428529821</c:v>
                </c:pt>
                <c:pt idx="177">
                  <c:v>117.97411428529821</c:v>
                </c:pt>
                <c:pt idx="178">
                  <c:v>100.70335300000001</c:v>
                </c:pt>
                <c:pt idx="179">
                  <c:v>77.789228000000008</c:v>
                </c:pt>
                <c:pt idx="180">
                  <c:v>58.146766000000007</c:v>
                </c:pt>
                <c:pt idx="181">
                  <c:v>117.97411428529821</c:v>
                </c:pt>
                <c:pt idx="182">
                  <c:v>83.121623999999997</c:v>
                </c:pt>
                <c:pt idx="183">
                  <c:v>38.888199</c:v>
                </c:pt>
                <c:pt idx="184">
                  <c:v>137.65246829030852</c:v>
                </c:pt>
                <c:pt idx="185">
                  <c:v>137.65246829030852</c:v>
                </c:pt>
                <c:pt idx="186">
                  <c:v>137.65246829030852</c:v>
                </c:pt>
                <c:pt idx="187">
                  <c:v>137.65246829030852</c:v>
                </c:pt>
                <c:pt idx="188">
                  <c:v>125.47463</c:v>
                </c:pt>
                <c:pt idx="189">
                  <c:v>105.89893099999999</c:v>
                </c:pt>
                <c:pt idx="190">
                  <c:v>90.848475000000008</c:v>
                </c:pt>
                <c:pt idx="191">
                  <c:v>122.08157700000001</c:v>
                </c:pt>
                <c:pt idx="192">
                  <c:v>137.65246829030852</c:v>
                </c:pt>
                <c:pt idx="193">
                  <c:v>137.65246829030852</c:v>
                </c:pt>
                <c:pt idx="194">
                  <c:v>137.65246829030852</c:v>
                </c:pt>
                <c:pt idx="195">
                  <c:v>137.65246829030852</c:v>
                </c:pt>
                <c:pt idx="196">
                  <c:v>76.483199999999997</c:v>
                </c:pt>
                <c:pt idx="197">
                  <c:v>59.870756</c:v>
                </c:pt>
                <c:pt idx="198">
                  <c:v>51.859968000000002</c:v>
                </c:pt>
                <c:pt idx="199">
                  <c:v>54.082108999999996</c:v>
                </c:pt>
                <c:pt idx="200">
                  <c:v>68.709029999999998</c:v>
                </c:pt>
                <c:pt idx="201">
                  <c:v>137.65246829030852</c:v>
                </c:pt>
                <c:pt idx="202">
                  <c:v>137.65246829030852</c:v>
                </c:pt>
                <c:pt idx="203">
                  <c:v>113.222797</c:v>
                </c:pt>
                <c:pt idx="204">
                  <c:v>137.65246829030852</c:v>
                </c:pt>
                <c:pt idx="205">
                  <c:v>77.004168000000007</c:v>
                </c:pt>
                <c:pt idx="206">
                  <c:v>53.185224000000005</c:v>
                </c:pt>
                <c:pt idx="207">
                  <c:v>37.106322999999996</c:v>
                </c:pt>
                <c:pt idx="208">
                  <c:v>77.944802999999993</c:v>
                </c:pt>
                <c:pt idx="209">
                  <c:v>43.982253</c:v>
                </c:pt>
                <c:pt idx="210">
                  <c:v>137.65246829030852</c:v>
                </c:pt>
                <c:pt idx="211">
                  <c:v>137.65246829030852</c:v>
                </c:pt>
                <c:pt idx="212">
                  <c:v>137.65246829030852</c:v>
                </c:pt>
                <c:pt idx="213">
                  <c:v>137.65246829030852</c:v>
                </c:pt>
                <c:pt idx="214">
                  <c:v>183.91544727138802</c:v>
                </c:pt>
                <c:pt idx="215">
                  <c:v>183.91544727138802</c:v>
                </c:pt>
                <c:pt idx="216">
                  <c:v>183.91544727138802</c:v>
                </c:pt>
                <c:pt idx="217">
                  <c:v>168.86299299999999</c:v>
                </c:pt>
                <c:pt idx="218">
                  <c:v>183.91544727138802</c:v>
                </c:pt>
                <c:pt idx="219">
                  <c:v>183.91544727138802</c:v>
                </c:pt>
                <c:pt idx="220">
                  <c:v>183.91544727138802</c:v>
                </c:pt>
                <c:pt idx="221">
                  <c:v>183.91544727138802</c:v>
                </c:pt>
                <c:pt idx="222">
                  <c:v>183.91544727138802</c:v>
                </c:pt>
                <c:pt idx="223">
                  <c:v>90.485464999999991</c:v>
                </c:pt>
                <c:pt idx="224">
                  <c:v>58.279859999999999</c:v>
                </c:pt>
                <c:pt idx="225">
                  <c:v>80.061032000000012</c:v>
                </c:pt>
                <c:pt idx="226">
                  <c:v>127.324252</c:v>
                </c:pt>
                <c:pt idx="227">
                  <c:v>183.91544727138802</c:v>
                </c:pt>
                <c:pt idx="228">
                  <c:v>183.91544727138802</c:v>
                </c:pt>
                <c:pt idx="229">
                  <c:v>183.91544727138802</c:v>
                </c:pt>
                <c:pt idx="230">
                  <c:v>183.91544727138802</c:v>
                </c:pt>
                <c:pt idx="231">
                  <c:v>183.91544727138802</c:v>
                </c:pt>
                <c:pt idx="232">
                  <c:v>154.32367099999999</c:v>
                </c:pt>
                <c:pt idx="233">
                  <c:v>82.706011000000004</c:v>
                </c:pt>
                <c:pt idx="234">
                  <c:v>82.872039000000001</c:v>
                </c:pt>
                <c:pt idx="235">
                  <c:v>165.64692600000001</c:v>
                </c:pt>
                <c:pt idx="236">
                  <c:v>183.91544727138802</c:v>
                </c:pt>
                <c:pt idx="237">
                  <c:v>183.91544727138802</c:v>
                </c:pt>
                <c:pt idx="238">
                  <c:v>183.91544727138802</c:v>
                </c:pt>
                <c:pt idx="239">
                  <c:v>183.91544727138802</c:v>
                </c:pt>
                <c:pt idx="240">
                  <c:v>183.91544727138802</c:v>
                </c:pt>
                <c:pt idx="241">
                  <c:v>183.91544727138802</c:v>
                </c:pt>
                <c:pt idx="242">
                  <c:v>183.91544727138802</c:v>
                </c:pt>
                <c:pt idx="243">
                  <c:v>81.182106000000005</c:v>
                </c:pt>
                <c:pt idx="244">
                  <c:v>181.48791176451735</c:v>
                </c:pt>
                <c:pt idx="245">
                  <c:v>181.48791176451735</c:v>
                </c:pt>
                <c:pt idx="246">
                  <c:v>181.48791176451735</c:v>
                </c:pt>
                <c:pt idx="247">
                  <c:v>181.48791176451735</c:v>
                </c:pt>
                <c:pt idx="248">
                  <c:v>181.48791176451735</c:v>
                </c:pt>
                <c:pt idx="249">
                  <c:v>181.48791176451735</c:v>
                </c:pt>
                <c:pt idx="250">
                  <c:v>181.48791176451735</c:v>
                </c:pt>
                <c:pt idx="251">
                  <c:v>181.48791176451735</c:v>
                </c:pt>
                <c:pt idx="252">
                  <c:v>181.48791176451735</c:v>
                </c:pt>
                <c:pt idx="253">
                  <c:v>181.48791176451735</c:v>
                </c:pt>
                <c:pt idx="254">
                  <c:v>181.48791176451735</c:v>
                </c:pt>
                <c:pt idx="255">
                  <c:v>99.346322000000001</c:v>
                </c:pt>
                <c:pt idx="256">
                  <c:v>92.523330000000001</c:v>
                </c:pt>
                <c:pt idx="257">
                  <c:v>60.152150999999996</c:v>
                </c:pt>
                <c:pt idx="258">
                  <c:v>107.20201300000001</c:v>
                </c:pt>
                <c:pt idx="259">
                  <c:v>147.840676</c:v>
                </c:pt>
                <c:pt idx="260">
                  <c:v>113.43718</c:v>
                </c:pt>
                <c:pt idx="261">
                  <c:v>83.451227000000003</c:v>
                </c:pt>
                <c:pt idx="262">
                  <c:v>122.51447400000001</c:v>
                </c:pt>
                <c:pt idx="263">
                  <c:v>119.96771099999999</c:v>
                </c:pt>
                <c:pt idx="264">
                  <c:v>131.450579</c:v>
                </c:pt>
                <c:pt idx="265">
                  <c:v>141.59109799999999</c:v>
                </c:pt>
                <c:pt idx="266">
                  <c:v>162.03058199999998</c:v>
                </c:pt>
                <c:pt idx="267">
                  <c:v>181.48791176451735</c:v>
                </c:pt>
                <c:pt idx="268">
                  <c:v>160.13869</c:v>
                </c:pt>
                <c:pt idx="269">
                  <c:v>181.48791176451735</c:v>
                </c:pt>
                <c:pt idx="270">
                  <c:v>181.48791176451735</c:v>
                </c:pt>
                <c:pt idx="271">
                  <c:v>181.48791176451735</c:v>
                </c:pt>
                <c:pt idx="272">
                  <c:v>181.48791176451735</c:v>
                </c:pt>
                <c:pt idx="273">
                  <c:v>93.666549000000003</c:v>
                </c:pt>
                <c:pt idx="274">
                  <c:v>120.18132399999999</c:v>
                </c:pt>
                <c:pt idx="275">
                  <c:v>139.46714299999999</c:v>
                </c:pt>
                <c:pt idx="276">
                  <c:v>103.22421899999999</c:v>
                </c:pt>
                <c:pt idx="277">
                  <c:v>151.54802099999998</c:v>
                </c:pt>
                <c:pt idx="278">
                  <c:v>211.46485176939154</c:v>
                </c:pt>
                <c:pt idx="279">
                  <c:v>211.46485176939154</c:v>
                </c:pt>
                <c:pt idx="280">
                  <c:v>206.08566300000001</c:v>
                </c:pt>
                <c:pt idx="281">
                  <c:v>208.517426</c:v>
                </c:pt>
                <c:pt idx="282">
                  <c:v>211.46485176939154</c:v>
                </c:pt>
                <c:pt idx="283">
                  <c:v>211.46485176939154</c:v>
                </c:pt>
                <c:pt idx="284">
                  <c:v>211.46485176939154</c:v>
                </c:pt>
                <c:pt idx="285">
                  <c:v>211.46485176939154</c:v>
                </c:pt>
                <c:pt idx="286">
                  <c:v>211.46485176939154</c:v>
                </c:pt>
                <c:pt idx="287">
                  <c:v>128.97225800000001</c:v>
                </c:pt>
                <c:pt idx="288">
                  <c:v>84.023750000000007</c:v>
                </c:pt>
                <c:pt idx="289">
                  <c:v>62.009610000000002</c:v>
                </c:pt>
                <c:pt idx="290">
                  <c:v>64.098206000000005</c:v>
                </c:pt>
                <c:pt idx="291">
                  <c:v>76.089658</c:v>
                </c:pt>
                <c:pt idx="292">
                  <c:v>50.593338000000003</c:v>
                </c:pt>
                <c:pt idx="293">
                  <c:v>95.961089000000001</c:v>
                </c:pt>
                <c:pt idx="294">
                  <c:v>208.84425399999998</c:v>
                </c:pt>
                <c:pt idx="295">
                  <c:v>211.46485176939154</c:v>
                </c:pt>
                <c:pt idx="296">
                  <c:v>174.68729300000001</c:v>
                </c:pt>
                <c:pt idx="297">
                  <c:v>95.033597</c:v>
                </c:pt>
                <c:pt idx="298">
                  <c:v>82.138345000000001</c:v>
                </c:pt>
                <c:pt idx="299">
                  <c:v>99.780138000000008</c:v>
                </c:pt>
                <c:pt idx="300">
                  <c:v>122.851392</c:v>
                </c:pt>
                <c:pt idx="301">
                  <c:v>134.06660399999998</c:v>
                </c:pt>
                <c:pt idx="302">
                  <c:v>211.46485176939154</c:v>
                </c:pt>
                <c:pt idx="303">
                  <c:v>114.510254</c:v>
                </c:pt>
                <c:pt idx="304">
                  <c:v>91.937937999999988</c:v>
                </c:pt>
                <c:pt idx="305">
                  <c:v>211.46485176939154</c:v>
                </c:pt>
                <c:pt idx="306">
                  <c:v>223.24475299128139</c:v>
                </c:pt>
                <c:pt idx="307">
                  <c:v>143.00407200000001</c:v>
                </c:pt>
                <c:pt idx="308">
                  <c:v>83.152304999999998</c:v>
                </c:pt>
                <c:pt idx="309">
                  <c:v>104.76411</c:v>
                </c:pt>
                <c:pt idx="310">
                  <c:v>199.61296399999998</c:v>
                </c:pt>
                <c:pt idx="311">
                  <c:v>147.17840699999999</c:v>
                </c:pt>
                <c:pt idx="312">
                  <c:v>223.24475299128139</c:v>
                </c:pt>
                <c:pt idx="313">
                  <c:v>135.36111300000002</c:v>
                </c:pt>
                <c:pt idx="314">
                  <c:v>102.295768</c:v>
                </c:pt>
                <c:pt idx="315">
                  <c:v>49.844251999999997</c:v>
                </c:pt>
                <c:pt idx="316">
                  <c:v>73.976751999999991</c:v>
                </c:pt>
                <c:pt idx="317">
                  <c:v>49.262667999999998</c:v>
                </c:pt>
                <c:pt idx="318">
                  <c:v>223.24475299128139</c:v>
                </c:pt>
                <c:pt idx="319">
                  <c:v>223.24475299128139</c:v>
                </c:pt>
                <c:pt idx="320">
                  <c:v>223.24475299128139</c:v>
                </c:pt>
                <c:pt idx="321">
                  <c:v>223.24475299128139</c:v>
                </c:pt>
                <c:pt idx="322">
                  <c:v>175.595237</c:v>
                </c:pt>
                <c:pt idx="323">
                  <c:v>145.04514500000002</c:v>
                </c:pt>
                <c:pt idx="324">
                  <c:v>223.24475299128139</c:v>
                </c:pt>
                <c:pt idx="325">
                  <c:v>139.12622699999997</c:v>
                </c:pt>
                <c:pt idx="326">
                  <c:v>204.219041</c:v>
                </c:pt>
                <c:pt idx="327">
                  <c:v>187.93743399999997</c:v>
                </c:pt>
                <c:pt idx="328">
                  <c:v>111.768598</c:v>
                </c:pt>
                <c:pt idx="329">
                  <c:v>134.72277400000002</c:v>
                </c:pt>
                <c:pt idx="330">
                  <c:v>223.24475299128139</c:v>
                </c:pt>
                <c:pt idx="331">
                  <c:v>175.135582</c:v>
                </c:pt>
                <c:pt idx="332">
                  <c:v>59.524362000000004</c:v>
                </c:pt>
                <c:pt idx="333">
                  <c:v>58.070957</c:v>
                </c:pt>
                <c:pt idx="334">
                  <c:v>122.91699700000001</c:v>
                </c:pt>
                <c:pt idx="335">
                  <c:v>183.592702</c:v>
                </c:pt>
                <c:pt idx="336">
                  <c:v>179.27895699999999</c:v>
                </c:pt>
                <c:pt idx="337">
                  <c:v>206.73080165777128</c:v>
                </c:pt>
                <c:pt idx="338">
                  <c:v>162.66122399999998</c:v>
                </c:pt>
                <c:pt idx="339">
                  <c:v>130.20854700000001</c:v>
                </c:pt>
                <c:pt idx="340">
                  <c:v>102.681793</c:v>
                </c:pt>
                <c:pt idx="341">
                  <c:v>167.990995</c:v>
                </c:pt>
                <c:pt idx="342">
                  <c:v>159.00417899999997</c:v>
                </c:pt>
                <c:pt idx="343">
                  <c:v>200.78646499999999</c:v>
                </c:pt>
                <c:pt idx="344">
                  <c:v>206.73080165777128</c:v>
                </c:pt>
                <c:pt idx="345">
                  <c:v>206.73080165777128</c:v>
                </c:pt>
                <c:pt idx="346">
                  <c:v>162.969685</c:v>
                </c:pt>
                <c:pt idx="347">
                  <c:v>206.73080165777128</c:v>
                </c:pt>
                <c:pt idx="348">
                  <c:v>206.73080165777128</c:v>
                </c:pt>
                <c:pt idx="349">
                  <c:v>205.35738899999998</c:v>
                </c:pt>
                <c:pt idx="350">
                  <c:v>206.73080165777128</c:v>
                </c:pt>
                <c:pt idx="351">
                  <c:v>202.779304</c:v>
                </c:pt>
                <c:pt idx="352">
                  <c:v>138.549688</c:v>
                </c:pt>
                <c:pt idx="353">
                  <c:v>206.73080165777128</c:v>
                </c:pt>
                <c:pt idx="354">
                  <c:v>206.73080165777128</c:v>
                </c:pt>
                <c:pt idx="355">
                  <c:v>206.73080165777128</c:v>
                </c:pt>
                <c:pt idx="356">
                  <c:v>206.73080165777128</c:v>
                </c:pt>
                <c:pt idx="357">
                  <c:v>206.73080165777128</c:v>
                </c:pt>
                <c:pt idx="358">
                  <c:v>186.82620399999999</c:v>
                </c:pt>
                <c:pt idx="359">
                  <c:v>115.387671</c:v>
                </c:pt>
                <c:pt idx="360">
                  <c:v>115.301436</c:v>
                </c:pt>
                <c:pt idx="361">
                  <c:v>172.24667700000001</c:v>
                </c:pt>
                <c:pt idx="362">
                  <c:v>64.639876999999998</c:v>
                </c:pt>
                <c:pt idx="363">
                  <c:v>183.386764</c:v>
                </c:pt>
                <c:pt idx="364">
                  <c:v>206.73080165777128</c:v>
                </c:pt>
                <c:pt idx="365">
                  <c:v>173.32165756034877</c:v>
                </c:pt>
                <c:pt idx="366">
                  <c:v>173.32165756034877</c:v>
                </c:pt>
                <c:pt idx="367">
                  <c:v>173.32165756034877</c:v>
                </c:pt>
                <c:pt idx="368">
                  <c:v>173.32165756034877</c:v>
                </c:pt>
                <c:pt idx="369">
                  <c:v>173.32165756034877</c:v>
                </c:pt>
                <c:pt idx="370">
                  <c:v>140.25360599999999</c:v>
                </c:pt>
                <c:pt idx="371">
                  <c:v>173.32165756034877</c:v>
                </c:pt>
                <c:pt idx="372">
                  <c:v>173.32165756034877</c:v>
                </c:pt>
                <c:pt idx="373">
                  <c:v>143.248672</c:v>
                </c:pt>
                <c:pt idx="374">
                  <c:v>173.32165756034877</c:v>
                </c:pt>
                <c:pt idx="375">
                  <c:v>173.32165756034877</c:v>
                </c:pt>
                <c:pt idx="376">
                  <c:v>172.513159</c:v>
                </c:pt>
                <c:pt idx="377">
                  <c:v>115.374332</c:v>
                </c:pt>
                <c:pt idx="378">
                  <c:v>111.75659399999999</c:v>
                </c:pt>
                <c:pt idx="379">
                  <c:v>61.965980000000002</c:v>
                </c:pt>
                <c:pt idx="380">
                  <c:v>139.81402199999999</c:v>
                </c:pt>
                <c:pt idx="381">
                  <c:v>123.50419600000001</c:v>
                </c:pt>
                <c:pt idx="382">
                  <c:v>169.95018699999997</c:v>
                </c:pt>
                <c:pt idx="383">
                  <c:v>173.32165756034877</c:v>
                </c:pt>
                <c:pt idx="384">
                  <c:v>173.32165756034877</c:v>
                </c:pt>
                <c:pt idx="385">
                  <c:v>173.32165756034877</c:v>
                </c:pt>
                <c:pt idx="386">
                  <c:v>173.32165756034877</c:v>
                </c:pt>
                <c:pt idx="387">
                  <c:v>173.32165756034877</c:v>
                </c:pt>
                <c:pt idx="388">
                  <c:v>169.86396500000001</c:v>
                </c:pt>
                <c:pt idx="389">
                  <c:v>33.181423000000002</c:v>
                </c:pt>
                <c:pt idx="390">
                  <c:v>64.825469999999996</c:v>
                </c:pt>
                <c:pt idx="391">
                  <c:v>42.705824</c:v>
                </c:pt>
                <c:pt idx="392">
                  <c:v>83.534083999999993</c:v>
                </c:pt>
                <c:pt idx="393">
                  <c:v>76.712934000000004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63.758717450480532</c:v>
                </c:pt>
                <c:pt idx="1">
                  <c:v>65.475719810482389</c:v>
                </c:pt>
                <c:pt idx="2">
                  <c:v>42.401664066480528</c:v>
                </c:pt>
                <c:pt idx="3">
                  <c:v>41.92707230247867</c:v>
                </c:pt>
                <c:pt idx="4">
                  <c:v>57.362259402480532</c:v>
                </c:pt>
                <c:pt idx="5">
                  <c:v>72.658767494480529</c:v>
                </c:pt>
                <c:pt idx="6">
                  <c:v>73.095539716146561</c:v>
                </c:pt>
                <c:pt idx="7">
                  <c:v>97.092477200148423</c:v>
                </c:pt>
                <c:pt idx="8">
                  <c:v>89.228058520142852</c:v>
                </c:pt>
                <c:pt idx="9">
                  <c:v>59.780380168146571</c:v>
                </c:pt>
                <c:pt idx="10">
                  <c:v>36.121726652150308</c:v>
                </c:pt>
                <c:pt idx="11">
                  <c:v>72.075104904144709</c:v>
                </c:pt>
                <c:pt idx="12">
                  <c:v>87.965396396146573</c:v>
                </c:pt>
                <c:pt idx="13">
                  <c:v>74.125054859665497</c:v>
                </c:pt>
                <c:pt idx="14">
                  <c:v>65.712165103665498</c:v>
                </c:pt>
                <c:pt idx="15">
                  <c:v>52.813819831667352</c:v>
                </c:pt>
                <c:pt idx="16">
                  <c:v>28.149758551661769</c:v>
                </c:pt>
                <c:pt idx="17">
                  <c:v>25.726585475665495</c:v>
                </c:pt>
                <c:pt idx="18">
                  <c:v>67.815809807665502</c:v>
                </c:pt>
                <c:pt idx="19">
                  <c:v>64.452200755665501</c:v>
                </c:pt>
                <c:pt idx="20">
                  <c:v>77.42513781851595</c:v>
                </c:pt>
                <c:pt idx="21">
                  <c:v>70.548939162521549</c:v>
                </c:pt>
                <c:pt idx="22">
                  <c:v>33.423748286519682</c:v>
                </c:pt>
                <c:pt idx="23">
                  <c:v>21.019840170515955</c:v>
                </c:pt>
                <c:pt idx="24">
                  <c:v>30.011643190521543</c:v>
                </c:pt>
                <c:pt idx="25">
                  <c:v>70.152131902517823</c:v>
                </c:pt>
                <c:pt idx="26">
                  <c:v>69.739671770521539</c:v>
                </c:pt>
                <c:pt idx="27">
                  <c:v>94.891897895477399</c:v>
                </c:pt>
                <c:pt idx="28">
                  <c:v>98.647746667479254</c:v>
                </c:pt>
                <c:pt idx="29">
                  <c:v>95.54463594747925</c:v>
                </c:pt>
                <c:pt idx="30">
                  <c:v>42.317540663479249</c:v>
                </c:pt>
                <c:pt idx="31">
                  <c:v>37.599351619477389</c:v>
                </c:pt>
                <c:pt idx="32">
                  <c:v>62.325435219481122</c:v>
                </c:pt>
                <c:pt idx="33">
                  <c:v>72.170788443477392</c:v>
                </c:pt>
                <c:pt idx="34">
                  <c:v>65.01715479181297</c:v>
                </c:pt>
                <c:pt idx="35">
                  <c:v>61.090652771811101</c:v>
                </c:pt>
                <c:pt idx="36">
                  <c:v>70.627706851807375</c:v>
                </c:pt>
                <c:pt idx="37">
                  <c:v>41.499977935811103</c:v>
                </c:pt>
                <c:pt idx="38">
                  <c:v>41.427987751809248</c:v>
                </c:pt>
                <c:pt idx="39">
                  <c:v>60.37740137980925</c:v>
                </c:pt>
                <c:pt idx="40">
                  <c:v>56.289525323812967</c:v>
                </c:pt>
                <c:pt idx="41">
                  <c:v>65.030452773205397</c:v>
                </c:pt>
                <c:pt idx="42">
                  <c:v>70.339536309207261</c:v>
                </c:pt>
                <c:pt idx="43">
                  <c:v>73.472742457207261</c:v>
                </c:pt>
                <c:pt idx="44">
                  <c:v>61.432024237210989</c:v>
                </c:pt>
                <c:pt idx="45">
                  <c:v>63.0199917972054</c:v>
                </c:pt>
                <c:pt idx="46">
                  <c:v>84.853373105210991</c:v>
                </c:pt>
                <c:pt idx="47">
                  <c:v>83.112247585209133</c:v>
                </c:pt>
                <c:pt idx="48">
                  <c:v>88.561247961818538</c:v>
                </c:pt>
                <c:pt idx="49">
                  <c:v>87.578146521816677</c:v>
                </c:pt>
                <c:pt idx="50">
                  <c:v>81.931180337818532</c:v>
                </c:pt>
                <c:pt idx="51">
                  <c:v>85.491071121820397</c:v>
                </c:pt>
                <c:pt idx="52">
                  <c:v>63.778950921816673</c:v>
                </c:pt>
                <c:pt idx="53">
                  <c:v>71.950054133820402</c:v>
                </c:pt>
                <c:pt idx="54">
                  <c:v>76.787076453822252</c:v>
                </c:pt>
                <c:pt idx="55">
                  <c:v>45.036094361653767</c:v>
                </c:pt>
                <c:pt idx="56">
                  <c:v>84.634084257655644</c:v>
                </c:pt>
                <c:pt idx="57">
                  <c:v>51.411297629655643</c:v>
                </c:pt>
                <c:pt idx="58">
                  <c:v>47.267614169655644</c:v>
                </c:pt>
                <c:pt idx="59">
                  <c:v>31.001360121657505</c:v>
                </c:pt>
                <c:pt idx="60">
                  <c:v>46.43987483365192</c:v>
                </c:pt>
                <c:pt idx="61">
                  <c:v>49.740938881657506</c:v>
                </c:pt>
                <c:pt idx="62">
                  <c:v>59.626562735076746</c:v>
                </c:pt>
                <c:pt idx="63">
                  <c:v>43.384016879082331</c:v>
                </c:pt>
                <c:pt idx="64">
                  <c:v>51.379159187080468</c:v>
                </c:pt>
                <c:pt idx="65">
                  <c:v>46.980016771082333</c:v>
                </c:pt>
                <c:pt idx="66">
                  <c:v>38.850407715080465</c:v>
                </c:pt>
                <c:pt idx="67">
                  <c:v>42.253056895078601</c:v>
                </c:pt>
                <c:pt idx="68">
                  <c:v>48.83241618308233</c:v>
                </c:pt>
                <c:pt idx="69">
                  <c:v>39.656640428078113</c:v>
                </c:pt>
                <c:pt idx="70">
                  <c:v>56.535118168078114</c:v>
                </c:pt>
                <c:pt idx="71">
                  <c:v>35.849534328079969</c:v>
                </c:pt>
                <c:pt idx="72">
                  <c:v>39.188961216074382</c:v>
                </c:pt>
                <c:pt idx="73">
                  <c:v>34.75959014007811</c:v>
                </c:pt>
                <c:pt idx="74">
                  <c:v>71.69865695207811</c:v>
                </c:pt>
                <c:pt idx="75">
                  <c:v>67.651463800076243</c:v>
                </c:pt>
                <c:pt idx="76">
                  <c:v>62.761168339110462</c:v>
                </c:pt>
                <c:pt idx="77">
                  <c:v>64.331895743110465</c:v>
                </c:pt>
                <c:pt idx="78">
                  <c:v>51.750105331110461</c:v>
                </c:pt>
                <c:pt idx="79">
                  <c:v>42.611285635112317</c:v>
                </c:pt>
                <c:pt idx="80">
                  <c:v>30.118779127108596</c:v>
                </c:pt>
                <c:pt idx="81">
                  <c:v>41.493578483112316</c:v>
                </c:pt>
                <c:pt idx="82">
                  <c:v>51.606623843110455</c:v>
                </c:pt>
                <c:pt idx="83">
                  <c:v>56.153062707417426</c:v>
                </c:pt>
                <c:pt idx="84">
                  <c:v>62.08737866341928</c:v>
                </c:pt>
                <c:pt idx="85">
                  <c:v>59.582867003419288</c:v>
                </c:pt>
                <c:pt idx="86">
                  <c:v>44.03432207541929</c:v>
                </c:pt>
                <c:pt idx="87">
                  <c:v>35.423002939419291</c:v>
                </c:pt>
                <c:pt idx="88">
                  <c:v>57.752474875419281</c:v>
                </c:pt>
                <c:pt idx="89">
                  <c:v>56.62067234341928</c:v>
                </c:pt>
                <c:pt idx="90">
                  <c:v>38.6761881303024</c:v>
                </c:pt>
                <c:pt idx="91">
                  <c:v>44.62471131430425</c:v>
                </c:pt>
                <c:pt idx="92">
                  <c:v>42.429424178304252</c:v>
                </c:pt>
                <c:pt idx="93">
                  <c:v>38.563100278302386</c:v>
                </c:pt>
                <c:pt idx="94">
                  <c:v>4.5934732943023917</c:v>
                </c:pt>
                <c:pt idx="95">
                  <c:v>37.484665742304266</c:v>
                </c:pt>
                <c:pt idx="96">
                  <c:v>40.497175394304257</c:v>
                </c:pt>
                <c:pt idx="97">
                  <c:v>37.492404876303219</c:v>
                </c:pt>
                <c:pt idx="98">
                  <c:v>25.250259888306942</c:v>
                </c:pt>
                <c:pt idx="99">
                  <c:v>24.846315244305078</c:v>
                </c:pt>
                <c:pt idx="100">
                  <c:v>24.875425528305072</c:v>
                </c:pt>
                <c:pt idx="101">
                  <c:v>24.555974760305077</c:v>
                </c:pt>
                <c:pt idx="102">
                  <c:v>14.567424316305084</c:v>
                </c:pt>
                <c:pt idx="103">
                  <c:v>17.458720352305086</c:v>
                </c:pt>
                <c:pt idx="104">
                  <c:v>3.2801613586414167</c:v>
                </c:pt>
                <c:pt idx="105">
                  <c:v>3.7021285986414152</c:v>
                </c:pt>
                <c:pt idx="106">
                  <c:v>3.4328874426414258</c:v>
                </c:pt>
                <c:pt idx="107">
                  <c:v>6.1905694026414126</c:v>
                </c:pt>
                <c:pt idx="108">
                  <c:v>2.9161338986432819</c:v>
                </c:pt>
                <c:pt idx="109">
                  <c:v>3.8112047226414143</c:v>
                </c:pt>
                <c:pt idx="110">
                  <c:v>0.74533419064328332</c:v>
                </c:pt>
                <c:pt idx="111">
                  <c:v>19.407550297499554</c:v>
                </c:pt>
                <c:pt idx="112">
                  <c:v>16.555754301501416</c:v>
                </c:pt>
                <c:pt idx="113">
                  <c:v>13.259645153499557</c:v>
                </c:pt>
                <c:pt idx="114">
                  <c:v>11.605605877501418</c:v>
                </c:pt>
                <c:pt idx="115">
                  <c:v>7.0987854214995529</c:v>
                </c:pt>
                <c:pt idx="116">
                  <c:v>10.141006933501419</c:v>
                </c:pt>
                <c:pt idx="117">
                  <c:v>9.3542710974995575</c:v>
                </c:pt>
                <c:pt idx="118">
                  <c:v>6.3809409010995806</c:v>
                </c:pt>
                <c:pt idx="119">
                  <c:v>18.61382452909772</c:v>
                </c:pt>
                <c:pt idx="120">
                  <c:v>20.12006257709772</c:v>
                </c:pt>
                <c:pt idx="121">
                  <c:v>1.8893583750977123</c:v>
                </c:pt>
                <c:pt idx="122">
                  <c:v>4.5655955870995752</c:v>
                </c:pt>
                <c:pt idx="123">
                  <c:v>24.369447137101439</c:v>
                </c:pt>
                <c:pt idx="124">
                  <c:v>22.849233373095849</c:v>
                </c:pt>
                <c:pt idx="125">
                  <c:v>20.851566048340771</c:v>
                </c:pt>
                <c:pt idx="126">
                  <c:v>20.527216116342636</c:v>
                </c:pt>
                <c:pt idx="127">
                  <c:v>8.4270759103407684</c:v>
                </c:pt>
                <c:pt idx="128">
                  <c:v>3.1181593463426327</c:v>
                </c:pt>
                <c:pt idx="129">
                  <c:v>0.97960024234076992</c:v>
                </c:pt>
                <c:pt idx="130">
                  <c:v>14.443968728340769</c:v>
                </c:pt>
                <c:pt idx="131">
                  <c:v>12.368461616340777</c:v>
                </c:pt>
                <c:pt idx="132">
                  <c:v>12.890011353729017</c:v>
                </c:pt>
                <c:pt idx="133">
                  <c:v>11.795801197727153</c:v>
                </c:pt>
                <c:pt idx="134">
                  <c:v>10.709613341727149</c:v>
                </c:pt>
                <c:pt idx="135">
                  <c:v>8.390193413727145</c:v>
                </c:pt>
                <c:pt idx="136">
                  <c:v>3.8323451297280844</c:v>
                </c:pt>
                <c:pt idx="137">
                  <c:v>1.5208754617262239</c:v>
                </c:pt>
                <c:pt idx="138">
                  <c:v>1.6454641217280805</c:v>
                </c:pt>
                <c:pt idx="139">
                  <c:v>1.1239345109318819</c:v>
                </c:pt>
                <c:pt idx="140">
                  <c:v>12.31830282093188</c:v>
                </c:pt>
                <c:pt idx="141">
                  <c:v>10.13184883293188</c:v>
                </c:pt>
                <c:pt idx="142">
                  <c:v>3.855074796932815</c:v>
                </c:pt>
                <c:pt idx="143">
                  <c:v>0.51473324493095429</c:v>
                </c:pt>
                <c:pt idx="144">
                  <c:v>1.0608810569318812</c:v>
                </c:pt>
                <c:pt idx="145">
                  <c:v>0.95651898293281556</c:v>
                </c:pt>
                <c:pt idx="146">
                  <c:v>7.1533921176681394</c:v>
                </c:pt>
                <c:pt idx="147">
                  <c:v>9.1958073616690665</c:v>
                </c:pt>
                <c:pt idx="148">
                  <c:v>4.1350082336709315</c:v>
                </c:pt>
                <c:pt idx="149">
                  <c:v>0.77185449366814285</c:v>
                </c:pt>
                <c:pt idx="150">
                  <c:v>1.0640044536700006</c:v>
                </c:pt>
                <c:pt idx="151">
                  <c:v>10.140573249667206</c:v>
                </c:pt>
                <c:pt idx="152">
                  <c:v>13.94423220567093</c:v>
                </c:pt>
                <c:pt idx="153">
                  <c:v>24.232942552924062</c:v>
                </c:pt>
                <c:pt idx="154">
                  <c:v>23.923948540925927</c:v>
                </c:pt>
                <c:pt idx="155">
                  <c:v>22.820461948923132</c:v>
                </c:pt>
                <c:pt idx="156">
                  <c:v>16.785473316926858</c:v>
                </c:pt>
                <c:pt idx="157">
                  <c:v>10.244637292924068</c:v>
                </c:pt>
                <c:pt idx="158">
                  <c:v>15.825120408925926</c:v>
                </c:pt>
                <c:pt idx="159">
                  <c:v>6.2947448249249938</c:v>
                </c:pt>
                <c:pt idx="160">
                  <c:v>20.115420491951163</c:v>
                </c:pt>
                <c:pt idx="161">
                  <c:v>20.943244847952091</c:v>
                </c:pt>
                <c:pt idx="162">
                  <c:v>20.22736524795209</c:v>
                </c:pt>
                <c:pt idx="163">
                  <c:v>15.135667991953021</c:v>
                </c:pt>
                <c:pt idx="164">
                  <c:v>20.061154527952095</c:v>
                </c:pt>
                <c:pt idx="165">
                  <c:v>12.823799795953025</c:v>
                </c:pt>
                <c:pt idx="166">
                  <c:v>25.974186331951163</c:v>
                </c:pt>
                <c:pt idx="167">
                  <c:v>38.31835680787313</c:v>
                </c:pt>
                <c:pt idx="168">
                  <c:v>21.487675855873132</c:v>
                </c:pt>
                <c:pt idx="169">
                  <c:v>16.394569441872203</c:v>
                </c:pt>
                <c:pt idx="170">
                  <c:v>11.821708425872202</c:v>
                </c:pt>
                <c:pt idx="171">
                  <c:v>11.033212529874065</c:v>
                </c:pt>
                <c:pt idx="172">
                  <c:v>12.408188627872201</c:v>
                </c:pt>
                <c:pt idx="173">
                  <c:v>11.887315421872204</c:v>
                </c:pt>
                <c:pt idx="174">
                  <c:v>24.565719547283638</c:v>
                </c:pt>
                <c:pt idx="175">
                  <c:v>18.78037494927991</c:v>
                </c:pt>
                <c:pt idx="176">
                  <c:v>28.647999827281776</c:v>
                </c:pt>
                <c:pt idx="177">
                  <c:v>21.776072683282706</c:v>
                </c:pt>
                <c:pt idx="178">
                  <c:v>15.501655585280846</c:v>
                </c:pt>
                <c:pt idx="179">
                  <c:v>22.111520435282706</c:v>
                </c:pt>
                <c:pt idx="180">
                  <c:v>31.315857271280844</c:v>
                </c:pt>
                <c:pt idx="181">
                  <c:v>21.160280351840992</c:v>
                </c:pt>
                <c:pt idx="182">
                  <c:v>20.742861095840059</c:v>
                </c:pt>
                <c:pt idx="183">
                  <c:v>26.522195107839128</c:v>
                </c:pt>
                <c:pt idx="184">
                  <c:v>11.450506385840995</c:v>
                </c:pt>
                <c:pt idx="185">
                  <c:v>7.0336940938400625</c:v>
                </c:pt>
                <c:pt idx="186">
                  <c:v>20.078182471840059</c:v>
                </c:pt>
                <c:pt idx="187">
                  <c:v>20.407965117839129</c:v>
                </c:pt>
                <c:pt idx="188">
                  <c:v>34.537367477795087</c:v>
                </c:pt>
                <c:pt idx="189">
                  <c:v>32.421314555796023</c:v>
                </c:pt>
                <c:pt idx="190">
                  <c:v>28.830218095796024</c:v>
                </c:pt>
                <c:pt idx="191">
                  <c:v>26.074201315795086</c:v>
                </c:pt>
                <c:pt idx="192">
                  <c:v>14.97372190579509</c:v>
                </c:pt>
                <c:pt idx="193">
                  <c:v>18.989537715795091</c:v>
                </c:pt>
                <c:pt idx="194">
                  <c:v>16.810403215795091</c:v>
                </c:pt>
                <c:pt idx="195">
                  <c:v>9.6915650946646714</c:v>
                </c:pt>
                <c:pt idx="196">
                  <c:v>21.102004324664666</c:v>
                </c:pt>
                <c:pt idx="197">
                  <c:v>22.793578934664669</c:v>
                </c:pt>
                <c:pt idx="198">
                  <c:v>22.891749824663741</c:v>
                </c:pt>
                <c:pt idx="199">
                  <c:v>20.531404104664666</c:v>
                </c:pt>
                <c:pt idx="200">
                  <c:v>20.055615194663741</c:v>
                </c:pt>
                <c:pt idx="201">
                  <c:v>13.659925614663738</c:v>
                </c:pt>
                <c:pt idx="202">
                  <c:v>15.363624254522176</c:v>
                </c:pt>
                <c:pt idx="203">
                  <c:v>22.04892331452125</c:v>
                </c:pt>
                <c:pt idx="204">
                  <c:v>15.953329024523107</c:v>
                </c:pt>
                <c:pt idx="205">
                  <c:v>16.079614874521244</c:v>
                </c:pt>
                <c:pt idx="206">
                  <c:v>16.836174644522178</c:v>
                </c:pt>
                <c:pt idx="207">
                  <c:v>28.025825204521244</c:v>
                </c:pt>
                <c:pt idx="208">
                  <c:v>20.552402704523111</c:v>
                </c:pt>
                <c:pt idx="209">
                  <c:v>38.627298912769433</c:v>
                </c:pt>
                <c:pt idx="210">
                  <c:v>29.895004102771292</c:v>
                </c:pt>
                <c:pt idx="211">
                  <c:v>25.749818082769426</c:v>
                </c:pt>
                <c:pt idx="212">
                  <c:v>27.030004642770361</c:v>
                </c:pt>
                <c:pt idx="213">
                  <c:v>14.640549322768496</c:v>
                </c:pt>
                <c:pt idx="214">
                  <c:v>22.313917842770358</c:v>
                </c:pt>
                <c:pt idx="215">
                  <c:v>28.912959306771292</c:v>
                </c:pt>
                <c:pt idx="216">
                  <c:v>55.970923198660778</c:v>
                </c:pt>
                <c:pt idx="217">
                  <c:v>53.446203498659841</c:v>
                </c:pt>
                <c:pt idx="218">
                  <c:v>54.771741696662637</c:v>
                </c:pt>
                <c:pt idx="219">
                  <c:v>51.570235068661717</c:v>
                </c:pt>
                <c:pt idx="220">
                  <c:v>44.703382378660784</c:v>
                </c:pt>
                <c:pt idx="221">
                  <c:v>58.176928336660779</c:v>
                </c:pt>
                <c:pt idx="222">
                  <c:v>60.36964599866171</c:v>
                </c:pt>
                <c:pt idx="223">
                  <c:v>40.97435282420534</c:v>
                </c:pt>
                <c:pt idx="224">
                  <c:v>42.417581774205345</c:v>
                </c:pt>
                <c:pt idx="225">
                  <c:v>41.176484884206282</c:v>
                </c:pt>
                <c:pt idx="226">
                  <c:v>23.390989284206277</c:v>
                </c:pt>
                <c:pt idx="227">
                  <c:v>24.434203184204414</c:v>
                </c:pt>
                <c:pt idx="228">
                  <c:v>34.052250696206279</c:v>
                </c:pt>
                <c:pt idx="229">
                  <c:v>28.129850584206277</c:v>
                </c:pt>
                <c:pt idx="230">
                  <c:v>16.031524459577522</c:v>
                </c:pt>
                <c:pt idx="231">
                  <c:v>19.834301079575656</c:v>
                </c:pt>
                <c:pt idx="232">
                  <c:v>29.031869949575658</c:v>
                </c:pt>
                <c:pt idx="233">
                  <c:v>25.204199631577517</c:v>
                </c:pt>
                <c:pt idx="234">
                  <c:v>27.474410815575656</c:v>
                </c:pt>
                <c:pt idx="235">
                  <c:v>27.98157283157752</c:v>
                </c:pt>
                <c:pt idx="236">
                  <c:v>26.741202983576585</c:v>
                </c:pt>
                <c:pt idx="237">
                  <c:v>45.54969271737734</c:v>
                </c:pt>
                <c:pt idx="238">
                  <c:v>47.647484435378267</c:v>
                </c:pt>
                <c:pt idx="239">
                  <c:v>47.625536095378266</c:v>
                </c:pt>
                <c:pt idx="240">
                  <c:v>51.534761423378264</c:v>
                </c:pt>
                <c:pt idx="241">
                  <c:v>44.432550211378263</c:v>
                </c:pt>
                <c:pt idx="242">
                  <c:v>53.96349179537733</c:v>
                </c:pt>
                <c:pt idx="243">
                  <c:v>68.858192995378261</c:v>
                </c:pt>
                <c:pt idx="244">
                  <c:v>67.914082788547205</c:v>
                </c:pt>
                <c:pt idx="245">
                  <c:v>67.634317772550943</c:v>
                </c:pt>
                <c:pt idx="246">
                  <c:v>79.771890052547207</c:v>
                </c:pt>
                <c:pt idx="247">
                  <c:v>73.835649612549076</c:v>
                </c:pt>
                <c:pt idx="248">
                  <c:v>67.854101322548146</c:v>
                </c:pt>
                <c:pt idx="249">
                  <c:v>75.36825752454908</c:v>
                </c:pt>
                <c:pt idx="250">
                  <c:v>75.19998157054907</c:v>
                </c:pt>
                <c:pt idx="251">
                  <c:v>134.12053199479683</c:v>
                </c:pt>
                <c:pt idx="252">
                  <c:v>149.83404116679773</c:v>
                </c:pt>
                <c:pt idx="253">
                  <c:v>150.75707037479683</c:v>
                </c:pt>
                <c:pt idx="254">
                  <c:v>155.9076950487987</c:v>
                </c:pt>
                <c:pt idx="255">
                  <c:v>165.94317509679775</c:v>
                </c:pt>
                <c:pt idx="256">
                  <c:v>168.94623704479682</c:v>
                </c:pt>
                <c:pt idx="257">
                  <c:v>163.42586551079776</c:v>
                </c:pt>
                <c:pt idx="258">
                  <c:v>99.20214076305858</c:v>
                </c:pt>
                <c:pt idx="259">
                  <c:v>94.316234811056717</c:v>
                </c:pt>
                <c:pt idx="260">
                  <c:v>100.71085091105765</c:v>
                </c:pt>
                <c:pt idx="261">
                  <c:v>107.73071106705764</c:v>
                </c:pt>
                <c:pt idx="262">
                  <c:v>94.236187843058573</c:v>
                </c:pt>
                <c:pt idx="263">
                  <c:v>108.97748723105857</c:v>
                </c:pt>
                <c:pt idx="264">
                  <c:v>115.96634227105858</c:v>
                </c:pt>
                <c:pt idx="265">
                  <c:v>109.5801564097107</c:v>
                </c:pt>
                <c:pt idx="266">
                  <c:v>100.54819594570883</c:v>
                </c:pt>
                <c:pt idx="267">
                  <c:v>73.15339101971162</c:v>
                </c:pt>
                <c:pt idx="268">
                  <c:v>62.947384397708817</c:v>
                </c:pt>
                <c:pt idx="269">
                  <c:v>66.909976297710685</c:v>
                </c:pt>
                <c:pt idx="270">
                  <c:v>70.186913739709752</c:v>
                </c:pt>
                <c:pt idx="271">
                  <c:v>74.018275097710671</c:v>
                </c:pt>
                <c:pt idx="272">
                  <c:v>126.29973371740441</c:v>
                </c:pt>
                <c:pt idx="273">
                  <c:v>127.2610685074044</c:v>
                </c:pt>
                <c:pt idx="274">
                  <c:v>118.3931635174044</c:v>
                </c:pt>
                <c:pt idx="275">
                  <c:v>102.17540151940534</c:v>
                </c:pt>
                <c:pt idx="276">
                  <c:v>104.62349681740534</c:v>
                </c:pt>
                <c:pt idx="277">
                  <c:v>105.21932554740441</c:v>
                </c:pt>
                <c:pt idx="278">
                  <c:v>103.55801551140441</c:v>
                </c:pt>
                <c:pt idx="279">
                  <c:v>91.987723495153446</c:v>
                </c:pt>
                <c:pt idx="280">
                  <c:v>95.198739353151581</c:v>
                </c:pt>
                <c:pt idx="281">
                  <c:v>95.836925759152507</c:v>
                </c:pt>
                <c:pt idx="282">
                  <c:v>90.269487789151583</c:v>
                </c:pt>
                <c:pt idx="283">
                  <c:v>82.673086073152518</c:v>
                </c:pt>
                <c:pt idx="284">
                  <c:v>105.36310315515158</c:v>
                </c:pt>
                <c:pt idx="285">
                  <c:v>106.01807528715251</c:v>
                </c:pt>
                <c:pt idx="286">
                  <c:v>80.883930473632347</c:v>
                </c:pt>
                <c:pt idx="287">
                  <c:v>108.53032502363422</c:v>
                </c:pt>
                <c:pt idx="288">
                  <c:v>109.9746273136342</c:v>
                </c:pt>
                <c:pt idx="289">
                  <c:v>107.25943700363328</c:v>
                </c:pt>
                <c:pt idx="290">
                  <c:v>93.148619171634209</c:v>
                </c:pt>
                <c:pt idx="291">
                  <c:v>101.72879704363422</c:v>
                </c:pt>
                <c:pt idx="292">
                  <c:v>103.87119560363328</c:v>
                </c:pt>
                <c:pt idx="293">
                  <c:v>67.409800574516936</c:v>
                </c:pt>
                <c:pt idx="294">
                  <c:v>56.526716274517867</c:v>
                </c:pt>
                <c:pt idx="295">
                  <c:v>43.579174246515997</c:v>
                </c:pt>
                <c:pt idx="296">
                  <c:v>41.629165836516933</c:v>
                </c:pt>
                <c:pt idx="297">
                  <c:v>53.975750974516927</c:v>
                </c:pt>
                <c:pt idx="298">
                  <c:v>79.832427634515071</c:v>
                </c:pt>
                <c:pt idx="299">
                  <c:v>60.620104462519727</c:v>
                </c:pt>
                <c:pt idx="300">
                  <c:v>57.039959710062163</c:v>
                </c:pt>
                <c:pt idx="301">
                  <c:v>40.904587002061234</c:v>
                </c:pt>
                <c:pt idx="302">
                  <c:v>30.755261530062167</c:v>
                </c:pt>
                <c:pt idx="303">
                  <c:v>30.089815514064963</c:v>
                </c:pt>
                <c:pt idx="304">
                  <c:v>28.242457818062167</c:v>
                </c:pt>
                <c:pt idx="305">
                  <c:v>26.349692656061233</c:v>
                </c:pt>
                <c:pt idx="306">
                  <c:v>21.684615920064957</c:v>
                </c:pt>
                <c:pt idx="307">
                  <c:v>41.337833783846577</c:v>
                </c:pt>
                <c:pt idx="308">
                  <c:v>40.189233297848432</c:v>
                </c:pt>
                <c:pt idx="309">
                  <c:v>39.609134091848432</c:v>
                </c:pt>
                <c:pt idx="310">
                  <c:v>23.807867291847504</c:v>
                </c:pt>
                <c:pt idx="311">
                  <c:v>28.158227031847506</c:v>
                </c:pt>
                <c:pt idx="312">
                  <c:v>30.078230323848437</c:v>
                </c:pt>
                <c:pt idx="313">
                  <c:v>31.240118177848437</c:v>
                </c:pt>
                <c:pt idx="314">
                  <c:v>35.959938372648338</c:v>
                </c:pt>
                <c:pt idx="315">
                  <c:v>43.979555102650203</c:v>
                </c:pt>
                <c:pt idx="316">
                  <c:v>49.056240512649268</c:v>
                </c:pt>
                <c:pt idx="317">
                  <c:v>37.819610046651128</c:v>
                </c:pt>
                <c:pt idx="318">
                  <c:v>19.811390636649268</c:v>
                </c:pt>
                <c:pt idx="319">
                  <c:v>28.144312738649269</c:v>
                </c:pt>
                <c:pt idx="320">
                  <c:v>35.179346400651127</c:v>
                </c:pt>
                <c:pt idx="321">
                  <c:v>29.308234519336924</c:v>
                </c:pt>
                <c:pt idx="322">
                  <c:v>44.300511531335061</c:v>
                </c:pt>
                <c:pt idx="323">
                  <c:v>48.990083881335998</c:v>
                </c:pt>
                <c:pt idx="324">
                  <c:v>35.150478825336926</c:v>
                </c:pt>
                <c:pt idx="325">
                  <c:v>40.915745895335995</c:v>
                </c:pt>
                <c:pt idx="326">
                  <c:v>43.225565069337854</c:v>
                </c:pt>
                <c:pt idx="327">
                  <c:v>42.697630395335061</c:v>
                </c:pt>
                <c:pt idx="328">
                  <c:v>32.78974645699244</c:v>
                </c:pt>
                <c:pt idx="329">
                  <c:v>38.519276576992446</c:v>
                </c:pt>
                <c:pt idx="330">
                  <c:v>32.902420378992446</c:v>
                </c:pt>
                <c:pt idx="331">
                  <c:v>33.690067250991511</c:v>
                </c:pt>
                <c:pt idx="332">
                  <c:v>33.604968194992445</c:v>
                </c:pt>
                <c:pt idx="333">
                  <c:v>25.36323805299244</c:v>
                </c:pt>
                <c:pt idx="334">
                  <c:v>30.564824412993374</c:v>
                </c:pt>
                <c:pt idx="335">
                  <c:v>40.530695179673309</c:v>
                </c:pt>
                <c:pt idx="336">
                  <c:v>49.14882341967332</c:v>
                </c:pt>
                <c:pt idx="337">
                  <c:v>39.083399935674244</c:v>
                </c:pt>
                <c:pt idx="338">
                  <c:v>48.772879543674243</c:v>
                </c:pt>
                <c:pt idx="339">
                  <c:v>45.452536035673312</c:v>
                </c:pt>
                <c:pt idx="340">
                  <c:v>60.45627532367331</c:v>
                </c:pt>
                <c:pt idx="341">
                  <c:v>36.779661775673318</c:v>
                </c:pt>
                <c:pt idx="342">
                  <c:v>61.948897105205553</c:v>
                </c:pt>
                <c:pt idx="343">
                  <c:v>54.524189927205562</c:v>
                </c:pt>
                <c:pt idx="344">
                  <c:v>60.358437955205559</c:v>
                </c:pt>
                <c:pt idx="345">
                  <c:v>58.907009285206492</c:v>
                </c:pt>
                <c:pt idx="346">
                  <c:v>60.282320731206489</c:v>
                </c:pt>
                <c:pt idx="347">
                  <c:v>63.400843503205557</c:v>
                </c:pt>
                <c:pt idx="348">
                  <c:v>88.450601825206491</c:v>
                </c:pt>
                <c:pt idx="349">
                  <c:v>105.66707078317859</c:v>
                </c:pt>
                <c:pt idx="350">
                  <c:v>76.224160777176735</c:v>
                </c:pt>
                <c:pt idx="351">
                  <c:v>83.524895599177654</c:v>
                </c:pt>
                <c:pt idx="352">
                  <c:v>72.561059351177647</c:v>
                </c:pt>
                <c:pt idx="353">
                  <c:v>60.778006783177652</c:v>
                </c:pt>
                <c:pt idx="354">
                  <c:v>62.648989147177659</c:v>
                </c:pt>
                <c:pt idx="355">
                  <c:v>70.72932556117766</c:v>
                </c:pt>
                <c:pt idx="356">
                  <c:v>95.725654922288953</c:v>
                </c:pt>
                <c:pt idx="357">
                  <c:v>108.49786118828989</c:v>
                </c:pt>
                <c:pt idx="358">
                  <c:v>101.05909937829082</c:v>
                </c:pt>
                <c:pt idx="359">
                  <c:v>96.864451272288946</c:v>
                </c:pt>
                <c:pt idx="360">
                  <c:v>75.323436546289884</c:v>
                </c:pt>
                <c:pt idx="361">
                  <c:v>87.279854582288948</c:v>
                </c:pt>
                <c:pt idx="362">
                  <c:v>99.326811372289882</c:v>
                </c:pt>
                <c:pt idx="363">
                  <c:v>76.055107751458621</c:v>
                </c:pt>
                <c:pt idx="364">
                  <c:v>77.66716020745676</c:v>
                </c:pt>
                <c:pt idx="365">
                  <c:v>78.825242601457688</c:v>
                </c:pt>
                <c:pt idx="366">
                  <c:v>63.034154265456756</c:v>
                </c:pt>
                <c:pt idx="367">
                  <c:v>52.061649857457681</c:v>
                </c:pt>
                <c:pt idx="368">
                  <c:v>70.827523007457685</c:v>
                </c:pt>
                <c:pt idx="369">
                  <c:v>95.343797031456745</c:v>
                </c:pt>
                <c:pt idx="370">
                  <c:v>75.57479875345723</c:v>
                </c:pt>
                <c:pt idx="371">
                  <c:v>55.234117899457232</c:v>
                </c:pt>
                <c:pt idx="372">
                  <c:v>51.787023833460026</c:v>
                </c:pt>
                <c:pt idx="373">
                  <c:v>69.790241067457231</c:v>
                </c:pt>
                <c:pt idx="374">
                  <c:v>39.912614189456306</c:v>
                </c:pt>
                <c:pt idx="375">
                  <c:v>45.789658089458165</c:v>
                </c:pt>
                <c:pt idx="376">
                  <c:v>72.02169132545724</c:v>
                </c:pt>
                <c:pt idx="377">
                  <c:v>95.952041481449186</c:v>
                </c:pt>
                <c:pt idx="378">
                  <c:v>80.311370453449172</c:v>
                </c:pt>
                <c:pt idx="379">
                  <c:v>73.780836233448241</c:v>
                </c:pt>
                <c:pt idx="380">
                  <c:v>64.537926637449175</c:v>
                </c:pt>
                <c:pt idx="381">
                  <c:v>71.863747119449172</c:v>
                </c:pt>
                <c:pt idx="382">
                  <c:v>78.581595269448243</c:v>
                </c:pt>
                <c:pt idx="383">
                  <c:v>82.190099059450105</c:v>
                </c:pt>
                <c:pt idx="384">
                  <c:v>90.730093421669949</c:v>
                </c:pt>
                <c:pt idx="385">
                  <c:v>106.74601708966996</c:v>
                </c:pt>
                <c:pt idx="386">
                  <c:v>109.08168919367088</c:v>
                </c:pt>
                <c:pt idx="387">
                  <c:v>78.589170011670888</c:v>
                </c:pt>
                <c:pt idx="388">
                  <c:v>90.840917781669958</c:v>
                </c:pt>
                <c:pt idx="389">
                  <c:v>100.75999283766902</c:v>
                </c:pt>
                <c:pt idx="390">
                  <c:v>103.79739729367088</c:v>
                </c:pt>
                <c:pt idx="391">
                  <c:v>98.840254420552697</c:v>
                </c:pt>
                <c:pt idx="392">
                  <c:v>113.81131618455083</c:v>
                </c:pt>
                <c:pt idx="393">
                  <c:v>117.57543488055269</c:v>
                </c:pt>
                <c:pt idx="394">
                  <c:v>104.47230393055364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128.52573371940508</c:v>
                </c:pt>
                <c:pt idx="1">
                  <c:v>128.52573371940508</c:v>
                </c:pt>
                <c:pt idx="2">
                  <c:v>128.52573371940508</c:v>
                </c:pt>
                <c:pt idx="3">
                  <c:v>128.52573371940508</c:v>
                </c:pt>
                <c:pt idx="4">
                  <c:v>128.52573371940508</c:v>
                </c:pt>
                <c:pt idx="5">
                  <c:v>128.52573371940508</c:v>
                </c:pt>
                <c:pt idx="6">
                  <c:v>128.52573371940508</c:v>
                </c:pt>
                <c:pt idx="7">
                  <c:v>128.52573371940508</c:v>
                </c:pt>
                <c:pt idx="8">
                  <c:v>128.52573371940508</c:v>
                </c:pt>
                <c:pt idx="9">
                  <c:v>128.52573371940508</c:v>
                </c:pt>
                <c:pt idx="10">
                  <c:v>128.52573371940508</c:v>
                </c:pt>
                <c:pt idx="11">
                  <c:v>128.52573371940508</c:v>
                </c:pt>
                <c:pt idx="12">
                  <c:v>128.52573371940508</c:v>
                </c:pt>
                <c:pt idx="13">
                  <c:v>128.52573371940508</c:v>
                </c:pt>
                <c:pt idx="14">
                  <c:v>128.52573371940508</c:v>
                </c:pt>
                <c:pt idx="15">
                  <c:v>128.52573371940508</c:v>
                </c:pt>
                <c:pt idx="16">
                  <c:v>128.52573371940508</c:v>
                </c:pt>
                <c:pt idx="17">
                  <c:v>128.52573371940508</c:v>
                </c:pt>
                <c:pt idx="18">
                  <c:v>128.52573371940508</c:v>
                </c:pt>
                <c:pt idx="19">
                  <c:v>128.52573371940508</c:v>
                </c:pt>
                <c:pt idx="20">
                  <c:v>128.52573371940508</c:v>
                </c:pt>
                <c:pt idx="21">
                  <c:v>128.52573371940508</c:v>
                </c:pt>
                <c:pt idx="22">
                  <c:v>128.52573371940508</c:v>
                </c:pt>
                <c:pt idx="23">
                  <c:v>128.52573371940508</c:v>
                </c:pt>
                <c:pt idx="24">
                  <c:v>128.52573371940508</c:v>
                </c:pt>
                <c:pt idx="25">
                  <c:v>128.52573371940508</c:v>
                </c:pt>
                <c:pt idx="26">
                  <c:v>128.52573371940508</c:v>
                </c:pt>
                <c:pt idx="27">
                  <c:v>128.52573371940508</c:v>
                </c:pt>
                <c:pt idx="28">
                  <c:v>128.52573371940508</c:v>
                </c:pt>
                <c:pt idx="29">
                  <c:v>128.52573371940508</c:v>
                </c:pt>
                <c:pt idx="30">
                  <c:v>101.55332277089387</c:v>
                </c:pt>
                <c:pt idx="31">
                  <c:v>101.55332277089387</c:v>
                </c:pt>
                <c:pt idx="32">
                  <c:v>101.55332277089387</c:v>
                </c:pt>
                <c:pt idx="33">
                  <c:v>101.55332277089387</c:v>
                </c:pt>
                <c:pt idx="34">
                  <c:v>101.55332277089387</c:v>
                </c:pt>
                <c:pt idx="35">
                  <c:v>101.55332277089387</c:v>
                </c:pt>
                <c:pt idx="36">
                  <c:v>101.55332277089387</c:v>
                </c:pt>
                <c:pt idx="37">
                  <c:v>101.55332277089387</c:v>
                </c:pt>
                <c:pt idx="38">
                  <c:v>101.55332277089387</c:v>
                </c:pt>
                <c:pt idx="39">
                  <c:v>101.55332277089387</c:v>
                </c:pt>
                <c:pt idx="40">
                  <c:v>101.55332277089387</c:v>
                </c:pt>
                <c:pt idx="41">
                  <c:v>101.55332277089387</c:v>
                </c:pt>
                <c:pt idx="42">
                  <c:v>101.55332277089387</c:v>
                </c:pt>
                <c:pt idx="43">
                  <c:v>101.55332277089387</c:v>
                </c:pt>
                <c:pt idx="44">
                  <c:v>101.55332277089387</c:v>
                </c:pt>
                <c:pt idx="45">
                  <c:v>101.55332277089387</c:v>
                </c:pt>
                <c:pt idx="46">
                  <c:v>101.55332277089387</c:v>
                </c:pt>
                <c:pt idx="47">
                  <c:v>101.55332277089387</c:v>
                </c:pt>
                <c:pt idx="48">
                  <c:v>101.55332277089387</c:v>
                </c:pt>
                <c:pt idx="49">
                  <c:v>101.55332277089387</c:v>
                </c:pt>
                <c:pt idx="50">
                  <c:v>101.55332277089387</c:v>
                </c:pt>
                <c:pt idx="51">
                  <c:v>101.55332277089387</c:v>
                </c:pt>
                <c:pt idx="52">
                  <c:v>101.55332277089387</c:v>
                </c:pt>
                <c:pt idx="53">
                  <c:v>101.55332277089387</c:v>
                </c:pt>
                <c:pt idx="54">
                  <c:v>101.55332277089387</c:v>
                </c:pt>
                <c:pt idx="55">
                  <c:v>101.55332277089387</c:v>
                </c:pt>
                <c:pt idx="56">
                  <c:v>101.55332277089387</c:v>
                </c:pt>
                <c:pt idx="57">
                  <c:v>101.55332277089387</c:v>
                </c:pt>
                <c:pt idx="58">
                  <c:v>101.55332277089387</c:v>
                </c:pt>
                <c:pt idx="59">
                  <c:v>101.55332277089387</c:v>
                </c:pt>
                <c:pt idx="60">
                  <c:v>101.55332277089387</c:v>
                </c:pt>
                <c:pt idx="61">
                  <c:v>64.00894044961241</c:v>
                </c:pt>
                <c:pt idx="62">
                  <c:v>64.00894044961241</c:v>
                </c:pt>
                <c:pt idx="63">
                  <c:v>64.00894044961241</c:v>
                </c:pt>
                <c:pt idx="64">
                  <c:v>64.00894044961241</c:v>
                </c:pt>
                <c:pt idx="65">
                  <c:v>64.00894044961241</c:v>
                </c:pt>
                <c:pt idx="66">
                  <c:v>64.00894044961241</c:v>
                </c:pt>
                <c:pt idx="67">
                  <c:v>64.00894044961241</c:v>
                </c:pt>
                <c:pt idx="68">
                  <c:v>64.00894044961241</c:v>
                </c:pt>
                <c:pt idx="69">
                  <c:v>64.00894044961241</c:v>
                </c:pt>
                <c:pt idx="70">
                  <c:v>64.00894044961241</c:v>
                </c:pt>
                <c:pt idx="71">
                  <c:v>64.00894044961241</c:v>
                </c:pt>
                <c:pt idx="72">
                  <c:v>64.00894044961241</c:v>
                </c:pt>
                <c:pt idx="73">
                  <c:v>64.00894044961241</c:v>
                </c:pt>
                <c:pt idx="74">
                  <c:v>64.00894044961241</c:v>
                </c:pt>
                <c:pt idx="75">
                  <c:v>64.00894044961241</c:v>
                </c:pt>
                <c:pt idx="76">
                  <c:v>64.00894044961241</c:v>
                </c:pt>
                <c:pt idx="77">
                  <c:v>64.00894044961241</c:v>
                </c:pt>
                <c:pt idx="78">
                  <c:v>64.00894044961241</c:v>
                </c:pt>
                <c:pt idx="79">
                  <c:v>64.00894044961241</c:v>
                </c:pt>
                <c:pt idx="80">
                  <c:v>64.00894044961241</c:v>
                </c:pt>
                <c:pt idx="81">
                  <c:v>64.00894044961241</c:v>
                </c:pt>
                <c:pt idx="82">
                  <c:v>64.00894044961241</c:v>
                </c:pt>
                <c:pt idx="83">
                  <c:v>64.00894044961241</c:v>
                </c:pt>
                <c:pt idx="84">
                  <c:v>64.00894044961241</c:v>
                </c:pt>
                <c:pt idx="85">
                  <c:v>64.00894044961241</c:v>
                </c:pt>
                <c:pt idx="86">
                  <c:v>64.00894044961241</c:v>
                </c:pt>
                <c:pt idx="87">
                  <c:v>64.00894044961241</c:v>
                </c:pt>
                <c:pt idx="88">
                  <c:v>64.00894044961241</c:v>
                </c:pt>
                <c:pt idx="89">
                  <c:v>64.00894044961241</c:v>
                </c:pt>
                <c:pt idx="90">
                  <c:v>64.00894044961241</c:v>
                </c:pt>
                <c:pt idx="91">
                  <c:v>28.26541708637771</c:v>
                </c:pt>
                <c:pt idx="92">
                  <c:v>28.26541708637771</c:v>
                </c:pt>
                <c:pt idx="93">
                  <c:v>28.26541708637771</c:v>
                </c:pt>
                <c:pt idx="94">
                  <c:v>28.26541708637771</c:v>
                </c:pt>
                <c:pt idx="95">
                  <c:v>28.26541708637771</c:v>
                </c:pt>
                <c:pt idx="96">
                  <c:v>28.26541708637771</c:v>
                </c:pt>
                <c:pt idx="97">
                  <c:v>28.26541708637771</c:v>
                </c:pt>
                <c:pt idx="98">
                  <c:v>28.26541708637771</c:v>
                </c:pt>
                <c:pt idx="99">
                  <c:v>28.26541708637771</c:v>
                </c:pt>
                <c:pt idx="100">
                  <c:v>28.26541708637771</c:v>
                </c:pt>
                <c:pt idx="101">
                  <c:v>28.26541708637771</c:v>
                </c:pt>
                <c:pt idx="102">
                  <c:v>28.26541708637771</c:v>
                </c:pt>
                <c:pt idx="103">
                  <c:v>28.26541708637771</c:v>
                </c:pt>
                <c:pt idx="104">
                  <c:v>28.26541708637771</c:v>
                </c:pt>
                <c:pt idx="105">
                  <c:v>28.26541708637771</c:v>
                </c:pt>
                <c:pt idx="106">
                  <c:v>28.26541708637771</c:v>
                </c:pt>
                <c:pt idx="107">
                  <c:v>28.26541708637771</c:v>
                </c:pt>
                <c:pt idx="108">
                  <c:v>28.26541708637771</c:v>
                </c:pt>
                <c:pt idx="109">
                  <c:v>28.26541708637771</c:v>
                </c:pt>
                <c:pt idx="110">
                  <c:v>28.26541708637771</c:v>
                </c:pt>
                <c:pt idx="111">
                  <c:v>28.26541708637771</c:v>
                </c:pt>
                <c:pt idx="112">
                  <c:v>28.26541708637771</c:v>
                </c:pt>
                <c:pt idx="113">
                  <c:v>28.26541708637771</c:v>
                </c:pt>
                <c:pt idx="114">
                  <c:v>28.26541708637771</c:v>
                </c:pt>
                <c:pt idx="115">
                  <c:v>28.26541708637771</c:v>
                </c:pt>
                <c:pt idx="116">
                  <c:v>28.26541708637771</c:v>
                </c:pt>
                <c:pt idx="117">
                  <c:v>28.26541708637771</c:v>
                </c:pt>
                <c:pt idx="118">
                  <c:v>28.26541708637771</c:v>
                </c:pt>
                <c:pt idx="119">
                  <c:v>28.26541708637771</c:v>
                </c:pt>
                <c:pt idx="120">
                  <c:v>28.26541708637771</c:v>
                </c:pt>
                <c:pt idx="121">
                  <c:v>28.26541708637771</c:v>
                </c:pt>
                <c:pt idx="122">
                  <c:v>17.065966880459293</c:v>
                </c:pt>
                <c:pt idx="123">
                  <c:v>17.065966880459293</c:v>
                </c:pt>
                <c:pt idx="124">
                  <c:v>17.065966880459293</c:v>
                </c:pt>
                <c:pt idx="125">
                  <c:v>17.065966880459293</c:v>
                </c:pt>
                <c:pt idx="126">
                  <c:v>17.065966880459293</c:v>
                </c:pt>
                <c:pt idx="127">
                  <c:v>17.065966880459293</c:v>
                </c:pt>
                <c:pt idx="128">
                  <c:v>17.065966880459293</c:v>
                </c:pt>
                <c:pt idx="129">
                  <c:v>17.065966880459293</c:v>
                </c:pt>
                <c:pt idx="130">
                  <c:v>17.065966880459293</c:v>
                </c:pt>
                <c:pt idx="131">
                  <c:v>17.065966880459293</c:v>
                </c:pt>
                <c:pt idx="132">
                  <c:v>17.065966880459293</c:v>
                </c:pt>
                <c:pt idx="133">
                  <c:v>17.065966880459293</c:v>
                </c:pt>
                <c:pt idx="134">
                  <c:v>17.065966880459293</c:v>
                </c:pt>
                <c:pt idx="135">
                  <c:v>17.065966880459293</c:v>
                </c:pt>
                <c:pt idx="136">
                  <c:v>17.065966880459293</c:v>
                </c:pt>
                <c:pt idx="137">
                  <c:v>17.065966880459293</c:v>
                </c:pt>
                <c:pt idx="138">
                  <c:v>17.065966880459293</c:v>
                </c:pt>
                <c:pt idx="139">
                  <c:v>17.065966880459293</c:v>
                </c:pt>
                <c:pt idx="140">
                  <c:v>17.065966880459293</c:v>
                </c:pt>
                <c:pt idx="141">
                  <c:v>17.065966880459293</c:v>
                </c:pt>
                <c:pt idx="142">
                  <c:v>17.065966880459293</c:v>
                </c:pt>
                <c:pt idx="143">
                  <c:v>17.065966880459293</c:v>
                </c:pt>
                <c:pt idx="144">
                  <c:v>17.065966880459293</c:v>
                </c:pt>
                <c:pt idx="145">
                  <c:v>17.065966880459293</c:v>
                </c:pt>
                <c:pt idx="146">
                  <c:v>17.065966880459293</c:v>
                </c:pt>
                <c:pt idx="147">
                  <c:v>17.065966880459293</c:v>
                </c:pt>
                <c:pt idx="148">
                  <c:v>17.065966880459293</c:v>
                </c:pt>
                <c:pt idx="149">
                  <c:v>17.065966880459293</c:v>
                </c:pt>
                <c:pt idx="150">
                  <c:v>17.065966880459293</c:v>
                </c:pt>
                <c:pt idx="151">
                  <c:v>17.065966880459293</c:v>
                </c:pt>
                <c:pt idx="152">
                  <c:v>17.065966880459293</c:v>
                </c:pt>
                <c:pt idx="153">
                  <c:v>21.014323006984561</c:v>
                </c:pt>
                <c:pt idx="154">
                  <c:v>21.014323006984561</c:v>
                </c:pt>
                <c:pt idx="155">
                  <c:v>21.014323006984561</c:v>
                </c:pt>
                <c:pt idx="156">
                  <c:v>21.014323006984561</c:v>
                </c:pt>
                <c:pt idx="157">
                  <c:v>21.014323006984561</c:v>
                </c:pt>
                <c:pt idx="158">
                  <c:v>21.014323006984561</c:v>
                </c:pt>
                <c:pt idx="159">
                  <c:v>21.014323006984561</c:v>
                </c:pt>
                <c:pt idx="160">
                  <c:v>21.014323006984561</c:v>
                </c:pt>
                <c:pt idx="161">
                  <c:v>21.014323006984561</c:v>
                </c:pt>
                <c:pt idx="162">
                  <c:v>21.014323006984561</c:v>
                </c:pt>
                <c:pt idx="163">
                  <c:v>21.014323006984561</c:v>
                </c:pt>
                <c:pt idx="164">
                  <c:v>21.014323006984561</c:v>
                </c:pt>
                <c:pt idx="165">
                  <c:v>21.014323006984561</c:v>
                </c:pt>
                <c:pt idx="166">
                  <c:v>21.014323006984561</c:v>
                </c:pt>
                <c:pt idx="167">
                  <c:v>21.014323006984561</c:v>
                </c:pt>
                <c:pt idx="168">
                  <c:v>21.014323006984561</c:v>
                </c:pt>
                <c:pt idx="169">
                  <c:v>21.014323006984561</c:v>
                </c:pt>
                <c:pt idx="170">
                  <c:v>21.014323006984561</c:v>
                </c:pt>
                <c:pt idx="171">
                  <c:v>21.014323006984561</c:v>
                </c:pt>
                <c:pt idx="172">
                  <c:v>21.014323006984561</c:v>
                </c:pt>
                <c:pt idx="173">
                  <c:v>21.014323006984561</c:v>
                </c:pt>
                <c:pt idx="174">
                  <c:v>21.014323006984561</c:v>
                </c:pt>
                <c:pt idx="175">
                  <c:v>21.014323006984561</c:v>
                </c:pt>
                <c:pt idx="176">
                  <c:v>21.014323006984561</c:v>
                </c:pt>
                <c:pt idx="177">
                  <c:v>21.014323006984561</c:v>
                </c:pt>
                <c:pt idx="178">
                  <c:v>21.014323006984561</c:v>
                </c:pt>
                <c:pt idx="179">
                  <c:v>21.014323006984561</c:v>
                </c:pt>
                <c:pt idx="180">
                  <c:v>21.014323006984561</c:v>
                </c:pt>
                <c:pt idx="181">
                  <c:v>21.014323006984561</c:v>
                </c:pt>
                <c:pt idx="182">
                  <c:v>21.014323006984561</c:v>
                </c:pt>
                <c:pt idx="183">
                  <c:v>42.895784539321873</c:v>
                </c:pt>
                <c:pt idx="184">
                  <c:v>42.895784539321873</c:v>
                </c:pt>
                <c:pt idx="185">
                  <c:v>42.895784539321873</c:v>
                </c:pt>
                <c:pt idx="186">
                  <c:v>42.895784539321873</c:v>
                </c:pt>
                <c:pt idx="187">
                  <c:v>42.895784539321873</c:v>
                </c:pt>
                <c:pt idx="188">
                  <c:v>42.895784539321873</c:v>
                </c:pt>
                <c:pt idx="189">
                  <c:v>42.895784539321873</c:v>
                </c:pt>
                <c:pt idx="190">
                  <c:v>42.895784539321873</c:v>
                </c:pt>
                <c:pt idx="191">
                  <c:v>42.895784539321873</c:v>
                </c:pt>
                <c:pt idx="192">
                  <c:v>42.895784539321873</c:v>
                </c:pt>
                <c:pt idx="193">
                  <c:v>42.895784539321873</c:v>
                </c:pt>
                <c:pt idx="194">
                  <c:v>42.895784539321873</c:v>
                </c:pt>
                <c:pt idx="195">
                  <c:v>42.895784539321873</c:v>
                </c:pt>
                <c:pt idx="196">
                  <c:v>42.895784539321873</c:v>
                </c:pt>
                <c:pt idx="197">
                  <c:v>42.895784539321873</c:v>
                </c:pt>
                <c:pt idx="198">
                  <c:v>42.895784539321873</c:v>
                </c:pt>
                <c:pt idx="199">
                  <c:v>42.895784539321873</c:v>
                </c:pt>
                <c:pt idx="200">
                  <c:v>42.895784539321873</c:v>
                </c:pt>
                <c:pt idx="201">
                  <c:v>42.895784539321873</c:v>
                </c:pt>
                <c:pt idx="202">
                  <c:v>42.895784539321873</c:v>
                </c:pt>
                <c:pt idx="203">
                  <c:v>42.895784539321873</c:v>
                </c:pt>
                <c:pt idx="204">
                  <c:v>42.895784539321873</c:v>
                </c:pt>
                <c:pt idx="205">
                  <c:v>42.895784539321873</c:v>
                </c:pt>
                <c:pt idx="206">
                  <c:v>42.895784539321873</c:v>
                </c:pt>
                <c:pt idx="207">
                  <c:v>42.895784539321873</c:v>
                </c:pt>
                <c:pt idx="208">
                  <c:v>42.895784539321873</c:v>
                </c:pt>
                <c:pt idx="209">
                  <c:v>42.895784539321873</c:v>
                </c:pt>
                <c:pt idx="210">
                  <c:v>42.895784539321873</c:v>
                </c:pt>
                <c:pt idx="211">
                  <c:v>42.895784539321873</c:v>
                </c:pt>
                <c:pt idx="212">
                  <c:v>42.895784539321873</c:v>
                </c:pt>
                <c:pt idx="213">
                  <c:v>42.895784539321873</c:v>
                </c:pt>
                <c:pt idx="214">
                  <c:v>83.114057360768328</c:v>
                </c:pt>
                <c:pt idx="215">
                  <c:v>83.114057360768328</c:v>
                </c:pt>
                <c:pt idx="216">
                  <c:v>83.114057360768328</c:v>
                </c:pt>
                <c:pt idx="217">
                  <c:v>83.114057360768328</c:v>
                </c:pt>
                <c:pt idx="218">
                  <c:v>83.114057360768328</c:v>
                </c:pt>
                <c:pt idx="219">
                  <c:v>83.114057360768328</c:v>
                </c:pt>
                <c:pt idx="220">
                  <c:v>83.114057360768328</c:v>
                </c:pt>
                <c:pt idx="221">
                  <c:v>83.114057360768328</c:v>
                </c:pt>
                <c:pt idx="222">
                  <c:v>83.114057360768328</c:v>
                </c:pt>
                <c:pt idx="223">
                  <c:v>83.114057360768328</c:v>
                </c:pt>
                <c:pt idx="224">
                  <c:v>83.114057360768328</c:v>
                </c:pt>
                <c:pt idx="225">
                  <c:v>83.114057360768328</c:v>
                </c:pt>
                <c:pt idx="226">
                  <c:v>83.114057360768328</c:v>
                </c:pt>
                <c:pt idx="227">
                  <c:v>83.114057360768328</c:v>
                </c:pt>
                <c:pt idx="228">
                  <c:v>83.114057360768328</c:v>
                </c:pt>
                <c:pt idx="229">
                  <c:v>83.114057360768328</c:v>
                </c:pt>
                <c:pt idx="230">
                  <c:v>83.114057360768328</c:v>
                </c:pt>
                <c:pt idx="231">
                  <c:v>83.114057360768328</c:v>
                </c:pt>
                <c:pt idx="232">
                  <c:v>83.114057360768328</c:v>
                </c:pt>
                <c:pt idx="233">
                  <c:v>83.114057360768328</c:v>
                </c:pt>
                <c:pt idx="234">
                  <c:v>83.114057360768328</c:v>
                </c:pt>
                <c:pt idx="235">
                  <c:v>83.114057360768328</c:v>
                </c:pt>
                <c:pt idx="236">
                  <c:v>83.114057360768328</c:v>
                </c:pt>
                <c:pt idx="237">
                  <c:v>83.114057360768328</c:v>
                </c:pt>
                <c:pt idx="238">
                  <c:v>83.114057360768328</c:v>
                </c:pt>
                <c:pt idx="239">
                  <c:v>83.114057360768328</c:v>
                </c:pt>
                <c:pt idx="240">
                  <c:v>83.114057360768328</c:v>
                </c:pt>
                <c:pt idx="241">
                  <c:v>83.114057360768328</c:v>
                </c:pt>
                <c:pt idx="242">
                  <c:v>83.114057360768328</c:v>
                </c:pt>
                <c:pt idx="243">
                  <c:v>83.114057360768328</c:v>
                </c:pt>
                <c:pt idx="244">
                  <c:v>104.11073943778104</c:v>
                </c:pt>
                <c:pt idx="245">
                  <c:v>104.11073943778104</c:v>
                </c:pt>
                <c:pt idx="246">
                  <c:v>104.11073943778104</c:v>
                </c:pt>
                <c:pt idx="247">
                  <c:v>104.11073943778104</c:v>
                </c:pt>
                <c:pt idx="248">
                  <c:v>104.11073943778104</c:v>
                </c:pt>
                <c:pt idx="249">
                  <c:v>104.11073943778104</c:v>
                </c:pt>
                <c:pt idx="250">
                  <c:v>104.11073943778104</c:v>
                </c:pt>
                <c:pt idx="251">
                  <c:v>104.11073943778104</c:v>
                </c:pt>
                <c:pt idx="252">
                  <c:v>104.11073943778104</c:v>
                </c:pt>
                <c:pt idx="253">
                  <c:v>104.11073943778104</c:v>
                </c:pt>
                <c:pt idx="254">
                  <c:v>104.11073943778104</c:v>
                </c:pt>
                <c:pt idx="255">
                  <c:v>104.11073943778104</c:v>
                </c:pt>
                <c:pt idx="256">
                  <c:v>104.11073943778104</c:v>
                </c:pt>
                <c:pt idx="257">
                  <c:v>104.11073943778104</c:v>
                </c:pt>
                <c:pt idx="258">
                  <c:v>104.11073943778104</c:v>
                </c:pt>
                <c:pt idx="259">
                  <c:v>104.11073943778104</c:v>
                </c:pt>
                <c:pt idx="260">
                  <c:v>104.11073943778104</c:v>
                </c:pt>
                <c:pt idx="261">
                  <c:v>104.11073943778104</c:v>
                </c:pt>
                <c:pt idx="262">
                  <c:v>104.11073943778104</c:v>
                </c:pt>
                <c:pt idx="263">
                  <c:v>104.11073943778104</c:v>
                </c:pt>
                <c:pt idx="264">
                  <c:v>104.11073943778104</c:v>
                </c:pt>
                <c:pt idx="265">
                  <c:v>104.11073943778104</c:v>
                </c:pt>
                <c:pt idx="266">
                  <c:v>104.11073943778104</c:v>
                </c:pt>
                <c:pt idx="267">
                  <c:v>104.11073943778104</c:v>
                </c:pt>
                <c:pt idx="268">
                  <c:v>104.11073943778104</c:v>
                </c:pt>
                <c:pt idx="269">
                  <c:v>104.11073943778104</c:v>
                </c:pt>
                <c:pt idx="270">
                  <c:v>104.11073943778104</c:v>
                </c:pt>
                <c:pt idx="271">
                  <c:v>104.11073943778104</c:v>
                </c:pt>
                <c:pt idx="272">
                  <c:v>104.11073943778104</c:v>
                </c:pt>
                <c:pt idx="273">
                  <c:v>104.11073943778104</c:v>
                </c:pt>
                <c:pt idx="274">
                  <c:v>104.11073943778104</c:v>
                </c:pt>
                <c:pt idx="275">
                  <c:v>117.91214619510544</c:v>
                </c:pt>
                <c:pt idx="276">
                  <c:v>117.91214619510544</c:v>
                </c:pt>
                <c:pt idx="277">
                  <c:v>117.91214619510544</c:v>
                </c:pt>
                <c:pt idx="278">
                  <c:v>117.91214619510544</c:v>
                </c:pt>
                <c:pt idx="279">
                  <c:v>117.91214619510544</c:v>
                </c:pt>
                <c:pt idx="280">
                  <c:v>117.91214619510544</c:v>
                </c:pt>
                <c:pt idx="281">
                  <c:v>117.91214619510544</c:v>
                </c:pt>
                <c:pt idx="282">
                  <c:v>117.91214619510544</c:v>
                </c:pt>
                <c:pt idx="283">
                  <c:v>117.91214619510544</c:v>
                </c:pt>
                <c:pt idx="284">
                  <c:v>117.91214619510544</c:v>
                </c:pt>
                <c:pt idx="285">
                  <c:v>117.91214619510544</c:v>
                </c:pt>
                <c:pt idx="286">
                  <c:v>117.91214619510544</c:v>
                </c:pt>
                <c:pt idx="287">
                  <c:v>117.91214619510544</c:v>
                </c:pt>
                <c:pt idx="288">
                  <c:v>117.91214619510544</c:v>
                </c:pt>
                <c:pt idx="289">
                  <c:v>117.91214619510544</c:v>
                </c:pt>
                <c:pt idx="290">
                  <c:v>117.91214619510544</c:v>
                </c:pt>
                <c:pt idx="291">
                  <c:v>117.91214619510544</c:v>
                </c:pt>
                <c:pt idx="292">
                  <c:v>117.91214619510544</c:v>
                </c:pt>
                <c:pt idx="293">
                  <c:v>117.91214619510544</c:v>
                </c:pt>
                <c:pt idx="294">
                  <c:v>117.91214619510544</c:v>
                </c:pt>
                <c:pt idx="295">
                  <c:v>117.91214619510544</c:v>
                </c:pt>
                <c:pt idx="296">
                  <c:v>117.91214619510544</c:v>
                </c:pt>
                <c:pt idx="297">
                  <c:v>117.91214619510544</c:v>
                </c:pt>
                <c:pt idx="298">
                  <c:v>117.91214619510544</c:v>
                </c:pt>
                <c:pt idx="299">
                  <c:v>117.91214619510544</c:v>
                </c:pt>
                <c:pt idx="300">
                  <c:v>117.91214619510544</c:v>
                </c:pt>
                <c:pt idx="301">
                  <c:v>117.91214619510544</c:v>
                </c:pt>
                <c:pt idx="302">
                  <c:v>117.91214619510544</c:v>
                </c:pt>
                <c:pt idx="303">
                  <c:v>117.91214619510544</c:v>
                </c:pt>
                <c:pt idx="304">
                  <c:v>117.91214619510544</c:v>
                </c:pt>
                <c:pt idx="305">
                  <c:v>117.91214619510544</c:v>
                </c:pt>
                <c:pt idx="306">
                  <c:v>129.94088839596503</c:v>
                </c:pt>
                <c:pt idx="307">
                  <c:v>129.94088839596503</c:v>
                </c:pt>
                <c:pt idx="308">
                  <c:v>129.94088839596503</c:v>
                </c:pt>
                <c:pt idx="309">
                  <c:v>129.94088839596503</c:v>
                </c:pt>
                <c:pt idx="310">
                  <c:v>129.94088839596503</c:v>
                </c:pt>
                <c:pt idx="311">
                  <c:v>129.94088839596503</c:v>
                </c:pt>
                <c:pt idx="312">
                  <c:v>129.94088839596503</c:v>
                </c:pt>
                <c:pt idx="313">
                  <c:v>129.94088839596503</c:v>
                </c:pt>
                <c:pt idx="314">
                  <c:v>129.94088839596503</c:v>
                </c:pt>
                <c:pt idx="315">
                  <c:v>129.94088839596503</c:v>
                </c:pt>
                <c:pt idx="316">
                  <c:v>129.94088839596503</c:v>
                </c:pt>
                <c:pt idx="317">
                  <c:v>129.94088839596503</c:v>
                </c:pt>
                <c:pt idx="318">
                  <c:v>129.94088839596503</c:v>
                </c:pt>
                <c:pt idx="319">
                  <c:v>129.94088839596503</c:v>
                </c:pt>
                <c:pt idx="320">
                  <c:v>129.94088839596503</c:v>
                </c:pt>
                <c:pt idx="321">
                  <c:v>129.94088839596503</c:v>
                </c:pt>
                <c:pt idx="322">
                  <c:v>129.94088839596503</c:v>
                </c:pt>
                <c:pt idx="323">
                  <c:v>129.94088839596503</c:v>
                </c:pt>
                <c:pt idx="324">
                  <c:v>129.94088839596503</c:v>
                </c:pt>
                <c:pt idx="325">
                  <c:v>129.94088839596503</c:v>
                </c:pt>
                <c:pt idx="326">
                  <c:v>129.94088839596503</c:v>
                </c:pt>
                <c:pt idx="327">
                  <c:v>129.94088839596503</c:v>
                </c:pt>
                <c:pt idx="328">
                  <c:v>129.94088839596503</c:v>
                </c:pt>
                <c:pt idx="329">
                  <c:v>129.94088839596503</c:v>
                </c:pt>
                <c:pt idx="330">
                  <c:v>129.94088839596503</c:v>
                </c:pt>
                <c:pt idx="331">
                  <c:v>129.94088839596503</c:v>
                </c:pt>
                <c:pt idx="332">
                  <c:v>129.94088839596503</c:v>
                </c:pt>
                <c:pt idx="333">
                  <c:v>129.94088839596503</c:v>
                </c:pt>
                <c:pt idx="334">
                  <c:v>128.70213492494773</c:v>
                </c:pt>
                <c:pt idx="335">
                  <c:v>128.70213492494773</c:v>
                </c:pt>
                <c:pt idx="336">
                  <c:v>128.70213492494773</c:v>
                </c:pt>
                <c:pt idx="337">
                  <c:v>128.70213492494773</c:v>
                </c:pt>
                <c:pt idx="338">
                  <c:v>128.70213492494773</c:v>
                </c:pt>
                <c:pt idx="339">
                  <c:v>128.70213492494773</c:v>
                </c:pt>
                <c:pt idx="340">
                  <c:v>128.70213492494773</c:v>
                </c:pt>
                <c:pt idx="341">
                  <c:v>128.70213492494773</c:v>
                </c:pt>
                <c:pt idx="342">
                  <c:v>128.70213492494773</c:v>
                </c:pt>
                <c:pt idx="343">
                  <c:v>128.70213492494773</c:v>
                </c:pt>
                <c:pt idx="344">
                  <c:v>128.70213492494773</c:v>
                </c:pt>
                <c:pt idx="345">
                  <c:v>128.70213492494773</c:v>
                </c:pt>
                <c:pt idx="346">
                  <c:v>128.70213492494773</c:v>
                </c:pt>
                <c:pt idx="347">
                  <c:v>128.70213492494773</c:v>
                </c:pt>
                <c:pt idx="348">
                  <c:v>128.70213492494773</c:v>
                </c:pt>
                <c:pt idx="349">
                  <c:v>128.70213492494773</c:v>
                </c:pt>
                <c:pt idx="350">
                  <c:v>128.70213492494773</c:v>
                </c:pt>
                <c:pt idx="351">
                  <c:v>128.70213492494773</c:v>
                </c:pt>
                <c:pt idx="352">
                  <c:v>128.70213492494773</c:v>
                </c:pt>
                <c:pt idx="353">
                  <c:v>128.70213492494773</c:v>
                </c:pt>
                <c:pt idx="354">
                  <c:v>128.70213492494773</c:v>
                </c:pt>
                <c:pt idx="355">
                  <c:v>128.70213492494773</c:v>
                </c:pt>
                <c:pt idx="356">
                  <c:v>128.70213492494773</c:v>
                </c:pt>
                <c:pt idx="357">
                  <c:v>128.70213492494773</c:v>
                </c:pt>
                <c:pt idx="358">
                  <c:v>128.70213492494773</c:v>
                </c:pt>
                <c:pt idx="359">
                  <c:v>128.70213492494773</c:v>
                </c:pt>
                <c:pt idx="360">
                  <c:v>128.70213492494773</c:v>
                </c:pt>
                <c:pt idx="361">
                  <c:v>128.70213492494773</c:v>
                </c:pt>
                <c:pt idx="362">
                  <c:v>128.70213492494773</c:v>
                </c:pt>
                <c:pt idx="363">
                  <c:v>128.70213492494773</c:v>
                </c:pt>
                <c:pt idx="364">
                  <c:v>128.70213492494773</c:v>
                </c:pt>
                <c:pt idx="365">
                  <c:v>125.24455872987446</c:v>
                </c:pt>
                <c:pt idx="366">
                  <c:v>125.24455872987446</c:v>
                </c:pt>
                <c:pt idx="367">
                  <c:v>125.24455872987446</c:v>
                </c:pt>
                <c:pt idx="368">
                  <c:v>125.24455872987446</c:v>
                </c:pt>
                <c:pt idx="369">
                  <c:v>125.24455872987446</c:v>
                </c:pt>
                <c:pt idx="370">
                  <c:v>125.24455872987446</c:v>
                </c:pt>
                <c:pt idx="371">
                  <c:v>125.24455872987446</c:v>
                </c:pt>
                <c:pt idx="372">
                  <c:v>125.24455872987446</c:v>
                </c:pt>
                <c:pt idx="373">
                  <c:v>125.24455872987446</c:v>
                </c:pt>
                <c:pt idx="374">
                  <c:v>125.24455872987446</c:v>
                </c:pt>
                <c:pt idx="375">
                  <c:v>125.24455872987446</c:v>
                </c:pt>
                <c:pt idx="376">
                  <c:v>125.24455872987446</c:v>
                </c:pt>
                <c:pt idx="377">
                  <c:v>125.24455872987446</c:v>
                </c:pt>
                <c:pt idx="378">
                  <c:v>125.24455872987446</c:v>
                </c:pt>
                <c:pt idx="379">
                  <c:v>125.24455872987446</c:v>
                </c:pt>
                <c:pt idx="380">
                  <c:v>125.24455872987446</c:v>
                </c:pt>
                <c:pt idx="381">
                  <c:v>125.24455872987446</c:v>
                </c:pt>
                <c:pt idx="382">
                  <c:v>125.24455872987446</c:v>
                </c:pt>
                <c:pt idx="383">
                  <c:v>125.24455872987446</c:v>
                </c:pt>
                <c:pt idx="384">
                  <c:v>125.24455872987446</c:v>
                </c:pt>
                <c:pt idx="385">
                  <c:v>125.24455872987446</c:v>
                </c:pt>
                <c:pt idx="386">
                  <c:v>125.24455872987446</c:v>
                </c:pt>
                <c:pt idx="387">
                  <c:v>125.24455872987446</c:v>
                </c:pt>
                <c:pt idx="388">
                  <c:v>125.24455872987446</c:v>
                </c:pt>
                <c:pt idx="389">
                  <c:v>125.24455872987446</c:v>
                </c:pt>
                <c:pt idx="390">
                  <c:v>125.24455872987446</c:v>
                </c:pt>
                <c:pt idx="391">
                  <c:v>125.24455872987446</c:v>
                </c:pt>
                <c:pt idx="392">
                  <c:v>125.24455872987446</c:v>
                </c:pt>
                <c:pt idx="393">
                  <c:v>125.24455872987446</c:v>
                </c:pt>
                <c:pt idx="394">
                  <c:v>125.24455872987446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63.758717450480532</c:v>
                </c:pt>
                <c:pt idx="1">
                  <c:v>65.475719810482389</c:v>
                </c:pt>
                <c:pt idx="2">
                  <c:v>42.401664066480528</c:v>
                </c:pt>
                <c:pt idx="3">
                  <c:v>41.92707230247867</c:v>
                </c:pt>
                <c:pt idx="4">
                  <c:v>57.362259402480532</c:v>
                </c:pt>
                <c:pt idx="5">
                  <c:v>72.658767494480529</c:v>
                </c:pt>
                <c:pt idx="6">
                  <c:v>73.095539716146561</c:v>
                </c:pt>
                <c:pt idx="7">
                  <c:v>97.092477200148423</c:v>
                </c:pt>
                <c:pt idx="8">
                  <c:v>89.228058520142852</c:v>
                </c:pt>
                <c:pt idx="9">
                  <c:v>59.780380168146571</c:v>
                </c:pt>
                <c:pt idx="10">
                  <c:v>36.121726652150308</c:v>
                </c:pt>
                <c:pt idx="11">
                  <c:v>72.075104904144709</c:v>
                </c:pt>
                <c:pt idx="12">
                  <c:v>87.965396396146573</c:v>
                </c:pt>
                <c:pt idx="13">
                  <c:v>74.125054859665497</c:v>
                </c:pt>
                <c:pt idx="14">
                  <c:v>65.712165103665498</c:v>
                </c:pt>
                <c:pt idx="15">
                  <c:v>52.813819831667352</c:v>
                </c:pt>
                <c:pt idx="16">
                  <c:v>28.149758551661769</c:v>
                </c:pt>
                <c:pt idx="17">
                  <c:v>25.726585475665495</c:v>
                </c:pt>
                <c:pt idx="18">
                  <c:v>67.815809807665502</c:v>
                </c:pt>
                <c:pt idx="19">
                  <c:v>64.452200755665501</c:v>
                </c:pt>
                <c:pt idx="20">
                  <c:v>77.42513781851595</c:v>
                </c:pt>
                <c:pt idx="21">
                  <c:v>70.548939162521549</c:v>
                </c:pt>
                <c:pt idx="22">
                  <c:v>33.423748286519682</c:v>
                </c:pt>
                <c:pt idx="23">
                  <c:v>21.019840170515955</c:v>
                </c:pt>
                <c:pt idx="24">
                  <c:v>30.011643190521543</c:v>
                </c:pt>
                <c:pt idx="25">
                  <c:v>70.152131902517823</c:v>
                </c:pt>
                <c:pt idx="26">
                  <c:v>69.739671770521539</c:v>
                </c:pt>
                <c:pt idx="27">
                  <c:v>94.891897895477399</c:v>
                </c:pt>
                <c:pt idx="28">
                  <c:v>98.647746667479254</c:v>
                </c:pt>
                <c:pt idx="29">
                  <c:v>95.54463594747925</c:v>
                </c:pt>
                <c:pt idx="30">
                  <c:v>42.317540663479249</c:v>
                </c:pt>
                <c:pt idx="31">
                  <c:v>37.599351619477389</c:v>
                </c:pt>
                <c:pt idx="32">
                  <c:v>62.325435219481122</c:v>
                </c:pt>
                <c:pt idx="33">
                  <c:v>72.170788443477392</c:v>
                </c:pt>
                <c:pt idx="34">
                  <c:v>65.01715479181297</c:v>
                </c:pt>
                <c:pt idx="35">
                  <c:v>61.090652771811101</c:v>
                </c:pt>
                <c:pt idx="36">
                  <c:v>70.627706851807375</c:v>
                </c:pt>
                <c:pt idx="37">
                  <c:v>41.499977935811103</c:v>
                </c:pt>
                <c:pt idx="38">
                  <c:v>41.427987751809248</c:v>
                </c:pt>
                <c:pt idx="39">
                  <c:v>60.37740137980925</c:v>
                </c:pt>
                <c:pt idx="40">
                  <c:v>56.289525323812967</c:v>
                </c:pt>
                <c:pt idx="41">
                  <c:v>65.030452773205397</c:v>
                </c:pt>
                <c:pt idx="42">
                  <c:v>70.339536309207261</c:v>
                </c:pt>
                <c:pt idx="43">
                  <c:v>73.472742457207261</c:v>
                </c:pt>
                <c:pt idx="44">
                  <c:v>61.432024237210989</c:v>
                </c:pt>
                <c:pt idx="45">
                  <c:v>63.0199917972054</c:v>
                </c:pt>
                <c:pt idx="46">
                  <c:v>84.853373105210991</c:v>
                </c:pt>
                <c:pt idx="47">
                  <c:v>83.112247585209133</c:v>
                </c:pt>
                <c:pt idx="48">
                  <c:v>88.561247961818538</c:v>
                </c:pt>
                <c:pt idx="49">
                  <c:v>87.578146521816677</c:v>
                </c:pt>
                <c:pt idx="50">
                  <c:v>81.931180337818532</c:v>
                </c:pt>
                <c:pt idx="51">
                  <c:v>85.491071121820397</c:v>
                </c:pt>
                <c:pt idx="52">
                  <c:v>63.778950921816673</c:v>
                </c:pt>
                <c:pt idx="53">
                  <c:v>71.950054133820402</c:v>
                </c:pt>
                <c:pt idx="54">
                  <c:v>76.787076453822252</c:v>
                </c:pt>
                <c:pt idx="55">
                  <c:v>45.036094361653767</c:v>
                </c:pt>
                <c:pt idx="56">
                  <c:v>84.634084257655644</c:v>
                </c:pt>
                <c:pt idx="57">
                  <c:v>51.411297629655643</c:v>
                </c:pt>
                <c:pt idx="58">
                  <c:v>47.267614169655644</c:v>
                </c:pt>
                <c:pt idx="59">
                  <c:v>31.001360121657505</c:v>
                </c:pt>
                <c:pt idx="60">
                  <c:v>46.43987483365192</c:v>
                </c:pt>
                <c:pt idx="61">
                  <c:v>49.740938881657506</c:v>
                </c:pt>
                <c:pt idx="62">
                  <c:v>59.626562735076746</c:v>
                </c:pt>
                <c:pt idx="63">
                  <c:v>43.384016879082331</c:v>
                </c:pt>
                <c:pt idx="64">
                  <c:v>51.379159187080468</c:v>
                </c:pt>
                <c:pt idx="65">
                  <c:v>46.980016771082333</c:v>
                </c:pt>
                <c:pt idx="66">
                  <c:v>38.850407715080465</c:v>
                </c:pt>
                <c:pt idx="67">
                  <c:v>42.253056895078601</c:v>
                </c:pt>
                <c:pt idx="68">
                  <c:v>48.83241618308233</c:v>
                </c:pt>
                <c:pt idx="69">
                  <c:v>39.656640428078113</c:v>
                </c:pt>
                <c:pt idx="70">
                  <c:v>56.535118168078114</c:v>
                </c:pt>
                <c:pt idx="71">
                  <c:v>35.849534328079969</c:v>
                </c:pt>
                <c:pt idx="72">
                  <c:v>39.188961216074382</c:v>
                </c:pt>
                <c:pt idx="73">
                  <c:v>34.75959014007811</c:v>
                </c:pt>
                <c:pt idx="74">
                  <c:v>64.00894044961241</c:v>
                </c:pt>
                <c:pt idx="75">
                  <c:v>64.00894044961241</c:v>
                </c:pt>
                <c:pt idx="76">
                  <c:v>62.761168339110462</c:v>
                </c:pt>
                <c:pt idx="77">
                  <c:v>64.00894044961241</c:v>
                </c:pt>
                <c:pt idx="78">
                  <c:v>51.750105331110461</c:v>
                </c:pt>
                <c:pt idx="79">
                  <c:v>42.611285635112317</c:v>
                </c:pt>
                <c:pt idx="80">
                  <c:v>30.118779127108596</c:v>
                </c:pt>
                <c:pt idx="81">
                  <c:v>41.493578483112316</c:v>
                </c:pt>
                <c:pt idx="82">
                  <c:v>51.606623843110455</c:v>
                </c:pt>
                <c:pt idx="83">
                  <c:v>56.153062707417426</c:v>
                </c:pt>
                <c:pt idx="84">
                  <c:v>62.08737866341928</c:v>
                </c:pt>
                <c:pt idx="85">
                  <c:v>59.582867003419288</c:v>
                </c:pt>
                <c:pt idx="86">
                  <c:v>44.03432207541929</c:v>
                </c:pt>
                <c:pt idx="87">
                  <c:v>35.423002939419291</c:v>
                </c:pt>
                <c:pt idx="88">
                  <c:v>57.752474875419281</c:v>
                </c:pt>
                <c:pt idx="89">
                  <c:v>56.62067234341928</c:v>
                </c:pt>
                <c:pt idx="90">
                  <c:v>38.6761881303024</c:v>
                </c:pt>
                <c:pt idx="91">
                  <c:v>28.26541708637771</c:v>
                </c:pt>
                <c:pt idx="92">
                  <c:v>28.26541708637771</c:v>
                </c:pt>
                <c:pt idx="93">
                  <c:v>28.26541708637771</c:v>
                </c:pt>
                <c:pt idx="94">
                  <c:v>4.5934732943023917</c:v>
                </c:pt>
                <c:pt idx="95">
                  <c:v>28.26541708637771</c:v>
                </c:pt>
                <c:pt idx="96">
                  <c:v>28.26541708637771</c:v>
                </c:pt>
                <c:pt idx="97">
                  <c:v>28.26541708637771</c:v>
                </c:pt>
                <c:pt idx="98">
                  <c:v>25.250259888306942</c:v>
                </c:pt>
                <c:pt idx="99">
                  <c:v>24.846315244305078</c:v>
                </c:pt>
                <c:pt idx="100">
                  <c:v>24.875425528305072</c:v>
                </c:pt>
                <c:pt idx="101">
                  <c:v>24.555974760305077</c:v>
                </c:pt>
                <c:pt idx="102">
                  <c:v>14.567424316305084</c:v>
                </c:pt>
                <c:pt idx="103">
                  <c:v>17.458720352305086</c:v>
                </c:pt>
                <c:pt idx="104">
                  <c:v>3.2801613586414167</c:v>
                </c:pt>
                <c:pt idx="105">
                  <c:v>3.7021285986414152</c:v>
                </c:pt>
                <c:pt idx="106">
                  <c:v>3.4328874426414258</c:v>
                </c:pt>
                <c:pt idx="107">
                  <c:v>6.1905694026414126</c:v>
                </c:pt>
                <c:pt idx="108">
                  <c:v>2.9161338986432819</c:v>
                </c:pt>
                <c:pt idx="109">
                  <c:v>3.8112047226414143</c:v>
                </c:pt>
                <c:pt idx="110">
                  <c:v>0.74533419064328332</c:v>
                </c:pt>
                <c:pt idx="111">
                  <c:v>19.407550297499554</c:v>
                </c:pt>
                <c:pt idx="112">
                  <c:v>16.555754301501416</c:v>
                </c:pt>
                <c:pt idx="113">
                  <c:v>13.259645153499557</c:v>
                </c:pt>
                <c:pt idx="114">
                  <c:v>11.605605877501418</c:v>
                </c:pt>
                <c:pt idx="115">
                  <c:v>7.0987854214995529</c:v>
                </c:pt>
                <c:pt idx="116">
                  <c:v>10.141006933501419</c:v>
                </c:pt>
                <c:pt idx="117">
                  <c:v>9.3542710974995575</c:v>
                </c:pt>
                <c:pt idx="118">
                  <c:v>6.3809409010995806</c:v>
                </c:pt>
                <c:pt idx="119">
                  <c:v>18.61382452909772</c:v>
                </c:pt>
                <c:pt idx="120">
                  <c:v>20.12006257709772</c:v>
                </c:pt>
                <c:pt idx="121">
                  <c:v>1.8893583750977123</c:v>
                </c:pt>
                <c:pt idx="122">
                  <c:v>4.5655955870995752</c:v>
                </c:pt>
                <c:pt idx="123">
                  <c:v>17.065966880459293</c:v>
                </c:pt>
                <c:pt idx="124">
                  <c:v>17.065966880459293</c:v>
                </c:pt>
                <c:pt idx="125">
                  <c:v>17.065966880459293</c:v>
                </c:pt>
                <c:pt idx="126">
                  <c:v>17.065966880459293</c:v>
                </c:pt>
                <c:pt idx="127">
                  <c:v>8.4270759103407684</c:v>
                </c:pt>
                <c:pt idx="128">
                  <c:v>3.1181593463426327</c:v>
                </c:pt>
                <c:pt idx="129">
                  <c:v>0.97960024234076992</c:v>
                </c:pt>
                <c:pt idx="130">
                  <c:v>14.443968728340769</c:v>
                </c:pt>
                <c:pt idx="131">
                  <c:v>12.368461616340777</c:v>
                </c:pt>
                <c:pt idx="132">
                  <c:v>12.890011353729017</c:v>
                </c:pt>
                <c:pt idx="133">
                  <c:v>11.795801197727153</c:v>
                </c:pt>
                <c:pt idx="134">
                  <c:v>10.709613341727149</c:v>
                </c:pt>
                <c:pt idx="135">
                  <c:v>8.390193413727145</c:v>
                </c:pt>
                <c:pt idx="136">
                  <c:v>3.8323451297280844</c:v>
                </c:pt>
                <c:pt idx="137">
                  <c:v>1.5208754617262239</c:v>
                </c:pt>
                <c:pt idx="138">
                  <c:v>1.6454641217280805</c:v>
                </c:pt>
                <c:pt idx="139">
                  <c:v>1.1239345109318819</c:v>
                </c:pt>
                <c:pt idx="140">
                  <c:v>12.31830282093188</c:v>
                </c:pt>
                <c:pt idx="141">
                  <c:v>10.13184883293188</c:v>
                </c:pt>
                <c:pt idx="142">
                  <c:v>3.855074796932815</c:v>
                </c:pt>
                <c:pt idx="143">
                  <c:v>0.51473324493095429</c:v>
                </c:pt>
                <c:pt idx="144">
                  <c:v>1.0608810569318812</c:v>
                </c:pt>
                <c:pt idx="145">
                  <c:v>0.95651898293281556</c:v>
                </c:pt>
                <c:pt idx="146">
                  <c:v>7.1533921176681394</c:v>
                </c:pt>
                <c:pt idx="147">
                  <c:v>9.1958073616690665</c:v>
                </c:pt>
                <c:pt idx="148">
                  <c:v>4.1350082336709315</c:v>
                </c:pt>
                <c:pt idx="149">
                  <c:v>0.77185449366814285</c:v>
                </c:pt>
                <c:pt idx="150">
                  <c:v>1.0640044536700006</c:v>
                </c:pt>
                <c:pt idx="151">
                  <c:v>10.140573249667206</c:v>
                </c:pt>
                <c:pt idx="152">
                  <c:v>13.94423220567093</c:v>
                </c:pt>
                <c:pt idx="153">
                  <c:v>21.014323006984561</c:v>
                </c:pt>
                <c:pt idx="154">
                  <c:v>21.014323006984561</c:v>
                </c:pt>
                <c:pt idx="155">
                  <c:v>21.014323006984561</c:v>
                </c:pt>
                <c:pt idx="156">
                  <c:v>16.785473316926858</c:v>
                </c:pt>
                <c:pt idx="157">
                  <c:v>10.244637292924068</c:v>
                </c:pt>
                <c:pt idx="158">
                  <c:v>15.825120408925926</c:v>
                </c:pt>
                <c:pt idx="159">
                  <c:v>6.2947448249249938</c:v>
                </c:pt>
                <c:pt idx="160">
                  <c:v>20.115420491951163</c:v>
                </c:pt>
                <c:pt idx="161">
                  <c:v>20.943244847952091</c:v>
                </c:pt>
                <c:pt idx="162">
                  <c:v>20.22736524795209</c:v>
                </c:pt>
                <c:pt idx="163">
                  <c:v>15.135667991953021</c:v>
                </c:pt>
                <c:pt idx="164">
                  <c:v>20.061154527952095</c:v>
                </c:pt>
                <c:pt idx="165">
                  <c:v>12.823799795953025</c:v>
                </c:pt>
                <c:pt idx="166">
                  <c:v>21.014323006984561</c:v>
                </c:pt>
                <c:pt idx="167">
                  <c:v>21.014323006984561</c:v>
                </c:pt>
                <c:pt idx="168">
                  <c:v>21.014323006984561</c:v>
                </c:pt>
                <c:pt idx="169">
                  <c:v>16.394569441872203</c:v>
                </c:pt>
                <c:pt idx="170">
                  <c:v>11.821708425872202</c:v>
                </c:pt>
                <c:pt idx="171">
                  <c:v>11.033212529874065</c:v>
                </c:pt>
                <c:pt idx="172">
                  <c:v>12.408188627872201</c:v>
                </c:pt>
                <c:pt idx="173">
                  <c:v>11.887315421872204</c:v>
                </c:pt>
                <c:pt idx="174">
                  <c:v>21.014323006984561</c:v>
                </c:pt>
                <c:pt idx="175">
                  <c:v>18.78037494927991</c:v>
                </c:pt>
                <c:pt idx="176">
                  <c:v>21.014323006984561</c:v>
                </c:pt>
                <c:pt idx="177">
                  <c:v>21.014323006984561</c:v>
                </c:pt>
                <c:pt idx="178">
                  <c:v>15.501655585280846</c:v>
                </c:pt>
                <c:pt idx="179">
                  <c:v>21.014323006984561</c:v>
                </c:pt>
                <c:pt idx="180">
                  <c:v>21.014323006984561</c:v>
                </c:pt>
                <c:pt idx="181">
                  <c:v>21.014323006984561</c:v>
                </c:pt>
                <c:pt idx="182">
                  <c:v>20.742861095840059</c:v>
                </c:pt>
                <c:pt idx="183">
                  <c:v>26.522195107839128</c:v>
                </c:pt>
                <c:pt idx="184">
                  <c:v>11.450506385840995</c:v>
                </c:pt>
                <c:pt idx="185">
                  <c:v>7.0336940938400625</c:v>
                </c:pt>
                <c:pt idx="186">
                  <c:v>20.078182471840059</c:v>
                </c:pt>
                <c:pt idx="187">
                  <c:v>20.407965117839129</c:v>
                </c:pt>
                <c:pt idx="188">
                  <c:v>34.537367477795087</c:v>
                </c:pt>
                <c:pt idx="189">
                  <c:v>32.421314555796023</c:v>
                </c:pt>
                <c:pt idx="190">
                  <c:v>28.830218095796024</c:v>
                </c:pt>
                <c:pt idx="191">
                  <c:v>26.074201315795086</c:v>
                </c:pt>
                <c:pt idx="192">
                  <c:v>14.97372190579509</c:v>
                </c:pt>
                <c:pt idx="193">
                  <c:v>18.989537715795091</c:v>
                </c:pt>
                <c:pt idx="194">
                  <c:v>16.810403215795091</c:v>
                </c:pt>
                <c:pt idx="195">
                  <c:v>9.6915650946646714</c:v>
                </c:pt>
                <c:pt idx="196">
                  <c:v>21.102004324664666</c:v>
                </c:pt>
                <c:pt idx="197">
                  <c:v>22.793578934664669</c:v>
                </c:pt>
                <c:pt idx="198">
                  <c:v>22.891749824663741</c:v>
                </c:pt>
                <c:pt idx="199">
                  <c:v>20.531404104664666</c:v>
                </c:pt>
                <c:pt idx="200">
                  <c:v>20.055615194663741</c:v>
                </c:pt>
                <c:pt idx="201">
                  <c:v>13.659925614663738</c:v>
                </c:pt>
                <c:pt idx="202">
                  <c:v>15.363624254522176</c:v>
                </c:pt>
                <c:pt idx="203">
                  <c:v>22.04892331452125</c:v>
                </c:pt>
                <c:pt idx="204">
                  <c:v>15.953329024523107</c:v>
                </c:pt>
                <c:pt idx="205">
                  <c:v>16.079614874521244</c:v>
                </c:pt>
                <c:pt idx="206">
                  <c:v>16.836174644522178</c:v>
                </c:pt>
                <c:pt idx="207">
                  <c:v>28.025825204521244</c:v>
                </c:pt>
                <c:pt idx="208">
                  <c:v>20.552402704523111</c:v>
                </c:pt>
                <c:pt idx="209">
                  <c:v>38.627298912769433</c:v>
                </c:pt>
                <c:pt idx="210">
                  <c:v>29.895004102771292</c:v>
                </c:pt>
                <c:pt idx="211">
                  <c:v>25.749818082769426</c:v>
                </c:pt>
                <c:pt idx="212">
                  <c:v>27.030004642770361</c:v>
                </c:pt>
                <c:pt idx="213">
                  <c:v>14.640549322768496</c:v>
                </c:pt>
                <c:pt idx="214">
                  <c:v>22.313917842770358</c:v>
                </c:pt>
                <c:pt idx="215">
                  <c:v>28.912959306771292</c:v>
                </c:pt>
                <c:pt idx="216">
                  <c:v>55.970923198660778</c:v>
                </c:pt>
                <c:pt idx="217">
                  <c:v>53.446203498659841</c:v>
                </c:pt>
                <c:pt idx="218">
                  <c:v>54.771741696662637</c:v>
                </c:pt>
                <c:pt idx="219">
                  <c:v>51.570235068661717</c:v>
                </c:pt>
                <c:pt idx="220">
                  <c:v>44.703382378660784</c:v>
                </c:pt>
                <c:pt idx="221">
                  <c:v>58.176928336660779</c:v>
                </c:pt>
                <c:pt idx="222">
                  <c:v>60.36964599866171</c:v>
                </c:pt>
                <c:pt idx="223">
                  <c:v>40.97435282420534</c:v>
                </c:pt>
                <c:pt idx="224">
                  <c:v>42.417581774205345</c:v>
                </c:pt>
                <c:pt idx="225">
                  <c:v>41.176484884206282</c:v>
                </c:pt>
                <c:pt idx="226">
                  <c:v>23.390989284206277</c:v>
                </c:pt>
                <c:pt idx="227">
                  <c:v>24.434203184204414</c:v>
                </c:pt>
                <c:pt idx="228">
                  <c:v>34.052250696206279</c:v>
                </c:pt>
                <c:pt idx="229">
                  <c:v>28.129850584206277</c:v>
                </c:pt>
                <c:pt idx="230">
                  <c:v>16.031524459577522</c:v>
                </c:pt>
                <c:pt idx="231">
                  <c:v>19.834301079575656</c:v>
                </c:pt>
                <c:pt idx="232">
                  <c:v>29.031869949575658</c:v>
                </c:pt>
                <c:pt idx="233">
                  <c:v>25.204199631577517</c:v>
                </c:pt>
                <c:pt idx="234">
                  <c:v>27.474410815575656</c:v>
                </c:pt>
                <c:pt idx="235">
                  <c:v>27.98157283157752</c:v>
                </c:pt>
                <c:pt idx="236">
                  <c:v>26.741202983576585</c:v>
                </c:pt>
                <c:pt idx="237">
                  <c:v>45.54969271737734</c:v>
                </c:pt>
                <c:pt idx="238">
                  <c:v>47.647484435378267</c:v>
                </c:pt>
                <c:pt idx="239">
                  <c:v>47.625536095378266</c:v>
                </c:pt>
                <c:pt idx="240">
                  <c:v>51.534761423378264</c:v>
                </c:pt>
                <c:pt idx="241">
                  <c:v>44.432550211378263</c:v>
                </c:pt>
                <c:pt idx="242">
                  <c:v>53.96349179537733</c:v>
                </c:pt>
                <c:pt idx="243">
                  <c:v>68.858192995378261</c:v>
                </c:pt>
                <c:pt idx="244">
                  <c:v>67.914082788547205</c:v>
                </c:pt>
                <c:pt idx="245">
                  <c:v>67.634317772550943</c:v>
                </c:pt>
                <c:pt idx="246">
                  <c:v>79.771890052547207</c:v>
                </c:pt>
                <c:pt idx="247">
                  <c:v>73.835649612549076</c:v>
                </c:pt>
                <c:pt idx="248">
                  <c:v>67.854101322548146</c:v>
                </c:pt>
                <c:pt idx="249">
                  <c:v>75.36825752454908</c:v>
                </c:pt>
                <c:pt idx="250">
                  <c:v>75.19998157054907</c:v>
                </c:pt>
                <c:pt idx="251">
                  <c:v>104.11073943778104</c:v>
                </c:pt>
                <c:pt idx="252">
                  <c:v>104.11073943778104</c:v>
                </c:pt>
                <c:pt idx="253">
                  <c:v>104.11073943778104</c:v>
                </c:pt>
                <c:pt idx="254">
                  <c:v>104.11073943778104</c:v>
                </c:pt>
                <c:pt idx="255">
                  <c:v>104.11073943778104</c:v>
                </c:pt>
                <c:pt idx="256">
                  <c:v>104.11073943778104</c:v>
                </c:pt>
                <c:pt idx="257">
                  <c:v>104.11073943778104</c:v>
                </c:pt>
                <c:pt idx="258">
                  <c:v>99.20214076305858</c:v>
                </c:pt>
                <c:pt idx="259">
                  <c:v>94.316234811056717</c:v>
                </c:pt>
                <c:pt idx="260">
                  <c:v>100.71085091105765</c:v>
                </c:pt>
                <c:pt idx="261">
                  <c:v>104.11073943778104</c:v>
                </c:pt>
                <c:pt idx="262">
                  <c:v>94.236187843058573</c:v>
                </c:pt>
                <c:pt idx="263">
                  <c:v>104.11073943778104</c:v>
                </c:pt>
                <c:pt idx="264">
                  <c:v>104.11073943778104</c:v>
                </c:pt>
                <c:pt idx="265">
                  <c:v>104.11073943778104</c:v>
                </c:pt>
                <c:pt idx="266">
                  <c:v>100.54819594570883</c:v>
                </c:pt>
                <c:pt idx="267">
                  <c:v>73.15339101971162</c:v>
                </c:pt>
                <c:pt idx="268">
                  <c:v>62.947384397708817</c:v>
                </c:pt>
                <c:pt idx="269">
                  <c:v>66.909976297710685</c:v>
                </c:pt>
                <c:pt idx="270">
                  <c:v>70.186913739709752</c:v>
                </c:pt>
                <c:pt idx="271">
                  <c:v>74.018275097710671</c:v>
                </c:pt>
                <c:pt idx="272">
                  <c:v>104.11073943778104</c:v>
                </c:pt>
                <c:pt idx="273">
                  <c:v>104.11073943778104</c:v>
                </c:pt>
                <c:pt idx="274">
                  <c:v>104.11073943778104</c:v>
                </c:pt>
                <c:pt idx="275">
                  <c:v>102.17540151940534</c:v>
                </c:pt>
                <c:pt idx="276">
                  <c:v>104.62349681740534</c:v>
                </c:pt>
                <c:pt idx="277">
                  <c:v>105.21932554740441</c:v>
                </c:pt>
                <c:pt idx="278">
                  <c:v>103.55801551140441</c:v>
                </c:pt>
                <c:pt idx="279">
                  <c:v>91.987723495153446</c:v>
                </c:pt>
                <c:pt idx="280">
                  <c:v>95.198739353151581</c:v>
                </c:pt>
                <c:pt idx="281">
                  <c:v>95.836925759152507</c:v>
                </c:pt>
                <c:pt idx="282">
                  <c:v>90.269487789151583</c:v>
                </c:pt>
                <c:pt idx="283">
                  <c:v>82.673086073152518</c:v>
                </c:pt>
                <c:pt idx="284">
                  <c:v>105.36310315515158</c:v>
                </c:pt>
                <c:pt idx="285">
                  <c:v>106.01807528715251</c:v>
                </c:pt>
                <c:pt idx="286">
                  <c:v>80.883930473632347</c:v>
                </c:pt>
                <c:pt idx="287">
                  <c:v>108.53032502363422</c:v>
                </c:pt>
                <c:pt idx="288">
                  <c:v>109.9746273136342</c:v>
                </c:pt>
                <c:pt idx="289">
                  <c:v>107.25943700363328</c:v>
                </c:pt>
                <c:pt idx="290">
                  <c:v>93.148619171634209</c:v>
                </c:pt>
                <c:pt idx="291">
                  <c:v>101.72879704363422</c:v>
                </c:pt>
                <c:pt idx="292">
                  <c:v>103.87119560363328</c:v>
                </c:pt>
                <c:pt idx="293">
                  <c:v>67.409800574516936</c:v>
                </c:pt>
                <c:pt idx="294">
                  <c:v>56.526716274517867</c:v>
                </c:pt>
                <c:pt idx="295">
                  <c:v>43.579174246515997</c:v>
                </c:pt>
                <c:pt idx="296">
                  <c:v>41.629165836516933</c:v>
                </c:pt>
                <c:pt idx="297">
                  <c:v>53.975750974516927</c:v>
                </c:pt>
                <c:pt idx="298">
                  <c:v>79.832427634515071</c:v>
                </c:pt>
                <c:pt idx="299">
                  <c:v>60.620104462519727</c:v>
                </c:pt>
                <c:pt idx="300">
                  <c:v>57.039959710062163</c:v>
                </c:pt>
                <c:pt idx="301">
                  <c:v>40.904587002061234</c:v>
                </c:pt>
                <c:pt idx="302">
                  <c:v>30.755261530062167</c:v>
                </c:pt>
                <c:pt idx="303">
                  <c:v>30.089815514064963</c:v>
                </c:pt>
                <c:pt idx="304">
                  <c:v>28.242457818062167</c:v>
                </c:pt>
                <c:pt idx="305">
                  <c:v>26.349692656061233</c:v>
                </c:pt>
                <c:pt idx="306">
                  <c:v>21.684615920064957</c:v>
                </c:pt>
                <c:pt idx="307">
                  <c:v>41.337833783846577</c:v>
                </c:pt>
                <c:pt idx="308">
                  <c:v>40.189233297848432</c:v>
                </c:pt>
                <c:pt idx="309">
                  <c:v>39.609134091848432</c:v>
                </c:pt>
                <c:pt idx="310">
                  <c:v>23.807867291847504</c:v>
                </c:pt>
                <c:pt idx="311">
                  <c:v>28.158227031847506</c:v>
                </c:pt>
                <c:pt idx="312">
                  <c:v>30.078230323848437</c:v>
                </c:pt>
                <c:pt idx="313">
                  <c:v>31.240118177848437</c:v>
                </c:pt>
                <c:pt idx="314">
                  <c:v>35.959938372648338</c:v>
                </c:pt>
                <c:pt idx="315">
                  <c:v>43.979555102650203</c:v>
                </c:pt>
                <c:pt idx="316">
                  <c:v>49.056240512649268</c:v>
                </c:pt>
                <c:pt idx="317">
                  <c:v>37.819610046651128</c:v>
                </c:pt>
                <c:pt idx="318">
                  <c:v>19.811390636649268</c:v>
                </c:pt>
                <c:pt idx="319">
                  <c:v>28.144312738649269</c:v>
                </c:pt>
                <c:pt idx="320">
                  <c:v>35.179346400651127</c:v>
                </c:pt>
                <c:pt idx="321">
                  <c:v>29.308234519336924</c:v>
                </c:pt>
                <c:pt idx="322">
                  <c:v>44.300511531335061</c:v>
                </c:pt>
                <c:pt idx="323">
                  <c:v>48.990083881335998</c:v>
                </c:pt>
                <c:pt idx="324">
                  <c:v>35.150478825336926</c:v>
                </c:pt>
                <c:pt idx="325">
                  <c:v>40.915745895335995</c:v>
                </c:pt>
                <c:pt idx="326">
                  <c:v>43.225565069337854</c:v>
                </c:pt>
                <c:pt idx="327">
                  <c:v>42.697630395335061</c:v>
                </c:pt>
                <c:pt idx="328">
                  <c:v>32.78974645699244</c:v>
                </c:pt>
                <c:pt idx="329">
                  <c:v>38.519276576992446</c:v>
                </c:pt>
                <c:pt idx="330">
                  <c:v>32.902420378992446</c:v>
                </c:pt>
                <c:pt idx="331">
                  <c:v>33.690067250991511</c:v>
                </c:pt>
                <c:pt idx="332">
                  <c:v>33.604968194992445</c:v>
                </c:pt>
                <c:pt idx="333">
                  <c:v>25.36323805299244</c:v>
                </c:pt>
                <c:pt idx="334">
                  <c:v>30.564824412993374</c:v>
                </c:pt>
                <c:pt idx="335">
                  <c:v>40.530695179673309</c:v>
                </c:pt>
                <c:pt idx="336">
                  <c:v>49.14882341967332</c:v>
                </c:pt>
                <c:pt idx="337">
                  <c:v>39.083399935674244</c:v>
                </c:pt>
                <c:pt idx="338">
                  <c:v>48.772879543674243</c:v>
                </c:pt>
                <c:pt idx="339">
                  <c:v>45.452536035673312</c:v>
                </c:pt>
                <c:pt idx="340">
                  <c:v>60.45627532367331</c:v>
                </c:pt>
                <c:pt idx="341">
                  <c:v>36.779661775673318</c:v>
                </c:pt>
                <c:pt idx="342">
                  <c:v>61.948897105205553</c:v>
                </c:pt>
                <c:pt idx="343">
                  <c:v>54.524189927205562</c:v>
                </c:pt>
                <c:pt idx="344">
                  <c:v>60.358437955205559</c:v>
                </c:pt>
                <c:pt idx="345">
                  <c:v>58.907009285206492</c:v>
                </c:pt>
                <c:pt idx="346">
                  <c:v>60.282320731206489</c:v>
                </c:pt>
                <c:pt idx="347">
                  <c:v>63.400843503205557</c:v>
                </c:pt>
                <c:pt idx="348">
                  <c:v>88.450601825206491</c:v>
                </c:pt>
                <c:pt idx="349">
                  <c:v>105.66707078317859</c:v>
                </c:pt>
                <c:pt idx="350">
                  <c:v>76.224160777176735</c:v>
                </c:pt>
                <c:pt idx="351">
                  <c:v>83.524895599177654</c:v>
                </c:pt>
                <c:pt idx="352">
                  <c:v>72.561059351177647</c:v>
                </c:pt>
                <c:pt idx="353">
                  <c:v>60.778006783177652</c:v>
                </c:pt>
                <c:pt idx="354">
                  <c:v>62.648989147177659</c:v>
                </c:pt>
                <c:pt idx="355">
                  <c:v>70.72932556117766</c:v>
                </c:pt>
                <c:pt idx="356">
                  <c:v>95.725654922288953</c:v>
                </c:pt>
                <c:pt idx="357">
                  <c:v>108.49786118828989</c:v>
                </c:pt>
                <c:pt idx="358">
                  <c:v>101.05909937829082</c:v>
                </c:pt>
                <c:pt idx="359">
                  <c:v>96.864451272288946</c:v>
                </c:pt>
                <c:pt idx="360">
                  <c:v>75.323436546289884</c:v>
                </c:pt>
                <c:pt idx="361">
                  <c:v>87.279854582288948</c:v>
                </c:pt>
                <c:pt idx="362">
                  <c:v>99.326811372289882</c:v>
                </c:pt>
                <c:pt idx="363">
                  <c:v>76.055107751458621</c:v>
                </c:pt>
                <c:pt idx="364">
                  <c:v>77.66716020745676</c:v>
                </c:pt>
                <c:pt idx="365">
                  <c:v>78.825242601457688</c:v>
                </c:pt>
                <c:pt idx="366">
                  <c:v>63.034154265456756</c:v>
                </c:pt>
                <c:pt idx="367">
                  <c:v>52.061649857457681</c:v>
                </c:pt>
                <c:pt idx="368">
                  <c:v>70.827523007457685</c:v>
                </c:pt>
                <c:pt idx="369">
                  <c:v>95.343797031456745</c:v>
                </c:pt>
                <c:pt idx="370">
                  <c:v>75.57479875345723</c:v>
                </c:pt>
                <c:pt idx="371">
                  <c:v>55.234117899457232</c:v>
                </c:pt>
                <c:pt idx="372">
                  <c:v>51.787023833460026</c:v>
                </c:pt>
                <c:pt idx="373">
                  <c:v>69.790241067457231</c:v>
                </c:pt>
                <c:pt idx="374">
                  <c:v>39.912614189456306</c:v>
                </c:pt>
                <c:pt idx="375">
                  <c:v>45.789658089458165</c:v>
                </c:pt>
                <c:pt idx="376">
                  <c:v>72.02169132545724</c:v>
                </c:pt>
                <c:pt idx="377">
                  <c:v>95.952041481449186</c:v>
                </c:pt>
                <c:pt idx="378">
                  <c:v>80.311370453449172</c:v>
                </c:pt>
                <c:pt idx="379">
                  <c:v>73.780836233448241</c:v>
                </c:pt>
                <c:pt idx="380">
                  <c:v>64.537926637449175</c:v>
                </c:pt>
                <c:pt idx="381">
                  <c:v>71.863747119449172</c:v>
                </c:pt>
                <c:pt idx="382">
                  <c:v>78.581595269448243</c:v>
                </c:pt>
                <c:pt idx="383">
                  <c:v>82.190099059450105</c:v>
                </c:pt>
                <c:pt idx="384">
                  <c:v>90.730093421669949</c:v>
                </c:pt>
                <c:pt idx="385">
                  <c:v>106.74601708966996</c:v>
                </c:pt>
                <c:pt idx="386">
                  <c:v>109.08168919367088</c:v>
                </c:pt>
                <c:pt idx="387">
                  <c:v>78.589170011670888</c:v>
                </c:pt>
                <c:pt idx="388">
                  <c:v>90.840917781669958</c:v>
                </c:pt>
                <c:pt idx="389">
                  <c:v>100.75999283766902</c:v>
                </c:pt>
                <c:pt idx="390">
                  <c:v>103.79739729367088</c:v>
                </c:pt>
                <c:pt idx="391">
                  <c:v>98.840254420552697</c:v>
                </c:pt>
                <c:pt idx="392">
                  <c:v>113.81131618455083</c:v>
                </c:pt>
                <c:pt idx="393">
                  <c:v>117.57543488055269</c:v>
                </c:pt>
                <c:pt idx="394">
                  <c:v>104.47230393055364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-3.2043879711410694E-3"/>
                  <c:y val="-0.11097408004722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2722749886929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-3.6182722749887259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-6.633422540949358E-17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5.427408412483038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-1.8091361374943465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13E-3"/>
                  <c:y val="-6.7292793220124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793471057814E-3"/>
                  <c:y val="-5.15447617240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5.354752342704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8.3989501312336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9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8.9976704719139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6929E-3"/>
                  <c:y val="-0.1168557670448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1.8091545203375258E-3"/>
                  <c:y val="-0.105619327704518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128.52573371940508</c:v>
                </c:pt>
                <c:pt idx="44">
                  <c:v>101.55332277089387</c:v>
                </c:pt>
                <c:pt idx="75">
                  <c:v>64.00894044961241</c:v>
                </c:pt>
                <c:pt idx="105">
                  <c:v>28.26541708637771</c:v>
                </c:pt>
                <c:pt idx="136">
                  <c:v>17.065966880459293</c:v>
                </c:pt>
                <c:pt idx="167">
                  <c:v>21.014323006984561</c:v>
                </c:pt>
                <c:pt idx="197">
                  <c:v>42.895784539321873</c:v>
                </c:pt>
                <c:pt idx="228">
                  <c:v>83.114057360768328</c:v>
                </c:pt>
                <c:pt idx="258">
                  <c:v>104.11073943778104</c:v>
                </c:pt>
                <c:pt idx="289">
                  <c:v>117.91214619510544</c:v>
                </c:pt>
                <c:pt idx="320">
                  <c:v>129.94088839596503</c:v>
                </c:pt>
                <c:pt idx="348">
                  <c:v>128.70213492494773</c:v>
                </c:pt>
                <c:pt idx="379">
                  <c:v>125.24455872987446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3'!$F$44:$F$56</c:f>
              <c:numCache>
                <c:formatCode>#,##0\ _)</c:formatCode>
                <c:ptCount val="13"/>
                <c:pt idx="0">
                  <c:v>13950.648185050002</c:v>
                </c:pt>
                <c:pt idx="1">
                  <c:v>14154.758919950002</c:v>
                </c:pt>
                <c:pt idx="2">
                  <c:v>13861.50749955</c:v>
                </c:pt>
                <c:pt idx="3">
                  <c:v>12411.383130949995</c:v>
                </c:pt>
                <c:pt idx="4">
                  <c:v>11082.055950350004</c:v>
                </c:pt>
                <c:pt idx="5">
                  <c:v>10288.729394799997</c:v>
                </c:pt>
                <c:pt idx="6">
                  <c:v>9948.8780525499988</c:v>
                </c:pt>
                <c:pt idx="7">
                  <c:v>11222.871138699997</c:v>
                </c:pt>
                <c:pt idx="8">
                  <c:v>13273.133537799993</c:v>
                </c:pt>
                <c:pt idx="9">
                  <c:v>13035.252519200001</c:v>
                </c:pt>
                <c:pt idx="10">
                  <c:v>13419.170344149999</c:v>
                </c:pt>
                <c:pt idx="11">
                  <c:v>13898.837668799999</c:v>
                </c:pt>
                <c:pt idx="12">
                  <c:v>13999.32071715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3'!$G$44:$G$56</c:f>
              <c:numCache>
                <c:formatCode>#,##0\ _)</c:formatCode>
                <c:ptCount val="13"/>
                <c:pt idx="0">
                  <c:v>7160.980094999999</c:v>
                </c:pt>
                <c:pt idx="1">
                  <c:v>7197.9099209999968</c:v>
                </c:pt>
                <c:pt idx="2">
                  <c:v>6659.6807604989417</c:v>
                </c:pt>
                <c:pt idx="3">
                  <c:v>5800.1947457021333</c:v>
                </c:pt>
                <c:pt idx="4">
                  <c:v>5069.3133357481856</c:v>
                </c:pt>
                <c:pt idx="5">
                  <c:v>4739.6054379773832</c:v>
                </c:pt>
                <c:pt idx="6">
                  <c:v>4467.0470089624023</c:v>
                </c:pt>
                <c:pt idx="7">
                  <c:v>4812.1705738000001</c:v>
                </c:pt>
                <c:pt idx="8">
                  <c:v>5316.2767810999994</c:v>
                </c:pt>
                <c:pt idx="9">
                  <c:v>5477.0266986999977</c:v>
                </c:pt>
                <c:pt idx="10">
                  <c:v>5596.8493599999993</c:v>
                </c:pt>
                <c:pt idx="11">
                  <c:v>5950.5832111499976</c:v>
                </c:pt>
                <c:pt idx="12">
                  <c:v>7213.8650399999988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3'!$H$44:$H$56</c:f>
              <c:numCache>
                <c:formatCode>#,##0\ _)</c:formatCode>
                <c:ptCount val="13"/>
                <c:pt idx="0">
                  <c:v>11307.143756783118</c:v>
                </c:pt>
                <c:pt idx="1">
                  <c:v>11468.407586706651</c:v>
                </c:pt>
                <c:pt idx="2">
                  <c:v>10927.520460105234</c:v>
                </c:pt>
                <c:pt idx="3">
                  <c:v>9824.1360547772583</c:v>
                </c:pt>
                <c:pt idx="4">
                  <c:v>8745.5835792961407</c:v>
                </c:pt>
                <c:pt idx="5">
                  <c:v>7973.9046291740378</c:v>
                </c:pt>
                <c:pt idx="6">
                  <c:v>7820.7365874517254</c:v>
                </c:pt>
                <c:pt idx="7">
                  <c:v>8187.5351249509931</c:v>
                </c:pt>
                <c:pt idx="8">
                  <c:v>8633.7092310648623</c:v>
                </c:pt>
                <c:pt idx="9">
                  <c:v>9325.0652119229526</c:v>
                </c:pt>
                <c:pt idx="10">
                  <c:v>10034.297981343811</c:v>
                </c:pt>
                <c:pt idx="11">
                  <c:v>10651.382707382183</c:v>
                </c:pt>
                <c:pt idx="12">
                  <c:v>11224.845272938524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3'!$E$44:$E$56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3'!$D$44:$D$56</c:f>
              <c:numCache>
                <c:formatCode>#,##0</c:formatCode>
                <c:ptCount val="13"/>
                <c:pt idx="0">
                  <c:v>11299.1892331082</c:v>
                </c:pt>
                <c:pt idx="1">
                  <c:v>11113.845787991901</c:v>
                </c:pt>
                <c:pt idx="2">
                  <c:v>10415.710777083699</c:v>
                </c:pt>
                <c:pt idx="3">
                  <c:v>8744.6750995529528</c:v>
                </c:pt>
                <c:pt idx="4">
                  <c:v>7124.7383119369397</c:v>
                </c:pt>
                <c:pt idx="5">
                  <c:v>6314.3165171768396</c:v>
                </c:pt>
                <c:pt idx="6">
                  <c:v>5952.5394311548098</c:v>
                </c:pt>
                <c:pt idx="7">
                  <c:v>5955.5060306251098</c:v>
                </c:pt>
                <c:pt idx="8">
                  <c:v>6678.5636735501203</c:v>
                </c:pt>
                <c:pt idx="9">
                  <c:v>7030.3147235812303</c:v>
                </c:pt>
                <c:pt idx="10">
                  <c:v>6849.7365063100897</c:v>
                </c:pt>
                <c:pt idx="11">
                  <c:v>7242.5224796164302</c:v>
                </c:pt>
                <c:pt idx="12">
                  <c:v>7896.3920571419603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178861788617886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76"/>
                  <c:y val="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3333333333333333"/>
                  <c:y val="0.11653466110853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8.4552845528455225E-2"/>
                  <c:y val="0.166982013277752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9186991869918699"/>
                  <c:y val="0.157034892697236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32520325203252032"/>
                  <c:y val="3.89215686274508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2113821138211381"/>
                  <c:y val="-4.9313725490196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-1.0784251968503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1.6319865691446163</c:v>
                </c:pt>
                <c:pt idx="1">
                  <c:v>21.392685676739248</c:v>
                </c:pt>
                <c:pt idx="2">
                  <c:v>3.3530728890946238</c:v>
                </c:pt>
                <c:pt idx="3">
                  <c:v>12.474742343715636</c:v>
                </c:pt>
                <c:pt idx="4">
                  <c:v>8.2751034973819326</c:v>
                </c:pt>
                <c:pt idx="5">
                  <c:v>0.79386788113969331</c:v>
                </c:pt>
                <c:pt idx="6">
                  <c:v>0.31365332313970429</c:v>
                </c:pt>
                <c:pt idx="7">
                  <c:v>26.826375179576956</c:v>
                </c:pt>
                <c:pt idx="8">
                  <c:v>8.6215637715952376</c:v>
                </c:pt>
                <c:pt idx="9">
                  <c:v>12.232788390793276</c:v>
                </c:pt>
                <c:pt idx="10">
                  <c:v>2.0006736091662698</c:v>
                </c:pt>
                <c:pt idx="11">
                  <c:v>2.0834868685128094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40.910477755277924</c:v>
                </c:pt>
                <c:pt idx="1">
                  <c:v>59.089522244722069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1411764705882352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-0.185620915032679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47.921458857215754</c:v>
                </c:pt>
                <c:pt idx="1">
                  <c:v>52.078541142784246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01/04/2022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7.950388554371884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406504065040645"/>
                  <c:y val="-6.313499047913127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36.181790070035127</c:v>
                </c:pt>
                <c:pt idx="1">
                  <c:v>63.818209929964873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0562396773574035"/>
                  <c:y val="-0.10067047501415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6260162601626016"/>
                  <c:y val="-1.6076166949719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3983739837398373"/>
                  <c:y val="-4.231753383768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4174022149670315"/>
                  <c:y val="3.19942360146158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5545637283144484"/>
                  <c:y val="2.52594308064432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3164662953716152"/>
                  <c:y val="0.106166023364726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1498623647654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2032520325203252E-2"/>
                  <c:y val="0.257115331171838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5473004289098008"/>
                  <c:y val="2.4114250424579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0571896805582229"/>
                  <c:y val="1.3364211826462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0162601626016263"/>
                  <c:y val="-2.6143790849673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1.2574995703397687</c:v>
                </c:pt>
                <c:pt idx="1">
                  <c:v>18.469669732400877</c:v>
                </c:pt>
                <c:pt idx="2">
                  <c:v>0.61233405194056922</c:v>
                </c:pt>
                <c:pt idx="3">
                  <c:v>6.5314814214328845</c:v>
                </c:pt>
                <c:pt idx="4">
                  <c:v>8.769203183131328</c:v>
                </c:pt>
                <c:pt idx="5">
                  <c:v>0.54160211078970122</c:v>
                </c:pt>
                <c:pt idx="6">
                  <c:v>0.25977773880013666</c:v>
                </c:pt>
                <c:pt idx="7">
                  <c:v>40.954235809067455</c:v>
                </c:pt>
                <c:pt idx="8">
                  <c:v>7.9559051611776885</c:v>
                </c:pt>
                <c:pt idx="9">
                  <c:v>11.260062775613946</c:v>
                </c:pt>
                <c:pt idx="10">
                  <c:v>1.625829528366697</c:v>
                </c:pt>
                <c:pt idx="11">
                  <c:v>1.7623989169389502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29.007083823643939</c:v>
                </c:pt>
                <c:pt idx="1">
                  <c:v>71.052531296511859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0.6928143579101792</c:v>
                </c:pt>
                <c:pt idx="1">
                  <c:v>17.394747719286773</c:v>
                </c:pt>
                <c:pt idx="2">
                  <c:v>0</c:v>
                </c:pt>
                <c:pt idx="3">
                  <c:v>2.8864129230666857</c:v>
                </c:pt>
                <c:pt idx="4">
                  <c:v>7.3710759610778336</c:v>
                </c:pt>
                <c:pt idx="5">
                  <c:v>0.66203286230246883</c:v>
                </c:pt>
                <c:pt idx="6">
                  <c:v>0.22786348865320355</c:v>
                </c:pt>
                <c:pt idx="7">
                  <c:v>49.40537757828632</c:v>
                </c:pt>
                <c:pt idx="8">
                  <c:v>15.776523816049092</c:v>
                </c:pt>
                <c:pt idx="9">
                  <c:v>3.6823991692485811</c:v>
                </c:pt>
                <c:pt idx="10">
                  <c:v>0.17163176587207835</c:v>
                </c:pt>
                <c:pt idx="11">
                  <c:v>1.7887354784025886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48.139319979458605</c:v>
                </c:pt>
                <c:pt idx="1">
                  <c:v>52.262880103105708</c:v>
                </c:pt>
                <c:pt idx="2">
                  <c:v>48.251539840375905</c:v>
                </c:pt>
                <c:pt idx="3">
                  <c:v>47.991166332557007</c:v>
                </c:pt>
                <c:pt idx="4">
                  <c:v>44.322486326831402</c:v>
                </c:pt>
                <c:pt idx="5">
                  <c:v>37.599074281716803</c:v>
                </c:pt>
                <c:pt idx="6">
                  <c:v>40.16552921133092</c:v>
                </c:pt>
                <c:pt idx="7">
                  <c:v>43.448883863380608</c:v>
                </c:pt>
                <c:pt idx="8">
                  <c:v>48.214737471003019</c:v>
                </c:pt>
                <c:pt idx="9">
                  <c:v>41.62950493955492</c:v>
                </c:pt>
                <c:pt idx="10">
                  <c:v>40.334818452603983</c:v>
                </c:pt>
                <c:pt idx="11">
                  <c:v>47.228787860444271</c:v>
                </c:pt>
                <c:pt idx="12">
                  <c:v>52.078541142784246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51.860680020541409</c:v>
                </c:pt>
                <c:pt idx="1">
                  <c:v>47.737119896894306</c:v>
                </c:pt>
                <c:pt idx="2">
                  <c:v>51.748460159624088</c:v>
                </c:pt>
                <c:pt idx="3">
                  <c:v>52.008833667443</c:v>
                </c:pt>
                <c:pt idx="4">
                  <c:v>55.677513673168598</c:v>
                </c:pt>
                <c:pt idx="5">
                  <c:v>62.400925718283197</c:v>
                </c:pt>
                <c:pt idx="6">
                  <c:v>59.83447078866908</c:v>
                </c:pt>
                <c:pt idx="7">
                  <c:v>56.551116136619392</c:v>
                </c:pt>
                <c:pt idx="8">
                  <c:v>51.785262528996981</c:v>
                </c:pt>
                <c:pt idx="9">
                  <c:v>58.37049506044508</c:v>
                </c:pt>
                <c:pt idx="10">
                  <c:v>59.665181547396017</c:v>
                </c:pt>
                <c:pt idx="11">
                  <c:v>52.771212139555729</c:v>
                </c:pt>
                <c:pt idx="12">
                  <c:v>47.921458857215754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2187912.2819300001</c:v>
                </c:pt>
                <c:pt idx="1">
                  <c:v>1942226.4336399999</c:v>
                </c:pt>
                <c:pt idx="2">
                  <c:v>2450238.4911799999</c:v>
                </c:pt>
                <c:pt idx="3">
                  <c:v>2318025.87231</c:v>
                </c:pt>
                <c:pt idx="4">
                  <c:v>2398715.8202499999</c:v>
                </c:pt>
                <c:pt idx="5">
                  <c:v>2924350.6090500001</c:v>
                </c:pt>
                <c:pt idx="6">
                  <c:v>2781603.4622999998</c:v>
                </c:pt>
                <c:pt idx="7">
                  <c:v>3542322.02232</c:v>
                </c:pt>
                <c:pt idx="8">
                  <c:v>3225284.4641900002</c:v>
                </c:pt>
                <c:pt idx="9">
                  <c:v>3449205.6688000001</c:v>
                </c:pt>
                <c:pt idx="10">
                  <c:v>2880221.0212400001</c:v>
                </c:pt>
                <c:pt idx="11">
                  <c:v>2756921.24639</c:v>
                </c:pt>
                <c:pt idx="12">
                  <c:v>2312847.1327200001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70.819407462208488</c:v>
                </c:pt>
                <c:pt idx="1">
                  <c:v>75.576058542268626</c:v>
                </c:pt>
                <c:pt idx="2">
                  <c:v>68.238011942403901</c:v>
                </c:pt>
                <c:pt idx="3">
                  <c:v>72.606186194069025</c:v>
                </c:pt>
                <c:pt idx="4">
                  <c:v>70.356367665428508</c:v>
                </c:pt>
                <c:pt idx="5">
                  <c:v>63.183770762370735</c:v>
                </c:pt>
                <c:pt idx="6">
                  <c:v>65.373966879233677</c:v>
                </c:pt>
                <c:pt idx="7">
                  <c:v>60.288160077764388</c:v>
                </c:pt>
                <c:pt idx="8">
                  <c:v>66.287092790756589</c:v>
                </c:pt>
                <c:pt idx="9">
                  <c:v>64.10087070454621</c:v>
                </c:pt>
                <c:pt idx="10">
                  <c:v>65.077660372375107</c:v>
                </c:pt>
                <c:pt idx="11">
                  <c:v>70.245387843280213</c:v>
                </c:pt>
                <c:pt idx="12">
                  <c:v>74.690160202500905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29.180592537791526</c:v>
                </c:pt>
                <c:pt idx="1">
                  <c:v>24.423941457731374</c:v>
                </c:pt>
                <c:pt idx="2">
                  <c:v>31.761988057596099</c:v>
                </c:pt>
                <c:pt idx="3">
                  <c:v>27.393813805930971</c:v>
                </c:pt>
                <c:pt idx="4">
                  <c:v>29.643632334571492</c:v>
                </c:pt>
                <c:pt idx="5">
                  <c:v>36.816229237629258</c:v>
                </c:pt>
                <c:pt idx="6">
                  <c:v>34.626033120766323</c:v>
                </c:pt>
                <c:pt idx="7">
                  <c:v>39.711839922235619</c:v>
                </c:pt>
                <c:pt idx="8">
                  <c:v>33.712907209243411</c:v>
                </c:pt>
                <c:pt idx="9">
                  <c:v>35.899129295453797</c:v>
                </c:pt>
                <c:pt idx="10">
                  <c:v>34.922339627624908</c:v>
                </c:pt>
                <c:pt idx="11">
                  <c:v>29.754612156719755</c:v>
                </c:pt>
                <c:pt idx="12">
                  <c:v>25.309839797499091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2744.8811701320001</c:v>
                </c:pt>
                <c:pt idx="1">
                  <c:v>2159.2153889599999</c:v>
                </c:pt>
                <c:pt idx="2">
                  <c:v>2179.5249564280002</c:v>
                </c:pt>
                <c:pt idx="3">
                  <c:v>2206.7799777780001</c:v>
                </c:pt>
                <c:pt idx="4">
                  <c:v>1879.5875821039999</c:v>
                </c:pt>
                <c:pt idx="5">
                  <c:v>1393.78333174</c:v>
                </c:pt>
                <c:pt idx="6">
                  <c:v>1021.4348056600001</c:v>
                </c:pt>
                <c:pt idx="7">
                  <c:v>1193.7558425120001</c:v>
                </c:pt>
                <c:pt idx="8">
                  <c:v>2523.893467504</c:v>
                </c:pt>
                <c:pt idx="9">
                  <c:v>2053.5241761440002</c:v>
                </c:pt>
                <c:pt idx="10">
                  <c:v>1168.09183803</c:v>
                </c:pt>
                <c:pt idx="11">
                  <c:v>1755.8083678759999</c:v>
                </c:pt>
                <c:pt idx="12">
                  <c:v>1778.795137696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4042.470217</c:v>
                </c:pt>
                <c:pt idx="1">
                  <c:v>4620.8345870000003</c:v>
                </c:pt>
                <c:pt idx="2">
                  <c:v>3533.4522769999999</c:v>
                </c:pt>
                <c:pt idx="3">
                  <c:v>4122.6099919999997</c:v>
                </c:pt>
                <c:pt idx="4">
                  <c:v>3598.5848070000002</c:v>
                </c:pt>
                <c:pt idx="5">
                  <c:v>3123.0617010000001</c:v>
                </c:pt>
                <c:pt idx="6">
                  <c:v>4231.9807010000004</c:v>
                </c:pt>
                <c:pt idx="7">
                  <c:v>6320.8397629999999</c:v>
                </c:pt>
                <c:pt idx="8">
                  <c:v>6813.1904430000004</c:v>
                </c:pt>
                <c:pt idx="9">
                  <c:v>5352.3559729999997</c:v>
                </c:pt>
                <c:pt idx="10">
                  <c:v>4617.9056209999999</c:v>
                </c:pt>
                <c:pt idx="11">
                  <c:v>6415.0760730000002</c:v>
                </c:pt>
                <c:pt idx="12">
                  <c:v>5534.7993699999997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1628.091469</c:v>
                </c:pt>
                <c:pt idx="1">
                  <c:v>2339.523584</c:v>
                </c:pt>
                <c:pt idx="2">
                  <c:v>2277.9588039999999</c:v>
                </c:pt>
                <c:pt idx="3">
                  <c:v>2565.0792649999999</c:v>
                </c:pt>
                <c:pt idx="4">
                  <c:v>2343.78982</c:v>
                </c:pt>
                <c:pt idx="5">
                  <c:v>1881.431521</c:v>
                </c:pt>
                <c:pt idx="6">
                  <c:v>1732.6711969999999</c:v>
                </c:pt>
                <c:pt idx="7">
                  <c:v>1320.8873840000001</c:v>
                </c:pt>
                <c:pt idx="8">
                  <c:v>993.85091399999999</c:v>
                </c:pt>
                <c:pt idx="9">
                  <c:v>1534.160668</c:v>
                </c:pt>
                <c:pt idx="10">
                  <c:v>1644.6727840000001</c:v>
                </c:pt>
                <c:pt idx="11">
                  <c:v>1398.930257</c:v>
                </c:pt>
                <c:pt idx="12">
                  <c:v>2523.8605299999999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266.78751899999997</c:v>
                </c:pt>
                <c:pt idx="1">
                  <c:v>645.59745699999996</c:v>
                </c:pt>
                <c:pt idx="2">
                  <c:v>655.361716</c:v>
                </c:pt>
                <c:pt idx="3">
                  <c:v>828.49249399999997</c:v>
                </c:pt>
                <c:pt idx="4">
                  <c:v>661.44510200000002</c:v>
                </c:pt>
                <c:pt idx="5">
                  <c:v>447.44465700000001</c:v>
                </c:pt>
                <c:pt idx="6">
                  <c:v>328.16178000000002</c:v>
                </c:pt>
                <c:pt idx="7">
                  <c:v>172.42624599999999</c:v>
                </c:pt>
                <c:pt idx="8">
                  <c:v>103.956001</c:v>
                </c:pt>
                <c:pt idx="9">
                  <c:v>170.90534199999999</c:v>
                </c:pt>
                <c:pt idx="10">
                  <c:v>208.578486</c:v>
                </c:pt>
                <c:pt idx="11">
                  <c:v>120.568316</c:v>
                </c:pt>
                <c:pt idx="12">
                  <c:v>412.77760999999998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391.44703399999997</c:v>
                </c:pt>
                <c:pt idx="1">
                  <c:v>390.09081300000003</c:v>
                </c:pt>
                <c:pt idx="2">
                  <c:v>357.18564300000003</c:v>
                </c:pt>
                <c:pt idx="3">
                  <c:v>351.88360599999999</c:v>
                </c:pt>
                <c:pt idx="4">
                  <c:v>409.93549100000001</c:v>
                </c:pt>
                <c:pt idx="5">
                  <c:v>395.48078299999997</c:v>
                </c:pt>
                <c:pt idx="6">
                  <c:v>431.48129999999998</c:v>
                </c:pt>
                <c:pt idx="7">
                  <c:v>433.27252499999997</c:v>
                </c:pt>
                <c:pt idx="8">
                  <c:v>435.29937000000001</c:v>
                </c:pt>
                <c:pt idx="9">
                  <c:v>428.42865999999998</c:v>
                </c:pt>
                <c:pt idx="10">
                  <c:v>373.878626</c:v>
                </c:pt>
                <c:pt idx="11">
                  <c:v>422.58143699999999</c:v>
                </c:pt>
                <c:pt idx="12">
                  <c:v>429.863585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66.322567500000005</c:v>
                </c:pt>
                <c:pt idx="1">
                  <c:v>53.009402999999999</c:v>
                </c:pt>
                <c:pt idx="2">
                  <c:v>65.533088500000005</c:v>
                </c:pt>
                <c:pt idx="3">
                  <c:v>70.069195500000006</c:v>
                </c:pt>
                <c:pt idx="4">
                  <c:v>67.951940500000006</c:v>
                </c:pt>
                <c:pt idx="5">
                  <c:v>55.639892500000002</c:v>
                </c:pt>
                <c:pt idx="6">
                  <c:v>61.837724000000001</c:v>
                </c:pt>
                <c:pt idx="7">
                  <c:v>65.901263499999999</c:v>
                </c:pt>
                <c:pt idx="8">
                  <c:v>72.807829999999996</c:v>
                </c:pt>
                <c:pt idx="9">
                  <c:v>68.975128999999995</c:v>
                </c:pt>
                <c:pt idx="10">
                  <c:v>66.906879000000004</c:v>
                </c:pt>
                <c:pt idx="11">
                  <c:v>71.978429000000006</c:v>
                </c:pt>
                <c:pt idx="12">
                  <c:v>64.712738999999999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0.69612</cdr:x>
      <cdr:y>0.06371</cdr:y>
    </cdr:from>
    <cdr:to>
      <cdr:x>0.69825</cdr:x>
      <cdr:y>0.80846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87814" y="231812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0.68176</cdr:x>
      <cdr:y>0.09849</cdr:y>
    </cdr:from>
    <cdr:to>
      <cdr:x>0.68184</cdr:x>
      <cdr:y>0.76113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72936" y="302087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0.78276</cdr:x>
      <cdr:y>0.58938</cdr:y>
    </cdr:from>
    <cdr:to>
      <cdr:x>0.91338</cdr:x>
      <cdr:y>0.68414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9999" y="1807666"/>
          <a:ext cx="914454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0.77687</cdr:x>
      <cdr:y>0.21554</cdr:y>
    </cdr:from>
    <cdr:to>
      <cdr:x>0.91546</cdr:x>
      <cdr:y>0.2891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798" y="661078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700"/>
          <a:ext cx="252000" cy="1318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1.569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1.342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2.879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5.017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7.896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</row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H49" sqref="H49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Abril 2022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Abril 2022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8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8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Abril 2022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8" t="s">
        <v>25</v>
      </c>
      <c r="E7" s="114"/>
      <c r="F7" s="329" t="str">
        <f>Dat_01!A2</f>
        <v>Abril 2022</v>
      </c>
      <c r="G7" s="330"/>
      <c r="H7" s="331" t="s">
        <v>27</v>
      </c>
      <c r="I7" s="33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8"/>
      <c r="E8" s="115" t="s">
        <v>28</v>
      </c>
      <c r="F8" s="299">
        <v>17724</v>
      </c>
      <c r="G8" s="300" t="s">
        <v>247</v>
      </c>
      <c r="H8" s="299">
        <v>20130</v>
      </c>
      <c r="I8" s="300" t="s">
        <v>217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72.900000000000006</v>
      </c>
      <c r="G9" s="278" t="s">
        <v>248</v>
      </c>
      <c r="H9" s="273">
        <v>83.6</v>
      </c>
      <c r="I9" s="278" t="s">
        <v>218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Abril 2022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8" t="s">
        <v>181</v>
      </c>
      <c r="E7" s="4"/>
    </row>
    <row r="8" spans="3:34">
      <c r="C8" s="328"/>
      <c r="E8" s="4"/>
    </row>
    <row r="9" spans="3:34">
      <c r="C9" s="328"/>
      <c r="E9" s="4"/>
    </row>
    <row r="10" spans="3:34">
      <c r="C10" s="328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Abril 2022</v>
      </c>
    </row>
    <row r="4" spans="2:22" ht="20.100000000000001" customHeight="1">
      <c r="B4" s="102" t="s">
        <v>149</v>
      </c>
      <c r="V4" s="54"/>
    </row>
    <row r="5" spans="2:22">
      <c r="V5" s="54"/>
    </row>
    <row r="6" spans="2:22">
      <c r="V6" s="54"/>
    </row>
    <row r="7" spans="2:22">
      <c r="B7" s="328" t="s">
        <v>26</v>
      </c>
      <c r="V7" s="54"/>
    </row>
    <row r="8" spans="2:22">
      <c r="B8" s="328"/>
      <c r="V8" s="54"/>
    </row>
    <row r="9" spans="2:22">
      <c r="B9" s="328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Abril 2022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-38.433008007882478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Abril 2022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8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8"/>
      <c r="D8" s="77"/>
      <c r="E8" s="78"/>
      <c r="P8" s="80"/>
      <c r="Q8" s="80"/>
      <c r="R8" s="80"/>
    </row>
    <row r="9" spans="2:18" s="74" customFormat="1" ht="12.75" customHeight="1">
      <c r="B9" s="73"/>
      <c r="C9" s="328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1"/>
    </row>
    <row r="29" spans="2:9">
      <c r="E29" s="321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B85" sqref="B85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3.0593449112951303</v>
      </c>
      <c r="E5" s="107"/>
      <c r="F5" s="108" t="s">
        <v>16</v>
      </c>
      <c r="G5" s="109">
        <f>SUM(D5:D10)</f>
        <v>40.903176983216689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6.5360644004657855</v>
      </c>
      <c r="E6" s="107"/>
      <c r="F6" s="203" t="s">
        <v>17</v>
      </c>
      <c r="G6" s="204">
        <f>SUM(D11:D16)</f>
        <v>59.089522244722069</v>
      </c>
    </row>
    <row r="7" spans="2:7">
      <c r="B7" s="108" t="s">
        <v>4</v>
      </c>
      <c r="C7" s="127">
        <f>Dat_01!B35</f>
        <v>3522.9250000000002</v>
      </c>
      <c r="D7" s="109">
        <f t="shared" si="0"/>
        <v>3.2352292344432958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22.55602915073835</v>
      </c>
      <c r="E8" s="107"/>
    </row>
    <row r="9" spans="2:7">
      <c r="B9" s="108" t="s">
        <v>9</v>
      </c>
      <c r="C9" s="127">
        <f>Dat_01!B37</f>
        <v>5604.6935000000003</v>
      </c>
      <c r="D9" s="109">
        <f t="shared" si="0"/>
        <v>5.1469924171801322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0.369516869093998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0.12087828609938757</v>
      </c>
      <c r="E11" s="107"/>
    </row>
    <row r="12" spans="2:7">
      <c r="B12" s="108" t="s">
        <v>5</v>
      </c>
      <c r="C12" s="127">
        <f>Dat_01!B41</f>
        <v>28179.858499999998</v>
      </c>
      <c r="D12" s="109">
        <f t="shared" si="0"/>
        <v>25.878581588218708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15.696754547823202</v>
      </c>
      <c r="E13" s="107"/>
    </row>
    <row r="14" spans="2:7">
      <c r="B14" s="108" t="s">
        <v>6</v>
      </c>
      <c r="C14" s="127">
        <f>Dat_01!B43</f>
        <v>15549.170881</v>
      </c>
      <c r="D14" s="109">
        <f t="shared" si="0"/>
        <v>14.279365074637019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2.1158583319648874</v>
      </c>
      <c r="E15" s="107"/>
    </row>
    <row r="16" spans="2:7">
      <c r="B16" s="108" t="s">
        <v>8</v>
      </c>
      <c r="C16" s="127">
        <f>Dat_01!B45</f>
        <v>1086.8399999999999</v>
      </c>
      <c r="D16" s="109">
        <f t="shared" si="0"/>
        <v>0.99808441597886743</v>
      </c>
      <c r="E16" s="107"/>
    </row>
    <row r="17" spans="2:7">
      <c r="B17" s="110" t="s">
        <v>15</v>
      </c>
      <c r="C17" s="128">
        <f>SUM(C5:C16)+C18</f>
        <v>108892.592911</v>
      </c>
      <c r="D17" s="111">
        <f>SUM(D5:D16)+D18</f>
        <v>99.999999999999986</v>
      </c>
      <c r="E17" s="107"/>
    </row>
    <row r="18" spans="2:7">
      <c r="B18" s="108" t="s">
        <v>196</v>
      </c>
      <c r="C18" s="127">
        <f>Dat_01!B38</f>
        <v>7.95</v>
      </c>
      <c r="D18" s="109">
        <f>C18/$C$17*100</f>
        <v>7.3007720612344009E-3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336.71035219200002</v>
      </c>
      <c r="D21" s="109">
        <f>C21/$C$33*100</f>
        <v>1.6319865691446163</v>
      </c>
      <c r="E21" s="107"/>
      <c r="F21" s="108" t="s">
        <v>16</v>
      </c>
      <c r="G21" s="109">
        <f>SUM(D21:D26)</f>
        <v>47.921458857215754</v>
      </c>
    </row>
    <row r="22" spans="2:7">
      <c r="B22" s="108" t="s">
        <v>3</v>
      </c>
      <c r="C22" s="127">
        <f>Dat_01!B51</f>
        <v>4413.7242699999997</v>
      </c>
      <c r="D22" s="109">
        <f t="shared" ref="D22:D24" si="1">C22/$C$33*100</f>
        <v>21.392685676739248</v>
      </c>
      <c r="E22" s="129"/>
      <c r="F22" s="203" t="s">
        <v>17</v>
      </c>
      <c r="G22" s="204">
        <f>SUM(D27:D32)</f>
        <v>52.078541142784246</v>
      </c>
    </row>
    <row r="23" spans="2:7">
      <c r="B23" s="108" t="s">
        <v>4</v>
      </c>
      <c r="C23" s="127">
        <f>Dat_01!B52</f>
        <v>691.80370400000004</v>
      </c>
      <c r="D23" s="109">
        <f t="shared" si="1"/>
        <v>3.3530728890946238</v>
      </c>
      <c r="E23" s="129"/>
    </row>
    <row r="24" spans="2:7">
      <c r="B24" s="108" t="s">
        <v>11</v>
      </c>
      <c r="C24" s="127">
        <f>Dat_01!B53</f>
        <v>2573.7803039999999</v>
      </c>
      <c r="D24" s="109">
        <f t="shared" si="1"/>
        <v>12.474742343715636</v>
      </c>
      <c r="E24" s="129"/>
    </row>
    <row r="25" spans="2:7">
      <c r="B25" s="108" t="s">
        <v>9</v>
      </c>
      <c r="C25" s="127">
        <f>Dat_01!B54</f>
        <v>1707.3136910000001</v>
      </c>
      <c r="D25" s="109">
        <f>C25/$C$33*100</f>
        <v>8.2751034973819326</v>
      </c>
      <c r="E25" s="129"/>
    </row>
    <row r="26" spans="2:7">
      <c r="B26" s="108" t="s">
        <v>70</v>
      </c>
      <c r="C26" s="127">
        <f>Dat_01!B55</f>
        <v>163.790278</v>
      </c>
      <c r="D26" s="109">
        <f>C26/$C$33*100</f>
        <v>0.79386788113969331</v>
      </c>
      <c r="E26" s="129"/>
    </row>
    <row r="27" spans="2:7">
      <c r="B27" s="108" t="s">
        <v>69</v>
      </c>
      <c r="C27" s="127">
        <f>Dat_01!B56</f>
        <v>64.712738999999999</v>
      </c>
      <c r="D27" s="109">
        <f t="shared" ref="D27:D28" si="2">C27/$C$33*100</f>
        <v>0.31365332313970429</v>
      </c>
      <c r="E27" s="129"/>
    </row>
    <row r="28" spans="2:7">
      <c r="B28" s="108" t="s">
        <v>5</v>
      </c>
      <c r="C28" s="127">
        <f>Dat_01!B57</f>
        <v>5534.7993699999997</v>
      </c>
      <c r="D28" s="109">
        <f t="shared" si="2"/>
        <v>26.826375179576956</v>
      </c>
      <c r="E28" s="129"/>
    </row>
    <row r="29" spans="2:7">
      <c r="B29" s="108" t="s">
        <v>2</v>
      </c>
      <c r="C29" s="127">
        <f>Dat_01!B58</f>
        <v>1778.795137696</v>
      </c>
      <c r="D29" s="109">
        <f>C29/$C$33*100</f>
        <v>8.6215637715952376</v>
      </c>
      <c r="E29" s="129"/>
    </row>
    <row r="30" spans="2:7">
      <c r="B30" s="108" t="s">
        <v>6</v>
      </c>
      <c r="C30" s="127">
        <f>Dat_01!B59</f>
        <v>2523.8605299999999</v>
      </c>
      <c r="D30" s="109">
        <f t="shared" ref="D30:D32" si="3">C30/$C$33*100</f>
        <v>12.232788390793276</v>
      </c>
      <c r="E30" s="129"/>
    </row>
    <row r="31" spans="2:7">
      <c r="B31" s="108" t="s">
        <v>7</v>
      </c>
      <c r="C31" s="127">
        <f>Dat_01!B60</f>
        <v>412.77760999999998</v>
      </c>
      <c r="D31" s="109">
        <f t="shared" si="3"/>
        <v>2.0006736091662698</v>
      </c>
      <c r="E31" s="129"/>
    </row>
    <row r="32" spans="2:7">
      <c r="B32" s="108" t="s">
        <v>8</v>
      </c>
      <c r="C32" s="127">
        <f>Dat_01!B61</f>
        <v>429.863585</v>
      </c>
      <c r="D32" s="109">
        <f t="shared" si="3"/>
        <v>2.0834868685128094</v>
      </c>
      <c r="E32" s="129"/>
    </row>
    <row r="33" spans="2:6">
      <c r="B33" s="110" t="s">
        <v>15</v>
      </c>
      <c r="C33" s="128">
        <f>SUM(C21:C32)</f>
        <v>20631.931570887999</v>
      </c>
      <c r="D33" s="111">
        <f>SUM(D21:D32)</f>
        <v>100</v>
      </c>
    </row>
    <row r="34" spans="2:6">
      <c r="B34" s="149"/>
      <c r="C34" s="164"/>
      <c r="D34" s="164"/>
      <c r="E34" s="164"/>
      <c r="F34" s="164"/>
    </row>
    <row r="35" spans="2:6">
      <c r="B35" s="149" t="s">
        <v>147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1.2574995703397687</v>
      </c>
      <c r="D37" s="107"/>
      <c r="E37" s="108" t="s">
        <v>16</v>
      </c>
      <c r="F37" s="109">
        <f>SUM(C37:C42)</f>
        <v>36.181790070035127</v>
      </c>
    </row>
    <row r="38" spans="2:6">
      <c r="B38" s="108" t="s">
        <v>3</v>
      </c>
      <c r="C38" s="109">
        <f>Dat_01!B95</f>
        <v>18.469669732400877</v>
      </c>
      <c r="D38" s="107"/>
      <c r="E38" s="203" t="s">
        <v>17</v>
      </c>
      <c r="F38" s="204">
        <f>SUM(C43:C48)</f>
        <v>63.818209929964873</v>
      </c>
    </row>
    <row r="39" spans="2:6">
      <c r="B39" s="108" t="s">
        <v>4</v>
      </c>
      <c r="C39" s="109">
        <f>Dat_01!B96</f>
        <v>0.61233405194056922</v>
      </c>
      <c r="D39" s="107"/>
    </row>
    <row r="40" spans="2:6">
      <c r="B40" s="108" t="s">
        <v>11</v>
      </c>
      <c r="C40" s="109">
        <f>Dat_01!B97</f>
        <v>6.5314814214328845</v>
      </c>
      <c r="D40" s="107"/>
    </row>
    <row r="41" spans="2:6">
      <c r="B41" s="108" t="s">
        <v>9</v>
      </c>
      <c r="C41" s="109">
        <f>Dat_01!B98</f>
        <v>8.769203183131328</v>
      </c>
      <c r="D41" s="107"/>
      <c r="E41" s="107"/>
      <c r="F41" s="107"/>
    </row>
    <row r="42" spans="2:6">
      <c r="B42" s="108" t="s">
        <v>70</v>
      </c>
      <c r="C42" s="109">
        <f>Dat_01!B99</f>
        <v>0.54160211078970122</v>
      </c>
      <c r="D42" s="107"/>
      <c r="E42" s="107"/>
      <c r="F42" s="107"/>
    </row>
    <row r="43" spans="2:6">
      <c r="B43" s="108" t="s">
        <v>69</v>
      </c>
      <c r="C43" s="109">
        <f>Dat_01!B100</f>
        <v>0.25977773880013666</v>
      </c>
      <c r="D43" s="107"/>
      <c r="E43" s="107"/>
      <c r="F43" s="107"/>
    </row>
    <row r="44" spans="2:6">
      <c r="B44" s="108" t="s">
        <v>5</v>
      </c>
      <c r="C44" s="109">
        <f>Dat_01!B101</f>
        <v>40.954235809067455</v>
      </c>
      <c r="D44" s="107"/>
      <c r="E44" s="107"/>
      <c r="F44" s="107"/>
    </row>
    <row r="45" spans="2:6">
      <c r="B45" s="108" t="s">
        <v>2</v>
      </c>
      <c r="C45" s="109">
        <f>Dat_01!B102</f>
        <v>7.9559051611776885</v>
      </c>
      <c r="D45" s="107"/>
      <c r="E45" s="107"/>
      <c r="F45" s="107"/>
    </row>
    <row r="46" spans="2:6">
      <c r="B46" s="108" t="s">
        <v>6</v>
      </c>
      <c r="C46" s="109">
        <f>Dat_01!B103</f>
        <v>11.260062775613946</v>
      </c>
      <c r="D46" s="107"/>
      <c r="E46" s="107"/>
      <c r="F46" s="107"/>
    </row>
    <row r="47" spans="2:6">
      <c r="B47" s="108" t="s">
        <v>7</v>
      </c>
      <c r="C47" s="109">
        <f>Dat_01!B104</f>
        <v>1.625829528366697</v>
      </c>
      <c r="D47" s="107"/>
      <c r="E47" s="107"/>
      <c r="F47" s="107"/>
    </row>
    <row r="48" spans="2:6">
      <c r="B48" s="108" t="s">
        <v>8</v>
      </c>
      <c r="C48" s="109">
        <f>Dat_01!B105</f>
        <v>1.7623989169389502</v>
      </c>
      <c r="D48" s="164"/>
      <c r="E48" s="164"/>
      <c r="F48" s="164"/>
    </row>
    <row r="49" spans="2:6">
      <c r="B49" s="110" t="s">
        <v>15</v>
      </c>
      <c r="C49" s="111">
        <f>SUM(C37:C48)</f>
        <v>99.999999999999986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128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0.6928143579101792</v>
      </c>
      <c r="D53" s="107"/>
      <c r="E53" s="108" t="s">
        <v>16</v>
      </c>
      <c r="F53" s="109">
        <f>SUM(C53:C58)</f>
        <v>29.007083823643939</v>
      </c>
    </row>
    <row r="54" spans="2:6">
      <c r="B54" s="108" t="s">
        <v>3</v>
      </c>
      <c r="C54" s="109">
        <f>Dat_01!H95</f>
        <v>17.394747719286773</v>
      </c>
      <c r="D54" s="107"/>
      <c r="E54" s="203" t="s">
        <v>17</v>
      </c>
      <c r="F54" s="204">
        <f>SUM(C59:C64)</f>
        <v>71.052531296511859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2.8864129230666857</v>
      </c>
      <c r="D56" s="107"/>
    </row>
    <row r="57" spans="2:6">
      <c r="B57" s="108" t="s">
        <v>9</v>
      </c>
      <c r="C57" s="109">
        <f>Dat_01!H98</f>
        <v>7.3710759610778336</v>
      </c>
      <c r="D57" s="107"/>
      <c r="E57" s="107"/>
      <c r="F57" s="107"/>
    </row>
    <row r="58" spans="2:6">
      <c r="B58" s="108" t="s">
        <v>70</v>
      </c>
      <c r="C58" s="109">
        <f>Dat_01!H99</f>
        <v>0.66203286230246883</v>
      </c>
      <c r="D58" s="107"/>
      <c r="E58" s="107"/>
      <c r="F58" s="107"/>
    </row>
    <row r="59" spans="2:6">
      <c r="B59" s="108" t="s">
        <v>69</v>
      </c>
      <c r="C59" s="109">
        <f>Dat_01!H100</f>
        <v>0.22786348865320355</v>
      </c>
      <c r="D59" s="107"/>
      <c r="E59" s="107"/>
      <c r="F59" s="107"/>
    </row>
    <row r="60" spans="2:6">
      <c r="B60" s="108" t="s">
        <v>5</v>
      </c>
      <c r="C60" s="109">
        <f>Dat_01!H101</f>
        <v>49.40537757828632</v>
      </c>
      <c r="D60" s="107"/>
      <c r="E60" s="107"/>
      <c r="F60" s="107"/>
    </row>
    <row r="61" spans="2:6">
      <c r="B61" s="108" t="s">
        <v>2</v>
      </c>
      <c r="C61" s="109">
        <f>Dat_01!H102</f>
        <v>15.776523816049092</v>
      </c>
      <c r="D61" s="107"/>
      <c r="E61" s="107"/>
      <c r="F61" s="107"/>
    </row>
    <row r="62" spans="2:6">
      <c r="B62" s="108" t="s">
        <v>6</v>
      </c>
      <c r="C62" s="109">
        <f>Dat_01!H103</f>
        <v>3.6823991692485811</v>
      </c>
      <c r="D62" s="107"/>
      <c r="E62" s="107"/>
      <c r="F62" s="107"/>
    </row>
    <row r="63" spans="2:6">
      <c r="B63" s="108" t="s">
        <v>7</v>
      </c>
      <c r="C63" s="109">
        <f>Dat_01!H104</f>
        <v>0.17163176587207835</v>
      </c>
      <c r="D63" s="107"/>
      <c r="E63" s="107"/>
      <c r="F63" s="107"/>
    </row>
    <row r="64" spans="2:6">
      <c r="B64" s="108" t="s">
        <v>8</v>
      </c>
      <c r="C64" s="109">
        <f>Dat_01!H105</f>
        <v>1.7887354784025886</v>
      </c>
    </row>
    <row r="65" spans="2:16">
      <c r="B65" s="110" t="s">
        <v>15</v>
      </c>
      <c r="C65" s="111">
        <f>SUM(C53:C64)</f>
        <v>100.0596151201558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A</v>
      </c>
      <c r="D68" s="208" t="str">
        <f>Dat_01!C140</f>
        <v>M</v>
      </c>
      <c r="E68" s="208" t="str">
        <f>Dat_01!D140</f>
        <v>J</v>
      </c>
      <c r="F68" s="208" t="str">
        <f>Dat_01!E140</f>
        <v>J</v>
      </c>
      <c r="G68" s="208" t="str">
        <f>Dat_01!F140</f>
        <v>A</v>
      </c>
      <c r="H68" s="208" t="str">
        <f>Dat_01!G140</f>
        <v>S</v>
      </c>
      <c r="I68" s="208" t="str">
        <f>Dat_01!H140</f>
        <v>O</v>
      </c>
      <c r="J68" s="208" t="str">
        <f>Dat_01!I140</f>
        <v>N</v>
      </c>
      <c r="K68" s="208" t="str">
        <f>Dat_01!J140</f>
        <v>D</v>
      </c>
      <c r="L68" s="208" t="str">
        <f>Dat_01!K140</f>
        <v>E</v>
      </c>
      <c r="M68" s="208" t="str">
        <f>Dat_01!L140</f>
        <v>F</v>
      </c>
      <c r="N68" s="208" t="str">
        <f>Dat_01!M140</f>
        <v>M</v>
      </c>
      <c r="O68" s="208" t="str">
        <f>Dat_01!N140</f>
        <v>A</v>
      </c>
      <c r="P68" s="209"/>
    </row>
    <row r="69" spans="2:16">
      <c r="B69" s="210" t="s">
        <v>2</v>
      </c>
      <c r="C69" s="211">
        <f>Dat_01!B142</f>
        <v>2744.8811701320001</v>
      </c>
      <c r="D69" s="211">
        <f>Dat_01!C142</f>
        <v>2159.2153889599999</v>
      </c>
      <c r="E69" s="211">
        <f>Dat_01!D142</f>
        <v>2179.5249564280002</v>
      </c>
      <c r="F69" s="211">
        <f>Dat_01!E142</f>
        <v>2206.7799777780001</v>
      </c>
      <c r="G69" s="211">
        <f>Dat_01!F142</f>
        <v>1879.5875821039999</v>
      </c>
      <c r="H69" s="211">
        <f>Dat_01!G142</f>
        <v>1393.78333174</v>
      </c>
      <c r="I69" s="211">
        <f>Dat_01!H142</f>
        <v>1021.4348056600001</v>
      </c>
      <c r="J69" s="211">
        <f>Dat_01!I142</f>
        <v>1193.7558425120001</v>
      </c>
      <c r="K69" s="211">
        <f>Dat_01!J142</f>
        <v>2523.893467504</v>
      </c>
      <c r="L69" s="211">
        <f>Dat_01!K142</f>
        <v>2053.5241761440002</v>
      </c>
      <c r="M69" s="211">
        <f>Dat_01!L142</f>
        <v>1168.09183803</v>
      </c>
      <c r="N69" s="211">
        <f>Dat_01!M142</f>
        <v>1755.8083678759999</v>
      </c>
      <c r="O69" s="211">
        <f>Dat_01!N142</f>
        <v>1778.795137696</v>
      </c>
    </row>
    <row r="70" spans="2:16">
      <c r="B70" s="210" t="s">
        <v>81</v>
      </c>
      <c r="C70" s="211">
        <f>Dat_01!B143</f>
        <v>153.67971897199999</v>
      </c>
      <c r="D70" s="211">
        <f>Dat_01!C143</f>
        <v>238.70894406400001</v>
      </c>
      <c r="E70" s="211">
        <f>Dat_01!D143</f>
        <v>105.70565758799999</v>
      </c>
      <c r="F70" s="211">
        <f>Dat_01!E143</f>
        <v>115.791574032</v>
      </c>
      <c r="G70" s="211">
        <f>Dat_01!F143</f>
        <v>159.74251133199999</v>
      </c>
      <c r="H70" s="211">
        <f>Dat_01!G143</f>
        <v>118.239862456</v>
      </c>
      <c r="I70" s="211">
        <f>Dat_01!H143</f>
        <v>232.11323870199999</v>
      </c>
      <c r="J70" s="211">
        <f>Dat_01!I143</f>
        <v>202.78682990199999</v>
      </c>
      <c r="K70" s="211">
        <f>Dat_01!J143</f>
        <v>269.90862404000001</v>
      </c>
      <c r="L70" s="211">
        <f>Dat_01!K143</f>
        <v>215.45218475999999</v>
      </c>
      <c r="M70" s="211">
        <f>Dat_01!L143</f>
        <v>285.08618899800001</v>
      </c>
      <c r="N70" s="211">
        <f>Dat_01!M143</f>
        <v>280.11079998399998</v>
      </c>
      <c r="O70" s="211">
        <f>Dat_01!N143</f>
        <v>336.71035219200002</v>
      </c>
    </row>
    <row r="71" spans="2:16">
      <c r="B71" s="210" t="s">
        <v>3</v>
      </c>
      <c r="C71" s="211">
        <f>Dat_01!B144</f>
        <v>4197.3329299999996</v>
      </c>
      <c r="D71" s="211">
        <f>Dat_01!C144</f>
        <v>4373.2505520000004</v>
      </c>
      <c r="E71" s="211">
        <f>Dat_01!D144</f>
        <v>3684.3838049999999</v>
      </c>
      <c r="F71" s="211">
        <f>Dat_01!E144</f>
        <v>5119.3289409999998</v>
      </c>
      <c r="G71" s="211">
        <f>Dat_01!F144</f>
        <v>5151.2435720000003</v>
      </c>
      <c r="H71" s="211">
        <f>Dat_01!G144</f>
        <v>4890.5065249999998</v>
      </c>
      <c r="I71" s="211">
        <f>Dat_01!H144</f>
        <v>4748.3949460000003</v>
      </c>
      <c r="J71" s="211">
        <f>Dat_01!I144</f>
        <v>3562.3582710000001</v>
      </c>
      <c r="K71" s="211">
        <f>Dat_01!J144</f>
        <v>3922.855106</v>
      </c>
      <c r="L71" s="211">
        <f>Dat_01!K144</f>
        <v>5048.424951</v>
      </c>
      <c r="M71" s="211">
        <f>Dat_01!L144</f>
        <v>4771.058908</v>
      </c>
      <c r="N71" s="211">
        <f>Dat_01!M144</f>
        <v>4766.7915640000001</v>
      </c>
      <c r="O71" s="211">
        <f>Dat_01!N144</f>
        <v>4413.7242699999997</v>
      </c>
    </row>
    <row r="72" spans="2:16">
      <c r="B72" s="210" t="s">
        <v>4</v>
      </c>
      <c r="C72" s="211">
        <f>Dat_01!B145</f>
        <v>270.69138700000002</v>
      </c>
      <c r="D72" s="211">
        <f>Dat_01!C145</f>
        <v>333.03452900000002</v>
      </c>
      <c r="E72" s="211">
        <f>Dat_01!D145</f>
        <v>431.99096700000001</v>
      </c>
      <c r="F72" s="211">
        <f>Dat_01!E145</f>
        <v>302.41718100000003</v>
      </c>
      <c r="G72" s="211">
        <f>Dat_01!F145</f>
        <v>320.34443199999998</v>
      </c>
      <c r="H72" s="211">
        <f>Dat_01!G145</f>
        <v>477.92579699999999</v>
      </c>
      <c r="I72" s="211">
        <f>Dat_01!H145</f>
        <v>528.18759499999999</v>
      </c>
      <c r="J72" s="211">
        <f>Dat_01!I145</f>
        <v>577.43674399999998</v>
      </c>
      <c r="K72" s="211">
        <f>Dat_01!J145</f>
        <v>721.09479699999997</v>
      </c>
      <c r="L72" s="211">
        <f>Dat_01!K145</f>
        <v>710.59119999999996</v>
      </c>
      <c r="M72" s="211">
        <f>Dat_01!L145</f>
        <v>569.21095200000002</v>
      </c>
      <c r="N72" s="211">
        <f>Dat_01!M145</f>
        <v>705.89505599999995</v>
      </c>
      <c r="O72" s="211">
        <f>Dat_01!N145</f>
        <v>691.80370400000004</v>
      </c>
    </row>
    <row r="73" spans="2:16">
      <c r="B73" s="210" t="s">
        <v>129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130</v>
      </c>
      <c r="C74" s="211">
        <f>Dat_01!B146</f>
        <v>2864.730763</v>
      </c>
      <c r="D74" s="211">
        <f>Dat_01!C146</f>
        <v>2004.7763130000001</v>
      </c>
      <c r="E74" s="211">
        <f>Dat_01!D146</f>
        <v>3136.247484</v>
      </c>
      <c r="F74" s="211">
        <f>Dat_01!E146</f>
        <v>3024.7339200000001</v>
      </c>
      <c r="G74" s="211">
        <f>Dat_01!F146</f>
        <v>3325.1556350000001</v>
      </c>
      <c r="H74" s="211">
        <f>Dat_01!G146</f>
        <v>4296.9849320000003</v>
      </c>
      <c r="I74" s="211">
        <f>Dat_01!H146</f>
        <v>3806.271381</v>
      </c>
      <c r="J74" s="211">
        <f>Dat_01!I146</f>
        <v>5697.61654</v>
      </c>
      <c r="K74" s="211">
        <f>Dat_01!J146</f>
        <v>4499.7333719999997</v>
      </c>
      <c r="L74" s="211">
        <f>Dat_01!K146</f>
        <v>5197.395829</v>
      </c>
      <c r="M74" s="211">
        <f>Dat_01!L146</f>
        <v>4086.8536220000001</v>
      </c>
      <c r="N74" s="211">
        <f>Dat_01!M146</f>
        <v>3253.4613840000002</v>
      </c>
      <c r="O74" s="211">
        <f>Dat_01!N146</f>
        <v>2573.7803039999999</v>
      </c>
    </row>
    <row r="75" spans="2:16">
      <c r="B75" s="210" t="s">
        <v>5</v>
      </c>
      <c r="C75" s="211">
        <f>Dat_01!B147</f>
        <v>4042.470217</v>
      </c>
      <c r="D75" s="211">
        <f>Dat_01!C147</f>
        <v>4620.8345870000003</v>
      </c>
      <c r="E75" s="211">
        <f>Dat_01!D147</f>
        <v>3533.4522769999999</v>
      </c>
      <c r="F75" s="211">
        <f>Dat_01!E147</f>
        <v>4122.6099919999997</v>
      </c>
      <c r="G75" s="211">
        <f>Dat_01!F147</f>
        <v>3598.5848070000002</v>
      </c>
      <c r="H75" s="211">
        <f>Dat_01!G147</f>
        <v>3123.0617010000001</v>
      </c>
      <c r="I75" s="211">
        <f>Dat_01!H147</f>
        <v>4231.9807010000004</v>
      </c>
      <c r="J75" s="211">
        <f>Dat_01!I147</f>
        <v>6320.8397629999999</v>
      </c>
      <c r="K75" s="211">
        <f>Dat_01!J147</f>
        <v>6813.1904430000004</v>
      </c>
      <c r="L75" s="211">
        <f>Dat_01!K147</f>
        <v>5352.3559729999997</v>
      </c>
      <c r="M75" s="211">
        <f>Dat_01!L147</f>
        <v>4617.9056209999999</v>
      </c>
      <c r="N75" s="211">
        <f>Dat_01!M147</f>
        <v>6415.0760730000002</v>
      </c>
      <c r="O75" s="211">
        <f>Dat_01!N147</f>
        <v>5534.7993699999997</v>
      </c>
    </row>
    <row r="76" spans="2:16">
      <c r="B76" s="210" t="s">
        <v>131</v>
      </c>
      <c r="C76" s="211">
        <f>Dat_01!B148</f>
        <v>1628.091469</v>
      </c>
      <c r="D76" s="211">
        <f>Dat_01!C148</f>
        <v>2339.523584</v>
      </c>
      <c r="E76" s="211">
        <f>Dat_01!D148</f>
        <v>2277.9588039999999</v>
      </c>
      <c r="F76" s="211">
        <f>Dat_01!E148</f>
        <v>2565.0792649999999</v>
      </c>
      <c r="G76" s="211">
        <f>Dat_01!F148</f>
        <v>2343.78982</v>
      </c>
      <c r="H76" s="211">
        <f>Dat_01!G148</f>
        <v>1881.431521</v>
      </c>
      <c r="I76" s="211">
        <f>Dat_01!H148</f>
        <v>1732.6711969999999</v>
      </c>
      <c r="J76" s="211">
        <f>Dat_01!I148</f>
        <v>1320.8873840000001</v>
      </c>
      <c r="K76" s="211">
        <f>Dat_01!J148</f>
        <v>993.85091399999999</v>
      </c>
      <c r="L76" s="211">
        <f>Dat_01!K148</f>
        <v>1534.160668</v>
      </c>
      <c r="M76" s="211">
        <f>Dat_01!L148</f>
        <v>1644.6727840000001</v>
      </c>
      <c r="N76" s="211">
        <f>Dat_01!M148</f>
        <v>1398.930257</v>
      </c>
      <c r="O76" s="211">
        <f>Dat_01!N148</f>
        <v>2523.8605299999999</v>
      </c>
    </row>
    <row r="77" spans="2:16">
      <c r="B77" s="210" t="s">
        <v>132</v>
      </c>
      <c r="C77" s="211">
        <f>Dat_01!B149</f>
        <v>266.78751899999997</v>
      </c>
      <c r="D77" s="211">
        <f>Dat_01!C149</f>
        <v>645.59745699999996</v>
      </c>
      <c r="E77" s="211">
        <f>Dat_01!D149</f>
        <v>655.361716</v>
      </c>
      <c r="F77" s="211">
        <f>Dat_01!E149</f>
        <v>828.49249399999997</v>
      </c>
      <c r="G77" s="211">
        <f>Dat_01!F149</f>
        <v>661.44510200000002</v>
      </c>
      <c r="H77" s="211">
        <f>Dat_01!G149</f>
        <v>447.44465700000001</v>
      </c>
      <c r="I77" s="211">
        <f>Dat_01!H149</f>
        <v>328.16178000000002</v>
      </c>
      <c r="J77" s="211">
        <f>Dat_01!I149</f>
        <v>172.42624599999999</v>
      </c>
      <c r="K77" s="211">
        <f>Dat_01!J149</f>
        <v>103.956001</v>
      </c>
      <c r="L77" s="211">
        <f>Dat_01!K149</f>
        <v>170.90534199999999</v>
      </c>
      <c r="M77" s="211">
        <f>Dat_01!L149</f>
        <v>208.578486</v>
      </c>
      <c r="N77" s="211">
        <f>Dat_01!M149</f>
        <v>120.568316</v>
      </c>
      <c r="O77" s="211">
        <f>Dat_01!N149</f>
        <v>412.77760999999998</v>
      </c>
    </row>
    <row r="78" spans="2:16">
      <c r="B78" s="210" t="s">
        <v>9</v>
      </c>
      <c r="C78" s="211">
        <f>Dat_01!B151</f>
        <v>2190.0643239999999</v>
      </c>
      <c r="D78" s="211">
        <f>Dat_01!C151</f>
        <v>2203.7572810000001</v>
      </c>
      <c r="E78" s="211">
        <f>Dat_01!D151</f>
        <v>2183.6421690000002</v>
      </c>
      <c r="F78" s="211">
        <f>Dat_01!E151</f>
        <v>2238.7745369999998</v>
      </c>
      <c r="G78" s="211">
        <f>Dat_01!F151</f>
        <v>2102.2103360000001</v>
      </c>
      <c r="H78" s="211">
        <f>Dat_01!G151</f>
        <v>2159.0921499999999</v>
      </c>
      <c r="I78" s="211">
        <f>Dat_01!H151</f>
        <v>2136.4721209999998</v>
      </c>
      <c r="J78" s="211">
        <f>Dat_01!I151</f>
        <v>2168.9871889999999</v>
      </c>
      <c r="K78" s="211">
        <f>Dat_01!J151</f>
        <v>2167.9654059999998</v>
      </c>
      <c r="L78" s="211">
        <f>Dat_01!K151</f>
        <v>2140.854178</v>
      </c>
      <c r="M78" s="211">
        <f>Dat_01!L151</f>
        <v>2101.6384309999999</v>
      </c>
      <c r="N78" s="211">
        <f>Dat_01!M151</f>
        <v>2200.0099839999998</v>
      </c>
      <c r="O78" s="211">
        <f>Dat_01!N151</f>
        <v>1707.3136910000001</v>
      </c>
    </row>
    <row r="79" spans="2:16">
      <c r="B79" s="210" t="s">
        <v>133</v>
      </c>
      <c r="C79" s="211">
        <f>Dat_01!B152</f>
        <v>170.05904150000001</v>
      </c>
      <c r="D79" s="211">
        <f>Dat_01!C152</f>
        <v>170.74740800000001</v>
      </c>
      <c r="E79" s="211">
        <f>Dat_01!D152</f>
        <v>184.30269150000001</v>
      </c>
      <c r="F79" s="211">
        <f>Dat_01!E152</f>
        <v>193.16825549999999</v>
      </c>
      <c r="G79" s="211">
        <f>Dat_01!F152</f>
        <v>198.4023795</v>
      </c>
      <c r="H79" s="211">
        <f>Dat_01!G152</f>
        <v>167.38102850000001</v>
      </c>
      <c r="I79" s="211">
        <f>Dat_01!H152</f>
        <v>179.471082</v>
      </c>
      <c r="J79" s="211">
        <f>Dat_01!I152</f>
        <v>164.8067685</v>
      </c>
      <c r="K79" s="211">
        <f>Dat_01!J152</f>
        <v>171.82050699999999</v>
      </c>
      <c r="L79" s="211">
        <f>Dat_01!K152</f>
        <v>159.55676600000001</v>
      </c>
      <c r="M79" s="211">
        <f>Dat_01!L152</f>
        <v>138.52277699999999</v>
      </c>
      <c r="N79" s="211">
        <f>Dat_01!M152</f>
        <v>173.90431599999999</v>
      </c>
      <c r="O79" s="211">
        <f>Dat_01!N152</f>
        <v>163.790278</v>
      </c>
    </row>
    <row r="80" spans="2:16">
      <c r="B80" s="210" t="s">
        <v>134</v>
      </c>
      <c r="C80" s="211">
        <f>Dat_01!B153</f>
        <v>66.322567500000005</v>
      </c>
      <c r="D80" s="211">
        <f>Dat_01!C153</f>
        <v>53.009402999999999</v>
      </c>
      <c r="E80" s="211">
        <f>Dat_01!D153</f>
        <v>65.533088500000005</v>
      </c>
      <c r="F80" s="211">
        <f>Dat_01!E153</f>
        <v>70.069195500000006</v>
      </c>
      <c r="G80" s="211">
        <f>Dat_01!F153</f>
        <v>67.951940500000006</v>
      </c>
      <c r="H80" s="211">
        <f>Dat_01!G153</f>
        <v>55.639892500000002</v>
      </c>
      <c r="I80" s="211">
        <f>Dat_01!H153</f>
        <v>61.837724000000001</v>
      </c>
      <c r="J80" s="211">
        <f>Dat_01!I153</f>
        <v>65.901263499999999</v>
      </c>
      <c r="K80" s="211">
        <f>Dat_01!J153</f>
        <v>72.807829999999996</v>
      </c>
      <c r="L80" s="211">
        <f>Dat_01!K153</f>
        <v>68.975128999999995</v>
      </c>
      <c r="M80" s="211">
        <f>Dat_01!L153</f>
        <v>66.906879000000004</v>
      </c>
      <c r="N80" s="211">
        <f>Dat_01!M153</f>
        <v>71.978429000000006</v>
      </c>
      <c r="O80" s="211">
        <f>Dat_01!N153</f>
        <v>64.712738999999999</v>
      </c>
    </row>
    <row r="81" spans="2:15">
      <c r="B81" s="210" t="s">
        <v>135</v>
      </c>
      <c r="C81" s="211">
        <f>Dat_01!B150</f>
        <v>391.44703399999997</v>
      </c>
      <c r="D81" s="211">
        <f>Dat_01!C150</f>
        <v>390.09081300000003</v>
      </c>
      <c r="E81" s="211">
        <f>Dat_01!D150</f>
        <v>357.18564300000003</v>
      </c>
      <c r="F81" s="211">
        <f>Dat_01!E150</f>
        <v>351.88360599999999</v>
      </c>
      <c r="G81" s="211">
        <f>Dat_01!F150</f>
        <v>409.93549100000001</v>
      </c>
      <c r="H81" s="211">
        <f>Dat_01!G150</f>
        <v>395.48078299999997</v>
      </c>
      <c r="I81" s="211">
        <f>Dat_01!H150</f>
        <v>431.48129999999998</v>
      </c>
      <c r="J81" s="211">
        <f>Dat_01!I150</f>
        <v>433.27252499999997</v>
      </c>
      <c r="K81" s="211">
        <f>Dat_01!J150</f>
        <v>435.29937000000001</v>
      </c>
      <c r="L81" s="211">
        <f>Dat_01!K150</f>
        <v>428.42865999999998</v>
      </c>
      <c r="M81" s="211">
        <f>Dat_01!L150</f>
        <v>373.878626</v>
      </c>
      <c r="N81" s="211">
        <f>Dat_01!M150</f>
        <v>422.58143699999999</v>
      </c>
      <c r="O81" s="211">
        <f>Dat_01!N150</f>
        <v>429.863585</v>
      </c>
    </row>
    <row r="82" spans="2:15">
      <c r="B82" s="210" t="s">
        <v>136</v>
      </c>
      <c r="C82" s="211">
        <f>Dat_01!B154</f>
        <v>18986.558141103997</v>
      </c>
      <c r="D82" s="211">
        <f>Dat_01!C154</f>
        <v>19532.546260023999</v>
      </c>
      <c r="E82" s="211">
        <f>Dat_01!D154</f>
        <v>18795.289259016001</v>
      </c>
      <c r="F82" s="211">
        <f>Dat_01!E154</f>
        <v>21139.128938809998</v>
      </c>
      <c r="G82" s="211">
        <f>Dat_01!F154</f>
        <v>20218.393608435999</v>
      </c>
      <c r="H82" s="211">
        <f>Dat_01!G154</f>
        <v>19406.972181196001</v>
      </c>
      <c r="I82" s="211">
        <f>Dat_01!H154</f>
        <v>19438.477871362</v>
      </c>
      <c r="J82" s="211">
        <f>Dat_01!I154</f>
        <v>21881.075366413999</v>
      </c>
      <c r="K82" s="211">
        <f>Dat_01!J154</f>
        <v>22696.375837543997</v>
      </c>
      <c r="L82" s="211">
        <f>Dat_01!K154</f>
        <v>23080.625056903998</v>
      </c>
      <c r="M82" s="211">
        <f>Dat_01!L154</f>
        <v>20032.405113027995</v>
      </c>
      <c r="N82" s="211">
        <f>Dat_01!M154</f>
        <v>21565.115983860003</v>
      </c>
      <c r="O82" s="211">
        <f>Dat_01!N154</f>
        <v>20631.931570887999</v>
      </c>
    </row>
    <row r="83" spans="2:15">
      <c r="B83" s="210" t="s">
        <v>137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138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139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140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9139.9999766319997</v>
      </c>
      <c r="D88" s="215">
        <f t="shared" si="4"/>
        <v>10208.271232960002</v>
      </c>
      <c r="E88" s="215">
        <f t="shared" si="4"/>
        <v>9069.0164849280009</v>
      </c>
      <c r="F88" s="215">
        <f t="shared" si="4"/>
        <v>10144.914530278</v>
      </c>
      <c r="G88" s="215">
        <f t="shared" si="4"/>
        <v>8961.2947426039991</v>
      </c>
      <c r="H88" s="215">
        <f t="shared" si="4"/>
        <v>7296.8418862400013</v>
      </c>
      <c r="I88" s="215">
        <f t="shared" si="4"/>
        <v>7807.567507660001</v>
      </c>
      <c r="J88" s="215">
        <f t="shared" si="4"/>
        <v>9507.0830240120013</v>
      </c>
      <c r="K88" s="215">
        <f t="shared" si="4"/>
        <v>10942.998025504001</v>
      </c>
      <c r="L88" s="215">
        <f t="shared" si="4"/>
        <v>9608.3499481439994</v>
      </c>
      <c r="M88" s="215">
        <f t="shared" si="4"/>
        <v>8080.0342340300003</v>
      </c>
      <c r="N88" s="215">
        <f t="shared" si="4"/>
        <v>10184.942879876002</v>
      </c>
      <c r="O88" s="215">
        <f t="shared" si="4"/>
        <v>10744.808971695998</v>
      </c>
    </row>
    <row r="89" spans="2:15">
      <c r="B89" s="212" t="s">
        <v>16</v>
      </c>
      <c r="C89" s="213">
        <f t="shared" ref="C89:O89" si="5">SUM(C70:C74,C78:C79)</f>
        <v>9846.5581644720005</v>
      </c>
      <c r="D89" s="213">
        <f t="shared" si="5"/>
        <v>9324.2750270640008</v>
      </c>
      <c r="E89" s="213">
        <f t="shared" si="5"/>
        <v>9726.272774088</v>
      </c>
      <c r="F89" s="213">
        <f t="shared" si="5"/>
        <v>10994.214408532</v>
      </c>
      <c r="G89" s="213">
        <f t="shared" si="5"/>
        <v>11257.098865831998</v>
      </c>
      <c r="H89" s="213">
        <f t="shared" si="5"/>
        <v>12110.130294956001</v>
      </c>
      <c r="I89" s="213">
        <f t="shared" si="5"/>
        <v>11630.910363702002</v>
      </c>
      <c r="J89" s="213">
        <f t="shared" si="5"/>
        <v>12373.992342402</v>
      </c>
      <c r="K89" s="213">
        <f t="shared" si="5"/>
        <v>11753.377812039998</v>
      </c>
      <c r="L89" s="213">
        <f t="shared" si="5"/>
        <v>13472.275108759999</v>
      </c>
      <c r="M89" s="213">
        <f t="shared" si="5"/>
        <v>11952.370878997999</v>
      </c>
      <c r="N89" s="213">
        <f t="shared" si="5"/>
        <v>11380.173103984002</v>
      </c>
      <c r="O89" s="213">
        <f t="shared" si="5"/>
        <v>9887.1225991920001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48.139319979458598</v>
      </c>
      <c r="D91" s="216">
        <f t="shared" ref="D91:O91" si="6">SUM(D69/SUM(D88:D89)*100,D75/SUM(D88:D89)*100,D76/SUM(D88:D89)*100,D77/SUM(D88:D89)*100,D80/SUM(D88:D89)*100,D81/SUM(D88:D89)*100)</f>
        <v>52.262880103105694</v>
      </c>
      <c r="E91" s="216">
        <f t="shared" si="6"/>
        <v>48.251539840375905</v>
      </c>
      <c r="F91" s="216">
        <f t="shared" si="6"/>
        <v>47.991166332557007</v>
      </c>
      <c r="G91" s="216">
        <f t="shared" si="6"/>
        <v>44.32248632683141</v>
      </c>
      <c r="H91" s="216">
        <f t="shared" si="6"/>
        <v>37.599074281716796</v>
      </c>
      <c r="I91" s="216">
        <f t="shared" si="6"/>
        <v>40.165529211330913</v>
      </c>
      <c r="J91" s="216">
        <f t="shared" si="6"/>
        <v>43.448883863380608</v>
      </c>
      <c r="K91" s="216">
        <f t="shared" si="6"/>
        <v>48.214737471003012</v>
      </c>
      <c r="L91" s="216">
        <f t="shared" si="6"/>
        <v>41.62950493955492</v>
      </c>
      <c r="M91" s="216">
        <f t="shared" si="6"/>
        <v>40.334818452603976</v>
      </c>
      <c r="N91" s="216">
        <f t="shared" si="6"/>
        <v>47.228787860444271</v>
      </c>
      <c r="O91" s="216">
        <f t="shared" si="6"/>
        <v>52.078541142784246</v>
      </c>
    </row>
    <row r="92" spans="2:15">
      <c r="B92" s="212" t="s">
        <v>16</v>
      </c>
      <c r="C92" s="298">
        <f t="shared" ref="C92" si="7">100-C91</f>
        <v>51.860680020541402</v>
      </c>
      <c r="D92" s="298">
        <f t="shared" ref="D92:O92" si="8">100-D91</f>
        <v>47.737119896894306</v>
      </c>
      <c r="E92" s="298">
        <f t="shared" si="8"/>
        <v>51.748460159624095</v>
      </c>
      <c r="F92" s="298">
        <f t="shared" si="8"/>
        <v>52.008833667442993</v>
      </c>
      <c r="G92" s="298">
        <f t="shared" si="8"/>
        <v>55.67751367316859</v>
      </c>
      <c r="H92" s="298">
        <f t="shared" si="8"/>
        <v>62.400925718283204</v>
      </c>
      <c r="I92" s="298">
        <f t="shared" si="8"/>
        <v>59.834470788669087</v>
      </c>
      <c r="J92" s="298">
        <f t="shared" si="8"/>
        <v>56.551116136619392</v>
      </c>
      <c r="K92" s="298">
        <f t="shared" si="8"/>
        <v>51.785262528996988</v>
      </c>
      <c r="L92" s="298">
        <f t="shared" si="8"/>
        <v>58.37049506044508</v>
      </c>
      <c r="M92" s="298">
        <f t="shared" si="8"/>
        <v>59.665181547396024</v>
      </c>
      <c r="N92" s="298">
        <f t="shared" si="8"/>
        <v>52.771212139555729</v>
      </c>
      <c r="O92" s="298">
        <f t="shared" si="8"/>
        <v>47.921458857215754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141</v>
      </c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</row>
    <row r="98" spans="2:16">
      <c r="B98" s="207"/>
      <c r="C98" s="208" t="str">
        <f>Dat_01!B140</f>
        <v>A</v>
      </c>
      <c r="D98" s="208" t="str">
        <f>Dat_01!C140</f>
        <v>M</v>
      </c>
      <c r="E98" s="208" t="str">
        <f>Dat_01!D140</f>
        <v>J</v>
      </c>
      <c r="F98" s="208" t="str">
        <f>Dat_01!E140</f>
        <v>J</v>
      </c>
      <c r="G98" s="208" t="str">
        <f>Dat_01!F140</f>
        <v>A</v>
      </c>
      <c r="H98" s="208" t="str">
        <f>Dat_01!G140</f>
        <v>S</v>
      </c>
      <c r="I98" s="208" t="str">
        <f>Dat_01!H140</f>
        <v>O</v>
      </c>
      <c r="J98" s="208" t="str">
        <f>Dat_01!I140</f>
        <v>N</v>
      </c>
      <c r="K98" s="208" t="str">
        <f>Dat_01!J140</f>
        <v>D</v>
      </c>
      <c r="L98" s="208" t="str">
        <f>Dat_01!K140</f>
        <v>E</v>
      </c>
      <c r="M98" s="208" t="str">
        <f>Dat_01!L140</f>
        <v>F</v>
      </c>
      <c r="N98" s="208" t="str">
        <f>Dat_01!M140</f>
        <v>M</v>
      </c>
      <c r="O98" s="208" t="str">
        <f>Dat_01!N140</f>
        <v>A</v>
      </c>
      <c r="P98" s="209"/>
    </row>
    <row r="99" spans="2:16">
      <c r="B99" s="210" t="s">
        <v>2</v>
      </c>
      <c r="C99" s="211">
        <f>C69</f>
        <v>2744.8811701320001</v>
      </c>
      <c r="D99" s="211">
        <f t="shared" ref="D99:O99" si="9">D69</f>
        <v>2159.2153889599999</v>
      </c>
      <c r="E99" s="211">
        <f t="shared" si="9"/>
        <v>2179.5249564280002</v>
      </c>
      <c r="F99" s="211">
        <f t="shared" si="9"/>
        <v>2206.7799777780001</v>
      </c>
      <c r="G99" s="211">
        <f t="shared" si="9"/>
        <v>1879.5875821039999</v>
      </c>
      <c r="H99" s="211">
        <f t="shared" si="9"/>
        <v>1393.78333174</v>
      </c>
      <c r="I99" s="211">
        <f t="shared" si="9"/>
        <v>1021.4348056600001</v>
      </c>
      <c r="J99" s="211">
        <f t="shared" si="9"/>
        <v>1193.7558425120001</v>
      </c>
      <c r="K99" s="211">
        <f t="shared" si="9"/>
        <v>2523.893467504</v>
      </c>
      <c r="L99" s="211">
        <f t="shared" si="9"/>
        <v>2053.5241761440002</v>
      </c>
      <c r="M99" s="211">
        <f t="shared" si="9"/>
        <v>1168.09183803</v>
      </c>
      <c r="N99" s="211">
        <f t="shared" si="9"/>
        <v>1755.8083678759999</v>
      </c>
      <c r="O99" s="211">
        <f t="shared" si="9"/>
        <v>1778.795137696</v>
      </c>
    </row>
    <row r="100" spans="2:16">
      <c r="B100" s="210" t="s">
        <v>81</v>
      </c>
      <c r="C100" s="211">
        <f t="shared" ref="C100:O112" si="10">C70</f>
        <v>153.67971897199999</v>
      </c>
      <c r="D100" s="211">
        <f t="shared" si="10"/>
        <v>238.70894406400001</v>
      </c>
      <c r="E100" s="211">
        <f t="shared" si="10"/>
        <v>105.70565758799999</v>
      </c>
      <c r="F100" s="211">
        <f t="shared" si="10"/>
        <v>115.791574032</v>
      </c>
      <c r="G100" s="211">
        <f t="shared" si="10"/>
        <v>159.74251133199999</v>
      </c>
      <c r="H100" s="211">
        <f t="shared" si="10"/>
        <v>118.239862456</v>
      </c>
      <c r="I100" s="211">
        <f t="shared" si="10"/>
        <v>232.11323870199999</v>
      </c>
      <c r="J100" s="211">
        <f t="shared" si="10"/>
        <v>202.78682990199999</v>
      </c>
      <c r="K100" s="211">
        <f t="shared" si="10"/>
        <v>269.90862404000001</v>
      </c>
      <c r="L100" s="211">
        <f t="shared" si="10"/>
        <v>215.45218475999999</v>
      </c>
      <c r="M100" s="211">
        <f t="shared" si="10"/>
        <v>285.08618899800001</v>
      </c>
      <c r="N100" s="211">
        <f t="shared" si="10"/>
        <v>280.11079998399998</v>
      </c>
      <c r="O100" s="211">
        <f t="shared" si="10"/>
        <v>336.71035219200002</v>
      </c>
    </row>
    <row r="101" spans="2:16">
      <c r="B101" s="210" t="s">
        <v>3</v>
      </c>
      <c r="C101" s="211">
        <f t="shared" si="10"/>
        <v>4197.3329299999996</v>
      </c>
      <c r="D101" s="211">
        <f t="shared" si="10"/>
        <v>4373.2505520000004</v>
      </c>
      <c r="E101" s="211">
        <f t="shared" si="10"/>
        <v>3684.3838049999999</v>
      </c>
      <c r="F101" s="211">
        <f t="shared" si="10"/>
        <v>5119.3289409999998</v>
      </c>
      <c r="G101" s="211">
        <f t="shared" si="10"/>
        <v>5151.2435720000003</v>
      </c>
      <c r="H101" s="211">
        <f t="shared" si="10"/>
        <v>4890.5065249999998</v>
      </c>
      <c r="I101" s="211">
        <f t="shared" si="10"/>
        <v>4748.3949460000003</v>
      </c>
      <c r="J101" s="211">
        <f t="shared" si="10"/>
        <v>3562.3582710000001</v>
      </c>
      <c r="K101" s="211">
        <f t="shared" si="10"/>
        <v>3922.855106</v>
      </c>
      <c r="L101" s="211">
        <f t="shared" si="10"/>
        <v>5048.424951</v>
      </c>
      <c r="M101" s="211">
        <f t="shared" si="10"/>
        <v>4771.058908</v>
      </c>
      <c r="N101" s="211">
        <f t="shared" si="10"/>
        <v>4766.7915640000001</v>
      </c>
      <c r="O101" s="211">
        <f t="shared" si="10"/>
        <v>4413.7242699999997</v>
      </c>
    </row>
    <row r="102" spans="2:16">
      <c r="B102" s="210" t="s">
        <v>4</v>
      </c>
      <c r="C102" s="211">
        <f t="shared" si="10"/>
        <v>270.69138700000002</v>
      </c>
      <c r="D102" s="211">
        <f t="shared" si="10"/>
        <v>333.03452900000002</v>
      </c>
      <c r="E102" s="211">
        <f t="shared" si="10"/>
        <v>431.99096700000001</v>
      </c>
      <c r="F102" s="211">
        <f t="shared" si="10"/>
        <v>302.41718100000003</v>
      </c>
      <c r="G102" s="211">
        <f t="shared" si="10"/>
        <v>320.34443199999998</v>
      </c>
      <c r="H102" s="211">
        <f t="shared" si="10"/>
        <v>477.92579699999999</v>
      </c>
      <c r="I102" s="211">
        <f t="shared" si="10"/>
        <v>528.18759499999999</v>
      </c>
      <c r="J102" s="211">
        <f t="shared" si="10"/>
        <v>577.43674399999998</v>
      </c>
      <c r="K102" s="211">
        <f t="shared" si="10"/>
        <v>721.09479699999997</v>
      </c>
      <c r="L102" s="211">
        <f t="shared" si="10"/>
        <v>710.59119999999996</v>
      </c>
      <c r="M102" s="211">
        <f t="shared" si="10"/>
        <v>569.21095200000002</v>
      </c>
      <c r="N102" s="211">
        <f t="shared" si="10"/>
        <v>705.89505599999995</v>
      </c>
      <c r="O102" s="211">
        <f t="shared" si="10"/>
        <v>691.80370400000004</v>
      </c>
    </row>
    <row r="103" spans="2:16">
      <c r="B103" s="210" t="s">
        <v>129</v>
      </c>
      <c r="C103" s="211">
        <f t="shared" si="10"/>
        <v>0</v>
      </c>
      <c r="D103" s="211">
        <f t="shared" si="10"/>
        <v>0</v>
      </c>
      <c r="E103" s="211">
        <f t="shared" si="10"/>
        <v>0</v>
      </c>
      <c r="F103" s="211">
        <f t="shared" si="10"/>
        <v>0</v>
      </c>
      <c r="G103" s="211">
        <f t="shared" si="10"/>
        <v>0</v>
      </c>
      <c r="H103" s="211">
        <f t="shared" si="10"/>
        <v>0</v>
      </c>
      <c r="I103" s="211">
        <f t="shared" si="10"/>
        <v>0</v>
      </c>
      <c r="J103" s="211">
        <f t="shared" si="10"/>
        <v>0</v>
      </c>
      <c r="K103" s="211">
        <f t="shared" si="10"/>
        <v>0</v>
      </c>
      <c r="L103" s="211">
        <f t="shared" si="10"/>
        <v>0</v>
      </c>
      <c r="M103" s="211">
        <f t="shared" si="10"/>
        <v>0</v>
      </c>
      <c r="N103" s="211">
        <f t="shared" si="10"/>
        <v>0</v>
      </c>
      <c r="O103" s="211">
        <f t="shared" si="10"/>
        <v>0</v>
      </c>
    </row>
    <row r="104" spans="2:16">
      <c r="B104" s="210" t="s">
        <v>130</v>
      </c>
      <c r="C104" s="211">
        <f t="shared" si="10"/>
        <v>2864.730763</v>
      </c>
      <c r="D104" s="211">
        <f t="shared" si="10"/>
        <v>2004.7763130000001</v>
      </c>
      <c r="E104" s="211">
        <f t="shared" si="10"/>
        <v>3136.247484</v>
      </c>
      <c r="F104" s="211">
        <f t="shared" si="10"/>
        <v>3024.7339200000001</v>
      </c>
      <c r="G104" s="211">
        <f t="shared" si="10"/>
        <v>3325.1556350000001</v>
      </c>
      <c r="H104" s="211">
        <f t="shared" si="10"/>
        <v>4296.9849320000003</v>
      </c>
      <c r="I104" s="211">
        <f t="shared" si="10"/>
        <v>3806.271381</v>
      </c>
      <c r="J104" s="211">
        <f t="shared" si="10"/>
        <v>5697.61654</v>
      </c>
      <c r="K104" s="211">
        <f t="shared" si="10"/>
        <v>4499.7333719999997</v>
      </c>
      <c r="L104" s="211">
        <f t="shared" si="10"/>
        <v>5197.395829</v>
      </c>
      <c r="M104" s="211">
        <f t="shared" si="10"/>
        <v>4086.8536220000001</v>
      </c>
      <c r="N104" s="211">
        <f t="shared" si="10"/>
        <v>3253.4613840000002</v>
      </c>
      <c r="O104" s="211">
        <f t="shared" si="10"/>
        <v>2573.7803039999999</v>
      </c>
    </row>
    <row r="105" spans="2:16">
      <c r="B105" s="210" t="s">
        <v>5</v>
      </c>
      <c r="C105" s="211">
        <f t="shared" si="10"/>
        <v>4042.470217</v>
      </c>
      <c r="D105" s="211">
        <f t="shared" si="10"/>
        <v>4620.8345870000003</v>
      </c>
      <c r="E105" s="211">
        <f t="shared" si="10"/>
        <v>3533.4522769999999</v>
      </c>
      <c r="F105" s="211">
        <f t="shared" si="10"/>
        <v>4122.6099919999997</v>
      </c>
      <c r="G105" s="211">
        <f t="shared" si="10"/>
        <v>3598.5848070000002</v>
      </c>
      <c r="H105" s="211">
        <f t="shared" si="10"/>
        <v>3123.0617010000001</v>
      </c>
      <c r="I105" s="211">
        <f t="shared" si="10"/>
        <v>4231.9807010000004</v>
      </c>
      <c r="J105" s="211">
        <f t="shared" si="10"/>
        <v>6320.8397629999999</v>
      </c>
      <c r="K105" s="211">
        <f t="shared" si="10"/>
        <v>6813.1904430000004</v>
      </c>
      <c r="L105" s="211">
        <f t="shared" si="10"/>
        <v>5352.3559729999997</v>
      </c>
      <c r="M105" s="211">
        <f t="shared" si="10"/>
        <v>4617.9056209999999</v>
      </c>
      <c r="N105" s="211">
        <f t="shared" si="10"/>
        <v>6415.0760730000002</v>
      </c>
      <c r="O105" s="211">
        <f t="shared" si="10"/>
        <v>5534.7993699999997</v>
      </c>
    </row>
    <row r="106" spans="2:16">
      <c r="B106" s="210" t="s">
        <v>131</v>
      </c>
      <c r="C106" s="211">
        <f t="shared" si="10"/>
        <v>1628.091469</v>
      </c>
      <c r="D106" s="211">
        <f t="shared" si="10"/>
        <v>2339.523584</v>
      </c>
      <c r="E106" s="211">
        <f t="shared" si="10"/>
        <v>2277.9588039999999</v>
      </c>
      <c r="F106" s="211">
        <f t="shared" si="10"/>
        <v>2565.0792649999999</v>
      </c>
      <c r="G106" s="211">
        <f t="shared" si="10"/>
        <v>2343.78982</v>
      </c>
      <c r="H106" s="211">
        <f t="shared" si="10"/>
        <v>1881.431521</v>
      </c>
      <c r="I106" s="211">
        <f t="shared" si="10"/>
        <v>1732.6711969999999</v>
      </c>
      <c r="J106" s="211">
        <f t="shared" si="10"/>
        <v>1320.8873840000001</v>
      </c>
      <c r="K106" s="211">
        <f t="shared" si="10"/>
        <v>993.85091399999999</v>
      </c>
      <c r="L106" s="211">
        <f t="shared" si="10"/>
        <v>1534.160668</v>
      </c>
      <c r="M106" s="211">
        <f t="shared" si="10"/>
        <v>1644.6727840000001</v>
      </c>
      <c r="N106" s="211">
        <f t="shared" si="10"/>
        <v>1398.930257</v>
      </c>
      <c r="O106" s="211">
        <f t="shared" si="10"/>
        <v>2523.8605299999999</v>
      </c>
    </row>
    <row r="107" spans="2:16">
      <c r="B107" s="210" t="s">
        <v>132</v>
      </c>
      <c r="C107" s="211">
        <f t="shared" si="10"/>
        <v>266.78751899999997</v>
      </c>
      <c r="D107" s="211">
        <f t="shared" si="10"/>
        <v>645.59745699999996</v>
      </c>
      <c r="E107" s="211">
        <f t="shared" si="10"/>
        <v>655.361716</v>
      </c>
      <c r="F107" s="211">
        <f t="shared" si="10"/>
        <v>828.49249399999997</v>
      </c>
      <c r="G107" s="211">
        <f t="shared" si="10"/>
        <v>661.44510200000002</v>
      </c>
      <c r="H107" s="211">
        <f t="shared" si="10"/>
        <v>447.44465700000001</v>
      </c>
      <c r="I107" s="211">
        <f t="shared" si="10"/>
        <v>328.16178000000002</v>
      </c>
      <c r="J107" s="211">
        <f t="shared" si="10"/>
        <v>172.42624599999999</v>
      </c>
      <c r="K107" s="211">
        <f t="shared" si="10"/>
        <v>103.956001</v>
      </c>
      <c r="L107" s="211">
        <f t="shared" si="10"/>
        <v>170.90534199999999</v>
      </c>
      <c r="M107" s="211">
        <f t="shared" si="10"/>
        <v>208.578486</v>
      </c>
      <c r="N107" s="211">
        <f t="shared" si="10"/>
        <v>120.568316</v>
      </c>
      <c r="O107" s="211">
        <f t="shared" si="10"/>
        <v>412.77760999999998</v>
      </c>
    </row>
    <row r="108" spans="2:16">
      <c r="B108" s="210" t="s">
        <v>9</v>
      </c>
      <c r="C108" s="211">
        <f t="shared" si="10"/>
        <v>2190.0643239999999</v>
      </c>
      <c r="D108" s="211">
        <f t="shared" si="10"/>
        <v>2203.7572810000001</v>
      </c>
      <c r="E108" s="211">
        <f t="shared" si="10"/>
        <v>2183.6421690000002</v>
      </c>
      <c r="F108" s="211">
        <f t="shared" si="10"/>
        <v>2238.7745369999998</v>
      </c>
      <c r="G108" s="211">
        <f t="shared" si="10"/>
        <v>2102.2103360000001</v>
      </c>
      <c r="H108" s="211">
        <f t="shared" si="10"/>
        <v>2159.0921499999999</v>
      </c>
      <c r="I108" s="211">
        <f t="shared" si="10"/>
        <v>2136.4721209999998</v>
      </c>
      <c r="J108" s="211">
        <f t="shared" si="10"/>
        <v>2168.9871889999999</v>
      </c>
      <c r="K108" s="211">
        <f t="shared" si="10"/>
        <v>2167.9654059999998</v>
      </c>
      <c r="L108" s="211">
        <f t="shared" si="10"/>
        <v>2140.854178</v>
      </c>
      <c r="M108" s="211">
        <f t="shared" si="10"/>
        <v>2101.6384309999999</v>
      </c>
      <c r="N108" s="211">
        <f t="shared" si="10"/>
        <v>2200.0099839999998</v>
      </c>
      <c r="O108" s="211">
        <f t="shared" si="10"/>
        <v>1707.3136910000001</v>
      </c>
    </row>
    <row r="109" spans="2:16">
      <c r="B109" s="210" t="s">
        <v>133</v>
      </c>
      <c r="C109" s="211">
        <f t="shared" si="10"/>
        <v>170.05904150000001</v>
      </c>
      <c r="D109" s="211">
        <f t="shared" si="10"/>
        <v>170.74740800000001</v>
      </c>
      <c r="E109" s="211">
        <f t="shared" si="10"/>
        <v>184.30269150000001</v>
      </c>
      <c r="F109" s="211">
        <f t="shared" si="10"/>
        <v>193.16825549999999</v>
      </c>
      <c r="G109" s="211">
        <f t="shared" si="10"/>
        <v>198.4023795</v>
      </c>
      <c r="H109" s="211">
        <f t="shared" si="10"/>
        <v>167.38102850000001</v>
      </c>
      <c r="I109" s="211">
        <f t="shared" si="10"/>
        <v>179.471082</v>
      </c>
      <c r="J109" s="211">
        <f t="shared" si="10"/>
        <v>164.8067685</v>
      </c>
      <c r="K109" s="211">
        <f t="shared" si="10"/>
        <v>171.82050699999999</v>
      </c>
      <c r="L109" s="211">
        <f t="shared" si="10"/>
        <v>159.55676600000001</v>
      </c>
      <c r="M109" s="211">
        <f t="shared" si="10"/>
        <v>138.52277699999999</v>
      </c>
      <c r="N109" s="211">
        <f t="shared" si="10"/>
        <v>173.90431599999999</v>
      </c>
      <c r="O109" s="211">
        <f t="shared" si="10"/>
        <v>163.790278</v>
      </c>
    </row>
    <row r="110" spans="2:16">
      <c r="B110" s="210" t="s">
        <v>134</v>
      </c>
      <c r="C110" s="211">
        <f t="shared" si="10"/>
        <v>66.322567500000005</v>
      </c>
      <c r="D110" s="211">
        <f t="shared" si="10"/>
        <v>53.009402999999999</v>
      </c>
      <c r="E110" s="211">
        <f t="shared" si="10"/>
        <v>65.533088500000005</v>
      </c>
      <c r="F110" s="211">
        <f t="shared" si="10"/>
        <v>70.069195500000006</v>
      </c>
      <c r="G110" s="211">
        <f t="shared" si="10"/>
        <v>67.951940500000006</v>
      </c>
      <c r="H110" s="211">
        <f t="shared" si="10"/>
        <v>55.639892500000002</v>
      </c>
      <c r="I110" s="211">
        <f t="shared" si="10"/>
        <v>61.837724000000001</v>
      </c>
      <c r="J110" s="211">
        <f t="shared" si="10"/>
        <v>65.901263499999999</v>
      </c>
      <c r="K110" s="211">
        <f t="shared" si="10"/>
        <v>72.807829999999996</v>
      </c>
      <c r="L110" s="211">
        <f t="shared" si="10"/>
        <v>68.975128999999995</v>
      </c>
      <c r="M110" s="211">
        <f t="shared" si="10"/>
        <v>66.906879000000004</v>
      </c>
      <c r="N110" s="211">
        <f t="shared" si="10"/>
        <v>71.978429000000006</v>
      </c>
      <c r="O110" s="211">
        <f t="shared" si="10"/>
        <v>64.712738999999999</v>
      </c>
    </row>
    <row r="111" spans="2:16">
      <c r="B111" s="210" t="s">
        <v>135</v>
      </c>
      <c r="C111" s="211">
        <f t="shared" si="10"/>
        <v>391.44703399999997</v>
      </c>
      <c r="D111" s="211">
        <f t="shared" si="10"/>
        <v>390.09081300000003</v>
      </c>
      <c r="E111" s="211">
        <f t="shared" si="10"/>
        <v>357.18564300000003</v>
      </c>
      <c r="F111" s="211">
        <f t="shared" si="10"/>
        <v>351.88360599999999</v>
      </c>
      <c r="G111" s="211">
        <f t="shared" si="10"/>
        <v>409.93549100000001</v>
      </c>
      <c r="H111" s="211">
        <f t="shared" si="10"/>
        <v>395.48078299999997</v>
      </c>
      <c r="I111" s="211">
        <f t="shared" si="10"/>
        <v>431.48129999999998</v>
      </c>
      <c r="J111" s="211">
        <f t="shared" si="10"/>
        <v>433.27252499999997</v>
      </c>
      <c r="K111" s="211">
        <f t="shared" si="10"/>
        <v>435.29937000000001</v>
      </c>
      <c r="L111" s="211">
        <f t="shared" si="10"/>
        <v>428.42865999999998</v>
      </c>
      <c r="M111" s="211">
        <f t="shared" si="10"/>
        <v>373.878626</v>
      </c>
      <c r="N111" s="211">
        <f t="shared" si="10"/>
        <v>422.58143699999999</v>
      </c>
      <c r="O111" s="211">
        <f t="shared" si="10"/>
        <v>429.863585</v>
      </c>
    </row>
    <row r="112" spans="2:16">
      <c r="B112" s="210" t="s">
        <v>136</v>
      </c>
      <c r="C112" s="211">
        <f t="shared" si="10"/>
        <v>18986.558141103997</v>
      </c>
      <c r="D112" s="211">
        <f t="shared" si="10"/>
        <v>19532.546260023999</v>
      </c>
      <c r="E112" s="211">
        <f t="shared" si="10"/>
        <v>18795.289259016001</v>
      </c>
      <c r="F112" s="211">
        <f t="shared" si="10"/>
        <v>21139.128938809998</v>
      </c>
      <c r="G112" s="211">
        <f t="shared" si="10"/>
        <v>20218.393608435999</v>
      </c>
      <c r="H112" s="211">
        <f t="shared" si="10"/>
        <v>19406.972181196001</v>
      </c>
      <c r="I112" s="211">
        <f t="shared" si="10"/>
        <v>19438.477871362</v>
      </c>
      <c r="J112" s="211">
        <f t="shared" si="10"/>
        <v>21881.075366413999</v>
      </c>
      <c r="K112" s="211">
        <f t="shared" si="10"/>
        <v>22696.375837543997</v>
      </c>
      <c r="L112" s="211">
        <f t="shared" si="10"/>
        <v>23080.625056903998</v>
      </c>
      <c r="M112" s="211">
        <f t="shared" si="10"/>
        <v>20032.405113027995</v>
      </c>
      <c r="N112" s="211">
        <f t="shared" si="10"/>
        <v>21565.115983860003</v>
      </c>
      <c r="O112" s="211">
        <f t="shared" si="10"/>
        <v>20631.931570887999</v>
      </c>
    </row>
    <row r="113" spans="2:18">
      <c r="B113" s="210" t="s">
        <v>137</v>
      </c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</row>
    <row r="114" spans="2:18">
      <c r="B114" s="210" t="s">
        <v>138</v>
      </c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</row>
    <row r="115" spans="2:18">
      <c r="B115" s="210" t="s">
        <v>139</v>
      </c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</row>
    <row r="116" spans="2:18">
      <c r="B116" s="212" t="s">
        <v>140</v>
      </c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</row>
    <row r="118" spans="2:18">
      <c r="B118" s="214" t="s">
        <v>173</v>
      </c>
      <c r="C118" s="215">
        <f>SUM(C99:C101,C105:C107,C110:C111)</f>
        <v>13491.012625604</v>
      </c>
      <c r="D118" s="215">
        <f t="shared" ref="D118:O118" si="11">SUM(D99:D101,D105:D107,D110:D111)</f>
        <v>14820.230729024002</v>
      </c>
      <c r="E118" s="215">
        <f t="shared" si="11"/>
        <v>12859.105947516</v>
      </c>
      <c r="F118" s="215">
        <f t="shared" si="11"/>
        <v>15380.03504531</v>
      </c>
      <c r="G118" s="215">
        <f t="shared" si="11"/>
        <v>14272.280825935999</v>
      </c>
      <c r="H118" s="215">
        <f t="shared" si="11"/>
        <v>12305.588273696001</v>
      </c>
      <c r="I118" s="215">
        <f t="shared" si="11"/>
        <v>12788.075692362001</v>
      </c>
      <c r="J118" s="215">
        <f t="shared" si="11"/>
        <v>13272.228124914</v>
      </c>
      <c r="K118" s="215">
        <f t="shared" si="11"/>
        <v>15135.761755544003</v>
      </c>
      <c r="L118" s="215">
        <f t="shared" si="11"/>
        <v>14872.227083904001</v>
      </c>
      <c r="M118" s="215">
        <f t="shared" si="11"/>
        <v>13136.179331028001</v>
      </c>
      <c r="N118" s="215">
        <f t="shared" si="11"/>
        <v>15231.845243860002</v>
      </c>
      <c r="O118" s="215">
        <f t="shared" si="11"/>
        <v>15495.243593887999</v>
      </c>
    </row>
    <row r="119" spans="2:18">
      <c r="B119" s="212" t="s">
        <v>174</v>
      </c>
      <c r="C119" s="213">
        <f>SUM(C102:C104,C108:C109)</f>
        <v>5495.5455154999991</v>
      </c>
      <c r="D119" s="213">
        <f t="shared" ref="D119:O119" si="12">SUM(D102:D104,D108:D109)</f>
        <v>4712.3155310000002</v>
      </c>
      <c r="E119" s="213">
        <f t="shared" si="12"/>
        <v>5936.1833114999999</v>
      </c>
      <c r="F119" s="213">
        <f t="shared" si="12"/>
        <v>5759.0938935000004</v>
      </c>
      <c r="G119" s="213">
        <f t="shared" si="12"/>
        <v>5946.1127825000003</v>
      </c>
      <c r="H119" s="213">
        <f t="shared" si="12"/>
        <v>7101.3839074999996</v>
      </c>
      <c r="I119" s="213">
        <f t="shared" si="12"/>
        <v>6650.4021789999997</v>
      </c>
      <c r="J119" s="213">
        <f t="shared" si="12"/>
        <v>8608.8472414999997</v>
      </c>
      <c r="K119" s="213">
        <f t="shared" si="12"/>
        <v>7560.6140820000001</v>
      </c>
      <c r="L119" s="213">
        <f t="shared" si="12"/>
        <v>8208.3979729999992</v>
      </c>
      <c r="M119" s="213">
        <f t="shared" si="12"/>
        <v>6896.2257819999995</v>
      </c>
      <c r="N119" s="213">
        <f t="shared" si="12"/>
        <v>6333.2707399999999</v>
      </c>
      <c r="O119" s="213">
        <f t="shared" si="12"/>
        <v>5136.6879770000005</v>
      </c>
      <c r="R119" s="217"/>
    </row>
    <row r="121" spans="2:18">
      <c r="B121" s="214" t="s">
        <v>172</v>
      </c>
      <c r="C121" s="216">
        <f>SUM(C99/SUM(C118:C119)*100,C100/SUM(C118:C119)*100,C101/SUM(C118:C119)*100,C105/SUM(C118:C119)*100,C106/SUM(C118:C119)*100,C107/SUM(C118:C119)*100,C111/SUM(C118:C119)*100,C110/SUM(C118:C119)*100)</f>
        <v>71.055599047187542</v>
      </c>
      <c r="D121" s="216">
        <f t="shared" ref="D121:O121" si="13">SUM(D99/SUM(D118:D119)*100,D100/SUM(D118:D119)*100,D101/SUM(D118:D119)*100,D105/SUM(D118:D119)*100,D106/SUM(D118:D119)*100,D107/SUM(D118:D119)*100,D111/SUM(D118:D119)*100,D110/SUM(D118:D119)*100)</f>
        <v>75.874545651816049</v>
      </c>
      <c r="E121" s="216">
        <f t="shared" si="13"/>
        <v>68.416642969980131</v>
      </c>
      <c r="F121" s="216">
        <f t="shared" si="13"/>
        <v>72.756238394824777</v>
      </c>
      <c r="G121" s="216">
        <f t="shared" si="13"/>
        <v>70.590577581697588</v>
      </c>
      <c r="H121" s="216">
        <f t="shared" si="13"/>
        <v>63.408079110966383</v>
      </c>
      <c r="I121" s="216">
        <f t="shared" si="13"/>
        <v>65.787433445096056</v>
      </c>
      <c r="J121" s="216">
        <f t="shared" si="13"/>
        <v>60.656196748382818</v>
      </c>
      <c r="K121" s="216">
        <f t="shared" si="13"/>
        <v>66.688011618606751</v>
      </c>
      <c r="L121" s="216">
        <f t="shared" si="13"/>
        <v>64.435980599474021</v>
      </c>
      <c r="M121" s="216">
        <f t="shared" si="13"/>
        <v>65.574648959574688</v>
      </c>
      <c r="N121" s="216">
        <f t="shared" si="13"/>
        <v>70.631872581904886</v>
      </c>
      <c r="O121" s="216">
        <f t="shared" si="13"/>
        <v>75.103213388668109</v>
      </c>
    </row>
    <row r="122" spans="2:18">
      <c r="B122" s="212" t="s">
        <v>175</v>
      </c>
      <c r="C122" s="298">
        <f t="shared" ref="C122:O122" si="14">100-C121</f>
        <v>28.944400952812458</v>
      </c>
      <c r="D122" s="298">
        <f t="shared" si="14"/>
        <v>24.125454348183951</v>
      </c>
      <c r="E122" s="298">
        <f t="shared" si="14"/>
        <v>31.583357030019869</v>
      </c>
      <c r="F122" s="298">
        <f t="shared" si="14"/>
        <v>27.243761605175223</v>
      </c>
      <c r="G122" s="298">
        <f t="shared" si="14"/>
        <v>29.409422418302412</v>
      </c>
      <c r="H122" s="298">
        <f t="shared" si="14"/>
        <v>36.591920889033617</v>
      </c>
      <c r="I122" s="298">
        <f t="shared" si="14"/>
        <v>34.212566554903944</v>
      </c>
      <c r="J122" s="298">
        <f t="shared" si="14"/>
        <v>39.343803251617182</v>
      </c>
      <c r="K122" s="298">
        <f t="shared" si="14"/>
        <v>33.311988381393249</v>
      </c>
      <c r="L122" s="298">
        <f t="shared" si="14"/>
        <v>35.564019400525979</v>
      </c>
      <c r="M122" s="298">
        <f t="shared" si="14"/>
        <v>34.425351040425312</v>
      </c>
      <c r="N122" s="298">
        <f t="shared" si="14"/>
        <v>29.368127418095114</v>
      </c>
      <c r="O122" s="298">
        <f t="shared" si="14"/>
        <v>24.896786611331891</v>
      </c>
    </row>
    <row r="124" spans="2:18">
      <c r="B124" s="149" t="s">
        <v>142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A</v>
      </c>
      <c r="D125" s="208" t="str">
        <f>Dat_01!C140</f>
        <v>M</v>
      </c>
      <c r="E125" s="208" t="str">
        <f>Dat_01!D140</f>
        <v>J</v>
      </c>
      <c r="F125" s="208" t="str">
        <f>Dat_01!E140</f>
        <v>J</v>
      </c>
      <c r="G125" s="208" t="str">
        <f>Dat_01!F140</f>
        <v>A</v>
      </c>
      <c r="H125" s="208" t="str">
        <f>Dat_01!G140</f>
        <v>S</v>
      </c>
      <c r="I125" s="208" t="str">
        <f>Dat_01!H140</f>
        <v>O</v>
      </c>
      <c r="J125" s="208" t="str">
        <f>Dat_01!I140</f>
        <v>N</v>
      </c>
      <c r="K125" s="208" t="str">
        <f>Dat_01!J140</f>
        <v>D</v>
      </c>
      <c r="L125" s="208" t="str">
        <f>Dat_01!K140</f>
        <v>E</v>
      </c>
      <c r="M125" s="208" t="str">
        <f>Dat_01!L140</f>
        <v>F</v>
      </c>
      <c r="N125" s="208" t="str">
        <f>Dat_01!M140</f>
        <v>M</v>
      </c>
      <c r="O125" s="208" t="str">
        <f>Dat_01!N140</f>
        <v>A</v>
      </c>
    </row>
    <row r="126" spans="2:18">
      <c r="B126" s="210" t="s">
        <v>2</v>
      </c>
      <c r="C126" s="211">
        <f>C69</f>
        <v>2744.8811701320001</v>
      </c>
      <c r="D126" s="211">
        <f t="shared" ref="D126:O126" si="15">D69</f>
        <v>2159.2153889599999</v>
      </c>
      <c r="E126" s="211">
        <f t="shared" si="15"/>
        <v>2179.5249564280002</v>
      </c>
      <c r="F126" s="211">
        <f t="shared" si="15"/>
        <v>2206.7799777780001</v>
      </c>
      <c r="G126" s="211">
        <f t="shared" si="15"/>
        <v>1879.5875821039999</v>
      </c>
      <c r="H126" s="211">
        <f t="shared" si="15"/>
        <v>1393.78333174</v>
      </c>
      <c r="I126" s="211">
        <f t="shared" si="15"/>
        <v>1021.4348056600001</v>
      </c>
      <c r="J126" s="211">
        <f t="shared" si="15"/>
        <v>1193.7558425120001</v>
      </c>
      <c r="K126" s="211">
        <f t="shared" si="15"/>
        <v>2523.893467504</v>
      </c>
      <c r="L126" s="211">
        <f t="shared" si="15"/>
        <v>2053.5241761440002</v>
      </c>
      <c r="M126" s="211">
        <f t="shared" si="15"/>
        <v>1168.09183803</v>
      </c>
      <c r="N126" s="211">
        <f t="shared" si="15"/>
        <v>1755.8083678759999</v>
      </c>
      <c r="O126" s="211">
        <f t="shared" si="15"/>
        <v>1778.795137696</v>
      </c>
      <c r="P126" s="219"/>
    </row>
    <row r="127" spans="2:18">
      <c r="B127" s="210" t="s">
        <v>81</v>
      </c>
      <c r="C127" s="211">
        <f t="shared" ref="C127:O139" si="16">C70</f>
        <v>153.67971897199999</v>
      </c>
      <c r="D127" s="211">
        <f t="shared" si="16"/>
        <v>238.70894406400001</v>
      </c>
      <c r="E127" s="211">
        <f t="shared" si="16"/>
        <v>105.70565758799999</v>
      </c>
      <c r="F127" s="211">
        <f t="shared" si="16"/>
        <v>115.791574032</v>
      </c>
      <c r="G127" s="211">
        <f t="shared" si="16"/>
        <v>159.74251133199999</v>
      </c>
      <c r="H127" s="211">
        <f t="shared" si="16"/>
        <v>118.239862456</v>
      </c>
      <c r="I127" s="211">
        <f t="shared" si="16"/>
        <v>232.11323870199999</v>
      </c>
      <c r="J127" s="211">
        <f t="shared" si="16"/>
        <v>202.78682990199999</v>
      </c>
      <c r="K127" s="211">
        <f t="shared" si="16"/>
        <v>269.90862404000001</v>
      </c>
      <c r="L127" s="211">
        <f t="shared" si="16"/>
        <v>215.45218475999999</v>
      </c>
      <c r="M127" s="211">
        <f t="shared" si="16"/>
        <v>285.08618899800001</v>
      </c>
      <c r="N127" s="211">
        <f t="shared" si="16"/>
        <v>280.11079998399998</v>
      </c>
      <c r="O127" s="211">
        <f t="shared" si="16"/>
        <v>336.71035219200002</v>
      </c>
    </row>
    <row r="128" spans="2:18">
      <c r="B128" s="210" t="s">
        <v>3</v>
      </c>
      <c r="C128" s="211">
        <f t="shared" si="16"/>
        <v>4197.3329299999996</v>
      </c>
      <c r="D128" s="211">
        <f t="shared" si="16"/>
        <v>4373.2505520000004</v>
      </c>
      <c r="E128" s="211">
        <f t="shared" si="16"/>
        <v>3684.3838049999999</v>
      </c>
      <c r="F128" s="211">
        <f t="shared" si="16"/>
        <v>5119.3289409999998</v>
      </c>
      <c r="G128" s="211">
        <f t="shared" si="16"/>
        <v>5151.2435720000003</v>
      </c>
      <c r="H128" s="211">
        <f t="shared" si="16"/>
        <v>4890.5065249999998</v>
      </c>
      <c r="I128" s="211">
        <f t="shared" si="16"/>
        <v>4748.3949460000003</v>
      </c>
      <c r="J128" s="211">
        <f t="shared" si="16"/>
        <v>3562.3582710000001</v>
      </c>
      <c r="K128" s="211">
        <f t="shared" si="16"/>
        <v>3922.855106</v>
      </c>
      <c r="L128" s="211">
        <f t="shared" si="16"/>
        <v>5048.424951</v>
      </c>
      <c r="M128" s="211">
        <f t="shared" si="16"/>
        <v>4771.058908</v>
      </c>
      <c r="N128" s="211">
        <f t="shared" si="16"/>
        <v>4766.7915640000001</v>
      </c>
      <c r="O128" s="211">
        <f t="shared" si="16"/>
        <v>4413.7242699999997</v>
      </c>
    </row>
    <row r="129" spans="2:15">
      <c r="B129" s="210" t="s">
        <v>4</v>
      </c>
      <c r="C129" s="211">
        <f t="shared" si="16"/>
        <v>270.69138700000002</v>
      </c>
      <c r="D129" s="211">
        <f t="shared" si="16"/>
        <v>333.03452900000002</v>
      </c>
      <c r="E129" s="211">
        <f t="shared" si="16"/>
        <v>431.99096700000001</v>
      </c>
      <c r="F129" s="211">
        <f t="shared" si="16"/>
        <v>302.41718100000003</v>
      </c>
      <c r="G129" s="211">
        <f t="shared" si="16"/>
        <v>320.34443199999998</v>
      </c>
      <c r="H129" s="211">
        <f t="shared" si="16"/>
        <v>477.92579699999999</v>
      </c>
      <c r="I129" s="211">
        <f t="shared" si="16"/>
        <v>528.18759499999999</v>
      </c>
      <c r="J129" s="211">
        <f t="shared" si="16"/>
        <v>577.43674399999998</v>
      </c>
      <c r="K129" s="211">
        <f t="shared" si="16"/>
        <v>721.09479699999997</v>
      </c>
      <c r="L129" s="211">
        <f t="shared" si="16"/>
        <v>710.59119999999996</v>
      </c>
      <c r="M129" s="211">
        <f t="shared" si="16"/>
        <v>569.21095200000002</v>
      </c>
      <c r="N129" s="211">
        <f t="shared" si="16"/>
        <v>705.89505599999995</v>
      </c>
      <c r="O129" s="211">
        <f t="shared" si="16"/>
        <v>691.80370400000004</v>
      </c>
    </row>
    <row r="130" spans="2:15">
      <c r="B130" s="210" t="s">
        <v>129</v>
      </c>
      <c r="C130" s="211">
        <f t="shared" si="16"/>
        <v>0</v>
      </c>
      <c r="D130" s="211">
        <f t="shared" si="16"/>
        <v>0</v>
      </c>
      <c r="E130" s="211">
        <f t="shared" si="16"/>
        <v>0</v>
      </c>
      <c r="F130" s="211">
        <f t="shared" si="16"/>
        <v>0</v>
      </c>
      <c r="G130" s="211">
        <f t="shared" si="16"/>
        <v>0</v>
      </c>
      <c r="H130" s="211">
        <f t="shared" si="16"/>
        <v>0</v>
      </c>
      <c r="I130" s="211">
        <f t="shared" si="16"/>
        <v>0</v>
      </c>
      <c r="J130" s="211">
        <f t="shared" si="16"/>
        <v>0</v>
      </c>
      <c r="K130" s="211">
        <f t="shared" si="16"/>
        <v>0</v>
      </c>
      <c r="L130" s="211">
        <f t="shared" si="16"/>
        <v>0</v>
      </c>
      <c r="M130" s="211">
        <f t="shared" si="16"/>
        <v>0</v>
      </c>
      <c r="N130" s="211">
        <f t="shared" si="16"/>
        <v>0</v>
      </c>
      <c r="O130" s="211">
        <f t="shared" si="16"/>
        <v>0</v>
      </c>
    </row>
    <row r="131" spans="2:15">
      <c r="B131" s="210" t="s">
        <v>130</v>
      </c>
      <c r="C131" s="211">
        <f t="shared" si="16"/>
        <v>2864.730763</v>
      </c>
      <c r="D131" s="211">
        <f t="shared" si="16"/>
        <v>2004.7763130000001</v>
      </c>
      <c r="E131" s="211">
        <f t="shared" si="16"/>
        <v>3136.247484</v>
      </c>
      <c r="F131" s="211">
        <f t="shared" si="16"/>
        <v>3024.7339200000001</v>
      </c>
      <c r="G131" s="211">
        <f t="shared" si="16"/>
        <v>3325.1556350000001</v>
      </c>
      <c r="H131" s="211">
        <f t="shared" si="16"/>
        <v>4296.9849320000003</v>
      </c>
      <c r="I131" s="211">
        <f t="shared" si="16"/>
        <v>3806.271381</v>
      </c>
      <c r="J131" s="211">
        <f t="shared" si="16"/>
        <v>5697.61654</v>
      </c>
      <c r="K131" s="211">
        <f t="shared" si="16"/>
        <v>4499.7333719999997</v>
      </c>
      <c r="L131" s="211">
        <f t="shared" si="16"/>
        <v>5197.395829</v>
      </c>
      <c r="M131" s="211">
        <f t="shared" si="16"/>
        <v>4086.8536220000001</v>
      </c>
      <c r="N131" s="211">
        <f t="shared" si="16"/>
        <v>3253.4613840000002</v>
      </c>
      <c r="O131" s="211">
        <f t="shared" si="16"/>
        <v>2573.7803039999999</v>
      </c>
    </row>
    <row r="132" spans="2:15">
      <c r="B132" s="210" t="s">
        <v>5</v>
      </c>
      <c r="C132" s="211">
        <f t="shared" si="16"/>
        <v>4042.470217</v>
      </c>
      <c r="D132" s="211">
        <f t="shared" si="16"/>
        <v>4620.8345870000003</v>
      </c>
      <c r="E132" s="211">
        <f t="shared" si="16"/>
        <v>3533.4522769999999</v>
      </c>
      <c r="F132" s="211">
        <f t="shared" si="16"/>
        <v>4122.6099919999997</v>
      </c>
      <c r="G132" s="211">
        <f t="shared" si="16"/>
        <v>3598.5848070000002</v>
      </c>
      <c r="H132" s="211">
        <f t="shared" si="16"/>
        <v>3123.0617010000001</v>
      </c>
      <c r="I132" s="211">
        <f t="shared" si="16"/>
        <v>4231.9807010000004</v>
      </c>
      <c r="J132" s="211">
        <f t="shared" si="16"/>
        <v>6320.8397629999999</v>
      </c>
      <c r="K132" s="211">
        <f t="shared" si="16"/>
        <v>6813.1904430000004</v>
      </c>
      <c r="L132" s="211">
        <f t="shared" si="16"/>
        <v>5352.3559729999997</v>
      </c>
      <c r="M132" s="211">
        <f t="shared" si="16"/>
        <v>4617.9056209999999</v>
      </c>
      <c r="N132" s="211">
        <f t="shared" si="16"/>
        <v>6415.0760730000002</v>
      </c>
      <c r="O132" s="211">
        <f t="shared" si="16"/>
        <v>5534.7993699999997</v>
      </c>
    </row>
    <row r="133" spans="2:15">
      <c r="B133" s="210" t="s">
        <v>131</v>
      </c>
      <c r="C133" s="211">
        <f t="shared" si="16"/>
        <v>1628.091469</v>
      </c>
      <c r="D133" s="211">
        <f t="shared" si="16"/>
        <v>2339.523584</v>
      </c>
      <c r="E133" s="211">
        <f t="shared" si="16"/>
        <v>2277.9588039999999</v>
      </c>
      <c r="F133" s="211">
        <f t="shared" si="16"/>
        <v>2565.0792649999999</v>
      </c>
      <c r="G133" s="211">
        <f t="shared" si="16"/>
        <v>2343.78982</v>
      </c>
      <c r="H133" s="211">
        <f t="shared" si="16"/>
        <v>1881.431521</v>
      </c>
      <c r="I133" s="211">
        <f t="shared" si="16"/>
        <v>1732.6711969999999</v>
      </c>
      <c r="J133" s="211">
        <f t="shared" si="16"/>
        <v>1320.8873840000001</v>
      </c>
      <c r="K133" s="211">
        <f t="shared" si="16"/>
        <v>993.85091399999999</v>
      </c>
      <c r="L133" s="211">
        <f t="shared" si="16"/>
        <v>1534.160668</v>
      </c>
      <c r="M133" s="211">
        <f t="shared" si="16"/>
        <v>1644.6727840000001</v>
      </c>
      <c r="N133" s="211">
        <f t="shared" si="16"/>
        <v>1398.930257</v>
      </c>
      <c r="O133" s="211">
        <f t="shared" si="16"/>
        <v>2523.8605299999999</v>
      </c>
    </row>
    <row r="134" spans="2:15">
      <c r="B134" s="210" t="s">
        <v>132</v>
      </c>
      <c r="C134" s="211">
        <f t="shared" si="16"/>
        <v>266.78751899999997</v>
      </c>
      <c r="D134" s="211">
        <f t="shared" si="16"/>
        <v>645.59745699999996</v>
      </c>
      <c r="E134" s="211">
        <f t="shared" si="16"/>
        <v>655.361716</v>
      </c>
      <c r="F134" s="211">
        <f t="shared" si="16"/>
        <v>828.49249399999997</v>
      </c>
      <c r="G134" s="211">
        <f t="shared" si="16"/>
        <v>661.44510200000002</v>
      </c>
      <c r="H134" s="211">
        <f t="shared" si="16"/>
        <v>447.44465700000001</v>
      </c>
      <c r="I134" s="211">
        <f t="shared" si="16"/>
        <v>328.16178000000002</v>
      </c>
      <c r="J134" s="211">
        <f t="shared" si="16"/>
        <v>172.42624599999999</v>
      </c>
      <c r="K134" s="211">
        <f t="shared" si="16"/>
        <v>103.956001</v>
      </c>
      <c r="L134" s="211">
        <f t="shared" si="16"/>
        <v>170.90534199999999</v>
      </c>
      <c r="M134" s="211">
        <f t="shared" si="16"/>
        <v>208.578486</v>
      </c>
      <c r="N134" s="211">
        <f t="shared" si="16"/>
        <v>120.568316</v>
      </c>
      <c r="O134" s="211">
        <f t="shared" si="16"/>
        <v>412.77760999999998</v>
      </c>
    </row>
    <row r="135" spans="2:15">
      <c r="B135" s="210" t="s">
        <v>9</v>
      </c>
      <c r="C135" s="211">
        <f t="shared" si="16"/>
        <v>2190.0643239999999</v>
      </c>
      <c r="D135" s="211">
        <f t="shared" si="16"/>
        <v>2203.7572810000001</v>
      </c>
      <c r="E135" s="211">
        <f t="shared" si="16"/>
        <v>2183.6421690000002</v>
      </c>
      <c r="F135" s="211">
        <f t="shared" si="16"/>
        <v>2238.7745369999998</v>
      </c>
      <c r="G135" s="211">
        <f t="shared" si="16"/>
        <v>2102.2103360000001</v>
      </c>
      <c r="H135" s="211">
        <f t="shared" si="16"/>
        <v>2159.0921499999999</v>
      </c>
      <c r="I135" s="211">
        <f t="shared" si="16"/>
        <v>2136.4721209999998</v>
      </c>
      <c r="J135" s="211">
        <f t="shared" si="16"/>
        <v>2168.9871889999999</v>
      </c>
      <c r="K135" s="211">
        <f t="shared" si="16"/>
        <v>2167.9654059999998</v>
      </c>
      <c r="L135" s="211">
        <f t="shared" si="16"/>
        <v>2140.854178</v>
      </c>
      <c r="M135" s="211">
        <f t="shared" si="16"/>
        <v>2101.6384309999999</v>
      </c>
      <c r="N135" s="211">
        <f t="shared" si="16"/>
        <v>2200.0099839999998</v>
      </c>
      <c r="O135" s="211">
        <f t="shared" si="16"/>
        <v>1707.3136910000001</v>
      </c>
    </row>
    <row r="136" spans="2:15">
      <c r="B136" s="210" t="s">
        <v>133</v>
      </c>
      <c r="C136" s="211">
        <f t="shared" si="16"/>
        <v>170.05904150000001</v>
      </c>
      <c r="D136" s="211">
        <f t="shared" si="16"/>
        <v>170.74740800000001</v>
      </c>
      <c r="E136" s="211">
        <f t="shared" si="16"/>
        <v>184.30269150000001</v>
      </c>
      <c r="F136" s="211">
        <f t="shared" si="16"/>
        <v>193.16825549999999</v>
      </c>
      <c r="G136" s="211">
        <f t="shared" si="16"/>
        <v>198.4023795</v>
      </c>
      <c r="H136" s="211">
        <f t="shared" si="16"/>
        <v>167.38102850000001</v>
      </c>
      <c r="I136" s="211">
        <f t="shared" si="16"/>
        <v>179.471082</v>
      </c>
      <c r="J136" s="211">
        <f t="shared" si="16"/>
        <v>164.8067685</v>
      </c>
      <c r="K136" s="211">
        <f t="shared" si="16"/>
        <v>171.82050699999999</v>
      </c>
      <c r="L136" s="211">
        <f t="shared" si="16"/>
        <v>159.55676600000001</v>
      </c>
      <c r="M136" s="211">
        <f t="shared" si="16"/>
        <v>138.52277699999999</v>
      </c>
      <c r="N136" s="211">
        <f t="shared" si="16"/>
        <v>173.90431599999999</v>
      </c>
      <c r="O136" s="211">
        <f t="shared" si="16"/>
        <v>163.790278</v>
      </c>
    </row>
    <row r="137" spans="2:15">
      <c r="B137" s="210" t="s">
        <v>134</v>
      </c>
      <c r="C137" s="211">
        <f t="shared" si="16"/>
        <v>66.322567500000005</v>
      </c>
      <c r="D137" s="211">
        <f t="shared" si="16"/>
        <v>53.009402999999999</v>
      </c>
      <c r="E137" s="211">
        <f t="shared" si="16"/>
        <v>65.533088500000005</v>
      </c>
      <c r="F137" s="211">
        <f t="shared" si="16"/>
        <v>70.069195500000006</v>
      </c>
      <c r="G137" s="211">
        <f t="shared" si="16"/>
        <v>67.951940500000006</v>
      </c>
      <c r="H137" s="211">
        <f t="shared" si="16"/>
        <v>55.639892500000002</v>
      </c>
      <c r="I137" s="211">
        <f t="shared" si="16"/>
        <v>61.837724000000001</v>
      </c>
      <c r="J137" s="211">
        <f t="shared" si="16"/>
        <v>65.901263499999999</v>
      </c>
      <c r="K137" s="211">
        <f t="shared" si="16"/>
        <v>72.807829999999996</v>
      </c>
      <c r="L137" s="211">
        <f t="shared" si="16"/>
        <v>68.975128999999995</v>
      </c>
      <c r="M137" s="211">
        <f t="shared" si="16"/>
        <v>66.906879000000004</v>
      </c>
      <c r="N137" s="211">
        <f t="shared" si="16"/>
        <v>71.978429000000006</v>
      </c>
      <c r="O137" s="211">
        <f t="shared" si="16"/>
        <v>64.712738999999999</v>
      </c>
    </row>
    <row r="138" spans="2:15">
      <c r="B138" s="210" t="s">
        <v>135</v>
      </c>
      <c r="C138" s="211">
        <f t="shared" si="16"/>
        <v>391.44703399999997</v>
      </c>
      <c r="D138" s="211">
        <f t="shared" si="16"/>
        <v>390.09081300000003</v>
      </c>
      <c r="E138" s="211">
        <f t="shared" si="16"/>
        <v>357.18564300000003</v>
      </c>
      <c r="F138" s="211">
        <f t="shared" si="16"/>
        <v>351.88360599999999</v>
      </c>
      <c r="G138" s="211">
        <f t="shared" si="16"/>
        <v>409.93549100000001</v>
      </c>
      <c r="H138" s="211">
        <f t="shared" si="16"/>
        <v>395.48078299999997</v>
      </c>
      <c r="I138" s="211">
        <f t="shared" si="16"/>
        <v>431.48129999999998</v>
      </c>
      <c r="J138" s="211">
        <f t="shared" si="16"/>
        <v>433.27252499999997</v>
      </c>
      <c r="K138" s="211">
        <f t="shared" si="16"/>
        <v>435.29937000000001</v>
      </c>
      <c r="L138" s="211">
        <f t="shared" si="16"/>
        <v>428.42865999999998</v>
      </c>
      <c r="M138" s="211">
        <f t="shared" si="16"/>
        <v>373.878626</v>
      </c>
      <c r="N138" s="211">
        <f t="shared" si="16"/>
        <v>422.58143699999999</v>
      </c>
      <c r="O138" s="211">
        <f t="shared" si="16"/>
        <v>429.863585</v>
      </c>
    </row>
    <row r="139" spans="2:15">
      <c r="B139" s="210" t="s">
        <v>136</v>
      </c>
      <c r="C139" s="211">
        <f t="shared" si="16"/>
        <v>18986.558141103997</v>
      </c>
      <c r="D139" s="211">
        <f t="shared" si="16"/>
        <v>19532.546260023999</v>
      </c>
      <c r="E139" s="211">
        <f t="shared" si="16"/>
        <v>18795.289259016001</v>
      </c>
      <c r="F139" s="211">
        <f t="shared" si="16"/>
        <v>21139.128938809998</v>
      </c>
      <c r="G139" s="211">
        <f t="shared" si="16"/>
        <v>20218.393608435999</v>
      </c>
      <c r="H139" s="211">
        <f t="shared" si="16"/>
        <v>19406.972181196001</v>
      </c>
      <c r="I139" s="211">
        <f t="shared" si="16"/>
        <v>19438.477871362</v>
      </c>
      <c r="J139" s="211">
        <f t="shared" si="16"/>
        <v>21881.075366413999</v>
      </c>
      <c r="K139" s="211">
        <f t="shared" si="16"/>
        <v>22696.375837543997</v>
      </c>
      <c r="L139" s="211">
        <f t="shared" si="16"/>
        <v>23080.625056903998</v>
      </c>
      <c r="M139" s="211">
        <f t="shared" si="16"/>
        <v>20032.405113027995</v>
      </c>
      <c r="N139" s="211">
        <f t="shared" si="16"/>
        <v>21565.115983860003</v>
      </c>
      <c r="O139" s="211">
        <f t="shared" si="16"/>
        <v>20631.931570887999</v>
      </c>
    </row>
    <row r="140" spans="2:15">
      <c r="B140" s="210" t="s">
        <v>137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138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139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140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9139.9999766319997</v>
      </c>
      <c r="D145" s="215">
        <f t="shared" ref="D145:N145" si="17">SUM(D126,D132:D134,D137:D138)</f>
        <v>10208.271232960002</v>
      </c>
      <c r="E145" s="215">
        <f t="shared" si="17"/>
        <v>9069.0164849280009</v>
      </c>
      <c r="F145" s="215">
        <f t="shared" si="17"/>
        <v>10144.914530278</v>
      </c>
      <c r="G145" s="215">
        <f t="shared" si="17"/>
        <v>8961.2947426039991</v>
      </c>
      <c r="H145" s="215">
        <f t="shared" si="17"/>
        <v>7296.8418862400013</v>
      </c>
      <c r="I145" s="215">
        <f t="shared" si="17"/>
        <v>7807.567507660001</v>
      </c>
      <c r="J145" s="215">
        <f t="shared" si="17"/>
        <v>9507.0830240120013</v>
      </c>
      <c r="K145" s="215">
        <f t="shared" si="17"/>
        <v>10942.998025504001</v>
      </c>
      <c r="L145" s="215">
        <f t="shared" si="17"/>
        <v>9608.3499481439994</v>
      </c>
      <c r="M145" s="215">
        <f t="shared" si="17"/>
        <v>8080.0342340300003</v>
      </c>
      <c r="N145" s="215">
        <f t="shared" si="17"/>
        <v>10184.942879876002</v>
      </c>
      <c r="O145" s="215">
        <f>SUM(O126,O132:O134,O137:O138)</f>
        <v>10744.808971695998</v>
      </c>
    </row>
    <row r="146" spans="2:15">
      <c r="B146" s="212" t="s">
        <v>16</v>
      </c>
      <c r="C146" s="213">
        <f>SUM(C127:C131,C135:C136)</f>
        <v>9846.5581644720005</v>
      </c>
      <c r="D146" s="213">
        <f t="shared" ref="D146:O146" si="18">SUM(D127:D131,D135:D136)</f>
        <v>9324.2750270640008</v>
      </c>
      <c r="E146" s="213">
        <f t="shared" si="18"/>
        <v>9726.272774088</v>
      </c>
      <c r="F146" s="213">
        <f t="shared" si="18"/>
        <v>10994.214408532</v>
      </c>
      <c r="G146" s="213">
        <f t="shared" si="18"/>
        <v>11257.098865831998</v>
      </c>
      <c r="H146" s="213">
        <f t="shared" si="18"/>
        <v>12110.130294956001</v>
      </c>
      <c r="I146" s="213">
        <f t="shared" si="18"/>
        <v>11630.910363702002</v>
      </c>
      <c r="J146" s="213">
        <f t="shared" si="18"/>
        <v>12373.992342402</v>
      </c>
      <c r="K146" s="213">
        <f t="shared" si="18"/>
        <v>11753.377812039998</v>
      </c>
      <c r="L146" s="213">
        <f t="shared" si="18"/>
        <v>13472.275108759999</v>
      </c>
      <c r="M146" s="213">
        <f t="shared" si="18"/>
        <v>11952.370878997999</v>
      </c>
      <c r="N146" s="213">
        <f t="shared" si="18"/>
        <v>11380.173103984002</v>
      </c>
      <c r="O146" s="213">
        <f t="shared" si="18"/>
        <v>9887.1225991920001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48.139319979458598</v>
      </c>
      <c r="D148" s="216">
        <f t="shared" ref="D148:I148" si="19">SUM(D126/SUM(D145:D146)*100,D132/SUM(D145:D146)*100,D133/SUM(D145:D146)*100,D134/SUM(D145:D146)*100,D137/SUM(D145:D146)*100,D138/SUM(D145:D146)*100)</f>
        <v>52.262880103105694</v>
      </c>
      <c r="E148" s="216">
        <f t="shared" si="19"/>
        <v>48.251539840375905</v>
      </c>
      <c r="F148" s="216">
        <f t="shared" si="19"/>
        <v>47.991166332557007</v>
      </c>
      <c r="G148" s="216">
        <f t="shared" si="19"/>
        <v>44.32248632683141</v>
      </c>
      <c r="H148" s="216">
        <f t="shared" si="19"/>
        <v>37.599074281716796</v>
      </c>
      <c r="I148" s="216">
        <f t="shared" si="19"/>
        <v>40.165529211330913</v>
      </c>
      <c r="J148" s="216">
        <f>SUM(J126/SUM(J145:J146)*100,J132/SUM(J145:J146)*100,J133/SUM(J145:J146)*100,J134/SUM(J145:J146)*100,J137/SUM(J145:J146)*100,J138/SUM(J145:J146)*100)</f>
        <v>43.448883863380608</v>
      </c>
      <c r="K148" s="216">
        <f t="shared" ref="K148:O148" si="20">SUM(K126/SUM(K145:K146)*100,K132/SUM(K145:K146)*100,K133/SUM(K145:K146)*100,K134/SUM(K145:K146)*100,K137/SUM(K145:K146)*100,K138/SUM(K145:K146)*100)</f>
        <v>48.214737471003012</v>
      </c>
      <c r="L148" s="216">
        <f t="shared" si="20"/>
        <v>41.62950493955492</v>
      </c>
      <c r="M148" s="216">
        <f t="shared" si="20"/>
        <v>40.334818452603976</v>
      </c>
      <c r="N148" s="216">
        <f t="shared" si="20"/>
        <v>47.228787860444271</v>
      </c>
      <c r="O148" s="216">
        <f t="shared" si="20"/>
        <v>52.078541142784246</v>
      </c>
    </row>
    <row r="149" spans="2:15">
      <c r="B149" s="212" t="s">
        <v>16</v>
      </c>
      <c r="C149" s="298">
        <f t="shared" ref="C149" si="21">100-C148</f>
        <v>51.860680020541402</v>
      </c>
      <c r="D149" s="298">
        <f t="shared" ref="D149:J149" si="22">100-D148</f>
        <v>47.737119896894306</v>
      </c>
      <c r="E149" s="298">
        <f t="shared" si="22"/>
        <v>51.748460159624095</v>
      </c>
      <c r="F149" s="298">
        <f t="shared" si="22"/>
        <v>52.008833667442993</v>
      </c>
      <c r="G149" s="298">
        <f t="shared" si="22"/>
        <v>55.67751367316859</v>
      </c>
      <c r="H149" s="298">
        <f t="shared" si="22"/>
        <v>62.400925718283204</v>
      </c>
      <c r="I149" s="298">
        <f t="shared" si="22"/>
        <v>59.834470788669087</v>
      </c>
      <c r="J149" s="298">
        <f t="shared" si="22"/>
        <v>56.551116136619392</v>
      </c>
      <c r="K149" s="298">
        <f t="shared" ref="K149:O149" si="23">100-K148</f>
        <v>51.785262528996988</v>
      </c>
      <c r="L149" s="298">
        <f t="shared" si="23"/>
        <v>58.37049506044508</v>
      </c>
      <c r="M149" s="298">
        <f t="shared" si="23"/>
        <v>59.665181547396024</v>
      </c>
      <c r="N149" s="298">
        <f t="shared" si="23"/>
        <v>52.771212139555729</v>
      </c>
      <c r="O149" s="298">
        <f t="shared" si="23"/>
        <v>47.921458857215754</v>
      </c>
    </row>
    <row r="153" spans="2:15">
      <c r="B153" s="149" t="s">
        <v>24</v>
      </c>
    </row>
    <row r="154" spans="2:15">
      <c r="B154" s="214"/>
      <c r="C154" s="214"/>
      <c r="D154" s="332" t="s">
        <v>22</v>
      </c>
      <c r="E154" s="332" t="s">
        <v>23</v>
      </c>
    </row>
    <row r="155" spans="2:15">
      <c r="B155" s="212" t="s">
        <v>143</v>
      </c>
      <c r="C155" s="212" t="s">
        <v>144</v>
      </c>
      <c r="D155" s="333"/>
      <c r="E155" s="333"/>
    </row>
    <row r="156" spans="2:15">
      <c r="B156" s="220">
        <f>DATE(YEAR(Dat_01!B$2),MONTH(Dat_01!B$2),Dat_01!A180)</f>
        <v>44652</v>
      </c>
      <c r="C156" s="210">
        <f>Dat_01!A180</f>
        <v>1</v>
      </c>
      <c r="D156" s="221">
        <f>Dat_01!W180</f>
        <v>319.42587699999996</v>
      </c>
      <c r="E156" s="222">
        <f>Dat_01!V180</f>
        <v>40.954235809067448</v>
      </c>
    </row>
    <row r="157" spans="2:15">
      <c r="B157" s="220">
        <f>DATE(YEAR(Dat_01!B$2),MONTH(Dat_01!B$2),Dat_01!A181)</f>
        <v>44653</v>
      </c>
      <c r="C157" s="210">
        <f>Dat_01!A181</f>
        <v>2</v>
      </c>
      <c r="D157" s="221">
        <f>Dat_01!W181</f>
        <v>251.407815</v>
      </c>
      <c r="E157" s="222">
        <f>Dat_01!V181</f>
        <v>34.951086358455989</v>
      </c>
    </row>
    <row r="158" spans="2:15">
      <c r="B158" s="220">
        <f>DATE(YEAR(Dat_01!B$2),MONTH(Dat_01!B$2),Dat_01!A182)</f>
        <v>44654</v>
      </c>
      <c r="C158" s="210">
        <f>Dat_01!A182</f>
        <v>3</v>
      </c>
      <c r="D158" s="221">
        <f>Dat_01!W182</f>
        <v>244.29902600000003</v>
      </c>
      <c r="E158" s="222">
        <f>Dat_01!V182</f>
        <v>35.849381532789401</v>
      </c>
    </row>
    <row r="159" spans="2:15">
      <c r="B159" s="220">
        <f>DATE(YEAR(Dat_01!B$2),MONTH(Dat_01!B$2),Dat_01!A183)</f>
        <v>44655</v>
      </c>
      <c r="C159" s="210">
        <f>Dat_01!A183</f>
        <v>4</v>
      </c>
      <c r="D159" s="221">
        <f>Dat_01!W183</f>
        <v>297.46807000000001</v>
      </c>
      <c r="E159" s="222">
        <f>Dat_01!V183</f>
        <v>40.231192256209823</v>
      </c>
    </row>
    <row r="160" spans="2:15">
      <c r="B160" s="220">
        <f>DATE(YEAR(Dat_01!B$2),MONTH(Dat_01!B$2),Dat_01!A184)</f>
        <v>44656</v>
      </c>
      <c r="C160" s="210">
        <f>Dat_01!A184</f>
        <v>5</v>
      </c>
      <c r="D160" s="221">
        <f>Dat_01!W184</f>
        <v>179.118662</v>
      </c>
      <c r="E160" s="222">
        <f>Dat_01!V184</f>
        <v>24.39266624629353</v>
      </c>
    </row>
    <row r="161" spans="2:5">
      <c r="B161" s="220">
        <f>DATE(YEAR(Dat_01!B$2),MONTH(Dat_01!B$2),Dat_01!A185)</f>
        <v>44657</v>
      </c>
      <c r="C161" s="210">
        <f>Dat_01!A185</f>
        <v>6</v>
      </c>
      <c r="D161" s="221">
        <f>Dat_01!W185</f>
        <v>139.99740599999998</v>
      </c>
      <c r="E161" s="222">
        <f>Dat_01!V185</f>
        <v>18.505806425464648</v>
      </c>
    </row>
    <row r="162" spans="2:5">
      <c r="B162" s="220">
        <f>DATE(YEAR(Dat_01!B$2),MONTH(Dat_01!B$2),Dat_01!A186)</f>
        <v>44658</v>
      </c>
      <c r="C162" s="210">
        <f>Dat_01!A186</f>
        <v>7</v>
      </c>
      <c r="D162" s="221">
        <f>Dat_01!W186</f>
        <v>291.09868800000004</v>
      </c>
      <c r="E162" s="222">
        <f>Dat_01!V186</f>
        <v>37.106360343972113</v>
      </c>
    </row>
    <row r="163" spans="2:5">
      <c r="B163" s="220">
        <f>DATE(YEAR(Dat_01!B$2),MONTH(Dat_01!B$2),Dat_01!A187)</f>
        <v>44659</v>
      </c>
      <c r="C163" s="210">
        <f>Dat_01!A187</f>
        <v>8</v>
      </c>
      <c r="D163" s="221">
        <f>Dat_01!W187</f>
        <v>340.69507099999998</v>
      </c>
      <c r="E163" s="222">
        <f>Dat_01!V187</f>
        <v>43.255400826371734</v>
      </c>
    </row>
    <row r="164" spans="2:5">
      <c r="B164" s="220">
        <f>DATE(YEAR(Dat_01!B$2),MONTH(Dat_01!B$2),Dat_01!A188)</f>
        <v>44660</v>
      </c>
      <c r="C164" s="210">
        <f>Dat_01!A188</f>
        <v>9</v>
      </c>
      <c r="D164" s="221">
        <f>Dat_01!W188</f>
        <v>143.248672</v>
      </c>
      <c r="E164" s="222">
        <f>Dat_01!V188</f>
        <v>21.725086674329841</v>
      </c>
    </row>
    <row r="165" spans="2:5">
      <c r="B165" s="220">
        <f>DATE(YEAR(Dat_01!B$2),MONTH(Dat_01!B$2),Dat_01!A189)</f>
        <v>44661</v>
      </c>
      <c r="C165" s="210">
        <f>Dat_01!A189</f>
        <v>10</v>
      </c>
      <c r="D165" s="221">
        <f>Dat_01!W189</f>
        <v>188.45239799999999</v>
      </c>
      <c r="E165" s="222">
        <f>Dat_01!V189</f>
        <v>29.040603492010714</v>
      </c>
    </row>
    <row r="166" spans="2:5">
      <c r="B166" s="220">
        <f>DATE(YEAR(Dat_01!B$2),MONTH(Dat_01!B$2),Dat_01!A190)</f>
        <v>44662</v>
      </c>
      <c r="C166" s="210">
        <f>Dat_01!A190</f>
        <v>11</v>
      </c>
      <c r="D166" s="221">
        <f>Dat_01!W190</f>
        <v>342.23361200000005</v>
      </c>
      <c r="E166" s="222">
        <f>Dat_01!V190</f>
        <v>45.842502818136978</v>
      </c>
    </row>
    <row r="167" spans="2:5">
      <c r="B167" s="220">
        <f>DATE(YEAR(Dat_01!B$2),MONTH(Dat_01!B$2),Dat_01!A191)</f>
        <v>44663</v>
      </c>
      <c r="C167" s="210">
        <f>Dat_01!A191</f>
        <v>12</v>
      </c>
      <c r="D167" s="221">
        <f>Dat_01!W191</f>
        <v>172.471059</v>
      </c>
      <c r="E167" s="222">
        <f>Dat_01!V191</f>
        <v>24.081816597245371</v>
      </c>
    </row>
    <row r="168" spans="2:5">
      <c r="B168" s="220">
        <f>DATE(YEAR(Dat_01!B$2),MONTH(Dat_01!B$2),Dat_01!A192)</f>
        <v>44664</v>
      </c>
      <c r="C168" s="210">
        <f>Dat_01!A192</f>
        <v>13</v>
      </c>
      <c r="D168" s="221">
        <f>Dat_01!W192</f>
        <v>115.374332</v>
      </c>
      <c r="E168" s="222">
        <f>Dat_01!V192</f>
        <v>16.833984628897831</v>
      </c>
    </row>
    <row r="169" spans="2:5">
      <c r="B169" s="220">
        <f>DATE(YEAR(Dat_01!B$2),MONTH(Dat_01!B$2),Dat_01!A193)</f>
        <v>44665</v>
      </c>
      <c r="C169" s="210">
        <f>Dat_01!A193</f>
        <v>14</v>
      </c>
      <c r="D169" s="221">
        <f>Dat_01!W193</f>
        <v>111.75659399999999</v>
      </c>
      <c r="E169" s="222">
        <f>Dat_01!V193</f>
        <v>17.802532858578452</v>
      </c>
    </row>
    <row r="170" spans="2:5">
      <c r="B170" s="220">
        <f>DATE(YEAR(Dat_01!B$2),MONTH(Dat_01!B$2),Dat_01!A194)</f>
        <v>44666</v>
      </c>
      <c r="C170" s="210">
        <f>Dat_01!A194</f>
        <v>15</v>
      </c>
      <c r="D170" s="221">
        <f>Dat_01!W194</f>
        <v>61.965980000000002</v>
      </c>
      <c r="E170" s="222">
        <f>Dat_01!V194</f>
        <v>10.389448202940162</v>
      </c>
    </row>
    <row r="171" spans="2:5">
      <c r="B171" s="220">
        <f>DATE(YEAR(Dat_01!B$2),MONTH(Dat_01!B$2),Dat_01!A195)</f>
        <v>44667</v>
      </c>
      <c r="C171" s="210">
        <f>Dat_01!A195</f>
        <v>16</v>
      </c>
      <c r="D171" s="221">
        <f>Dat_01!W195</f>
        <v>132.32562200000001</v>
      </c>
      <c r="E171" s="222">
        <f>Dat_01!V195</f>
        <v>21.003120408828742</v>
      </c>
    </row>
    <row r="172" spans="2:5">
      <c r="B172" s="220">
        <f>DATE(YEAR(Dat_01!B$2),MONTH(Dat_01!B$2),Dat_01!A196)</f>
        <v>44668</v>
      </c>
      <c r="C172" s="210">
        <f>Dat_01!A196</f>
        <v>17</v>
      </c>
      <c r="D172" s="221">
        <f>Dat_01!W196</f>
        <v>121.604596</v>
      </c>
      <c r="E172" s="222">
        <f>Dat_01!V196</f>
        <v>20.533095549203903</v>
      </c>
    </row>
    <row r="173" spans="2:5">
      <c r="B173" s="220">
        <f>DATE(YEAR(Dat_01!B$2),MONTH(Dat_01!B$2),Dat_01!A197)</f>
        <v>44669</v>
      </c>
      <c r="C173" s="210">
        <f>Dat_01!A197</f>
        <v>18</v>
      </c>
      <c r="D173" s="221">
        <f>Dat_01!W197</f>
        <v>169.32138699999999</v>
      </c>
      <c r="E173" s="222">
        <f>Dat_01!V197</f>
        <v>26.262103084084089</v>
      </c>
    </row>
    <row r="174" spans="2:5">
      <c r="B174" s="220">
        <f>DATE(YEAR(Dat_01!B$2),MONTH(Dat_01!B$2),Dat_01!A198)</f>
        <v>44670</v>
      </c>
      <c r="C174" s="210">
        <f>Dat_01!A198</f>
        <v>19</v>
      </c>
      <c r="D174" s="221">
        <f>Dat_01!W198</f>
        <v>240.23095699999999</v>
      </c>
      <c r="E174" s="222">
        <f>Dat_01!V198</f>
        <v>35.222219210782448</v>
      </c>
    </row>
    <row r="175" spans="2:5">
      <c r="B175" s="220">
        <f>DATE(YEAR(Dat_01!B$2),MONTH(Dat_01!B$2),Dat_01!A199)</f>
        <v>44671</v>
      </c>
      <c r="C175" s="210">
        <f>Dat_01!A199</f>
        <v>20</v>
      </c>
      <c r="D175" s="221">
        <f>Dat_01!W199</f>
        <v>340.03783700000002</v>
      </c>
      <c r="E175" s="222">
        <f>Dat_01!V199</f>
        <v>45.946304542877883</v>
      </c>
    </row>
    <row r="176" spans="2:5">
      <c r="B176" s="220">
        <f>DATE(YEAR(Dat_01!B$2),MONTH(Dat_01!B$2),Dat_01!A200)</f>
        <v>44672</v>
      </c>
      <c r="C176" s="210">
        <f>Dat_01!A200</f>
        <v>21</v>
      </c>
      <c r="D176" s="221">
        <f>Dat_01!W200</f>
        <v>218.93901399999999</v>
      </c>
      <c r="E176" s="222">
        <f>Dat_01!V200</f>
        <v>29.774352325890096</v>
      </c>
    </row>
    <row r="177" spans="2:27">
      <c r="B177" s="220">
        <f>DATE(YEAR(Dat_01!B$2),MONTH(Dat_01!B$2),Dat_01!A201)</f>
        <v>44673</v>
      </c>
      <c r="C177" s="210">
        <f>Dat_01!A201</f>
        <v>22</v>
      </c>
      <c r="D177" s="221">
        <f>Dat_01!W201</f>
        <v>178.84892300000001</v>
      </c>
      <c r="E177" s="222">
        <f>Dat_01!V201</f>
        <v>27.850583477320427</v>
      </c>
    </row>
    <row r="178" spans="2:27">
      <c r="B178" s="220">
        <f>DATE(YEAR(Dat_01!B$2),MONTH(Dat_01!B$2),Dat_01!A202)</f>
        <v>44674</v>
      </c>
      <c r="C178" s="210">
        <f>Dat_01!A202</f>
        <v>23</v>
      </c>
      <c r="D178" s="221">
        <f>Dat_01!W202</f>
        <v>347.30294400000002</v>
      </c>
      <c r="E178" s="222">
        <f>Dat_01!V202</f>
        <v>47.341136290147709</v>
      </c>
    </row>
    <row r="179" spans="2:27">
      <c r="B179" s="220">
        <f>DATE(YEAR(Dat_01!B$2),MONTH(Dat_01!B$2),Dat_01!A203)</f>
        <v>44675</v>
      </c>
      <c r="C179" s="210">
        <f>Dat_01!A203</f>
        <v>24</v>
      </c>
      <c r="D179" s="221">
        <f>Dat_01!W203</f>
        <v>169.15166500000001</v>
      </c>
      <c r="E179" s="222">
        <f>Dat_01!V203</f>
        <v>26.02710840109258</v>
      </c>
    </row>
    <row r="180" spans="2:27">
      <c r="B180" s="220">
        <f>DATE(YEAR(Dat_01!B$2),MONTH(Dat_01!B$2),Dat_01!A204)</f>
        <v>44676</v>
      </c>
      <c r="C180" s="210">
        <f>Dat_01!A204</f>
        <v>25</v>
      </c>
      <c r="D180" s="221">
        <f>Dat_01!W204</f>
        <v>33.181423000000002</v>
      </c>
      <c r="E180" s="222">
        <f>Dat_01!V204</f>
        <v>5.2795781436976039</v>
      </c>
    </row>
    <row r="181" spans="2:27">
      <c r="B181" s="220">
        <f>DATE(YEAR(Dat_01!B$2),MONTH(Dat_01!B$2),Dat_01!A205)</f>
        <v>44677</v>
      </c>
      <c r="C181" s="210">
        <f>Dat_01!A205</f>
        <v>26</v>
      </c>
      <c r="D181" s="221">
        <f>Dat_01!W205</f>
        <v>64.825469999999996</v>
      </c>
      <c r="E181" s="222">
        <f>Dat_01!V205</f>
        <v>9.6980167848665886</v>
      </c>
    </row>
    <row r="182" spans="2:27">
      <c r="B182" s="220">
        <f>DATE(YEAR(Dat_01!B$2),MONTH(Dat_01!B$2),Dat_01!A206)</f>
        <v>44678</v>
      </c>
      <c r="C182" s="210">
        <f>Dat_01!A206</f>
        <v>27</v>
      </c>
      <c r="D182" s="221">
        <f>Dat_01!W206</f>
        <v>42.705824</v>
      </c>
      <c r="E182" s="222">
        <f>Dat_01!V206</f>
        <v>6.5406411842049454</v>
      </c>
    </row>
    <row r="183" spans="2:27">
      <c r="B183" s="220">
        <f>DATE(YEAR(Dat_01!B$2),MONTH(Dat_01!B$2),Dat_01!A207)</f>
        <v>44679</v>
      </c>
      <c r="C183" s="210">
        <f>Dat_01!A207</f>
        <v>28</v>
      </c>
      <c r="D183" s="221">
        <f>Dat_01!W207</f>
        <v>83.482683999999992</v>
      </c>
      <c r="E183" s="222">
        <f>Dat_01!V207</f>
        <v>13.056932837603757</v>
      </c>
    </row>
    <row r="184" spans="2:27">
      <c r="B184" s="220">
        <f>DATE(YEAR(Dat_01!B$2),MONTH(Dat_01!B$2),Dat_01!A208)</f>
        <v>44680</v>
      </c>
      <c r="C184" s="210">
        <f>Dat_01!A208</f>
        <v>29</v>
      </c>
      <c r="D184" s="221">
        <f>Dat_01!W208</f>
        <v>76.700134000000006</v>
      </c>
      <c r="E184" s="222">
        <f>Dat_01!V208</f>
        <v>11.225277886108481</v>
      </c>
    </row>
    <row r="185" spans="2:27">
      <c r="B185" s="220">
        <f>DATE(YEAR(Dat_01!B$2),MONTH(Dat_01!B$2),Dat_01!A209)</f>
        <v>44681</v>
      </c>
      <c r="C185" s="210">
        <f>Dat_01!A209</f>
        <v>30</v>
      </c>
      <c r="D185" s="221">
        <f>Dat_01!W209</f>
        <v>117.127628</v>
      </c>
      <c r="E185" s="222">
        <f>Dat_01!V209</f>
        <v>18.142117406838139</v>
      </c>
    </row>
    <row r="186" spans="2:27">
      <c r="B186" s="220">
        <f>DATE(YEAR(Dat_01!B$2),MONTH(Dat_01!B$2),Dat_01!A210)</f>
        <v>44651</v>
      </c>
      <c r="C186" s="210">
        <f>Dat_01!A210</f>
        <v>0</v>
      </c>
      <c r="D186" s="221" t="str">
        <f>Dat_01!W210</f>
        <v/>
      </c>
      <c r="E186" s="222" t="str">
        <f>Dat_01!V210</f>
        <v/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145</v>
      </c>
      <c r="C189" s="212"/>
      <c r="D189" s="224">
        <f>MAX(D156:D186)</f>
        <v>347.30294400000002</v>
      </c>
      <c r="E189" s="225">
        <f>VLOOKUP(D189,D156:E186,2)</f>
        <v>18.142117406838139</v>
      </c>
    </row>
    <row r="191" spans="2:27">
      <c r="B191" s="149" t="s">
        <v>146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24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24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25">D193/D194*100</f>
        <v>36.002488773910443</v>
      </c>
      <c r="E197" s="229">
        <f t="shared" si="25"/>
        <v>37.087683636699623</v>
      </c>
      <c r="F197" s="229">
        <f t="shared" si="25"/>
        <v>36.838019330547176</v>
      </c>
      <c r="G197" s="229">
        <f t="shared" si="25"/>
        <v>36.722643767342163</v>
      </c>
      <c r="H197" s="229">
        <f t="shared" si="25"/>
        <v>36.443272140229546</v>
      </c>
      <c r="I197" s="229">
        <f t="shared" si="25"/>
        <v>36.528317389005188</v>
      </c>
      <c r="J197" s="229">
        <f t="shared" si="25"/>
        <v>36.068265152372909</v>
      </c>
      <c r="K197" s="229">
        <f t="shared" si="25"/>
        <v>32.897180339040801</v>
      </c>
      <c r="L197" s="229">
        <f t="shared" si="25"/>
        <v>30.175996778091026</v>
      </c>
      <c r="M197" s="229">
        <f t="shared" si="25"/>
        <v>27.90742778433064</v>
      </c>
      <c r="N197" s="229">
        <f t="shared" si="25"/>
        <v>25.660784552969524</v>
      </c>
      <c r="O197" s="229">
        <f t="shared" si="25"/>
        <v>21.726590385204979</v>
      </c>
      <c r="P197" s="229">
        <f t="shared" si="25"/>
        <v>20.165676481061528</v>
      </c>
      <c r="Q197" s="229">
        <f t="shared" si="25"/>
        <v>18.370685180136611</v>
      </c>
      <c r="R197" s="229">
        <f t="shared" si="25"/>
        <v>20.148629471954592</v>
      </c>
      <c r="S197" s="229">
        <f t="shared" si="25"/>
        <v>20.62848240187877</v>
      </c>
      <c r="T197" s="229">
        <f t="shared" si="25"/>
        <v>21.841300873558943</v>
      </c>
      <c r="U197" s="229">
        <f t="shared" si="25"/>
        <v>22.288581166796583</v>
      </c>
      <c r="V197" s="229">
        <f t="shared" si="25"/>
        <v>23.372528000998528</v>
      </c>
      <c r="W197" s="229">
        <f t="shared" si="25"/>
        <v>24.590277146751475</v>
      </c>
      <c r="X197" s="229">
        <f t="shared" si="25"/>
        <v>25.222170927347221</v>
      </c>
      <c r="Y197" s="229">
        <f t="shared" si="25"/>
        <v>26.451385471824214</v>
      </c>
      <c r="Z197" s="229">
        <f t="shared" si="25"/>
        <v>28.780537764017232</v>
      </c>
      <c r="AA197" s="229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115" zoomScale="90" zoomScaleNormal="90" workbookViewId="0">
      <selection activeCell="O159" sqref="O159"/>
    </sheetView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230</v>
      </c>
      <c r="B2" s="308" t="s">
        <v>231</v>
      </c>
    </row>
    <row r="4" spans="1:13">
      <c r="A4" s="174" t="s">
        <v>30</v>
      </c>
      <c r="B4" s="334" t="s">
        <v>230</v>
      </c>
      <c r="C4" s="335"/>
      <c r="D4" s="335"/>
      <c r="E4" s="335"/>
      <c r="F4" s="335"/>
      <c r="G4" s="335"/>
      <c r="H4" s="335"/>
      <c r="I4" s="335"/>
      <c r="J4" s="335"/>
      <c r="L4" s="302" t="s">
        <v>106</v>
      </c>
      <c r="M4" s="303" t="s">
        <v>207</v>
      </c>
    </row>
    <row r="5" spans="1:13">
      <c r="A5" s="174" t="s">
        <v>105</v>
      </c>
      <c r="B5" s="336" t="s">
        <v>98</v>
      </c>
      <c r="C5" s="337"/>
      <c r="D5" s="337"/>
      <c r="E5" s="337"/>
      <c r="F5" s="337"/>
      <c r="G5" s="337"/>
      <c r="H5" s="337"/>
      <c r="I5" s="337"/>
      <c r="J5" s="337"/>
      <c r="L5" s="302" t="s">
        <v>30</v>
      </c>
      <c r="M5" s="303" t="s">
        <v>234</v>
      </c>
    </row>
    <row r="6" spans="1:13">
      <c r="A6" s="174" t="s">
        <v>106</v>
      </c>
      <c r="B6" s="175" t="s">
        <v>99</v>
      </c>
      <c r="C6" s="175" t="s">
        <v>170</v>
      </c>
      <c r="D6" s="175" t="s">
        <v>100</v>
      </c>
      <c r="E6" s="175" t="s">
        <v>101</v>
      </c>
      <c r="F6" s="175" t="s">
        <v>158</v>
      </c>
      <c r="G6" s="175" t="s">
        <v>102</v>
      </c>
      <c r="H6" s="175" t="s">
        <v>103</v>
      </c>
      <c r="I6" s="175" t="s">
        <v>171</v>
      </c>
      <c r="J6" s="175" t="s">
        <v>104</v>
      </c>
      <c r="L6" s="302" t="s">
        <v>208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3522.9250000000002</v>
      </c>
    </row>
    <row r="8" spans="1:13">
      <c r="A8" s="308" t="s">
        <v>2</v>
      </c>
      <c r="B8" s="312">
        <v>1778795.137696</v>
      </c>
      <c r="C8" s="312">
        <v>2744881.170132</v>
      </c>
      <c r="D8" s="313">
        <v>-0.351959146</v>
      </c>
      <c r="E8" s="312">
        <v>6756219.5197459999</v>
      </c>
      <c r="F8" s="312">
        <v>15034408.009342</v>
      </c>
      <c r="G8" s="313">
        <v>-0.55061619220000002</v>
      </c>
      <c r="H8" s="312">
        <v>21314194.872432001</v>
      </c>
      <c r="I8" s="312">
        <v>33119424.899338</v>
      </c>
      <c r="J8" s="313">
        <v>-0.35644429399999999</v>
      </c>
      <c r="L8" s="265" t="s">
        <v>130</v>
      </c>
      <c r="M8" s="305">
        <v>24561.845000000001</v>
      </c>
    </row>
    <row r="9" spans="1:13">
      <c r="A9" s="308" t="s">
        <v>81</v>
      </c>
      <c r="B9" s="312">
        <v>336710.35219200002</v>
      </c>
      <c r="C9" s="312">
        <v>153679.718972</v>
      </c>
      <c r="D9" s="313">
        <v>1.190987558</v>
      </c>
      <c r="E9" s="312">
        <v>1117359.525934</v>
      </c>
      <c r="F9" s="312">
        <v>1206298.8878880001</v>
      </c>
      <c r="G9" s="313">
        <v>-7.3729125399999998E-2</v>
      </c>
      <c r="H9" s="312">
        <v>2560356.7680500001</v>
      </c>
      <c r="I9" s="312">
        <v>2876248.5627020001</v>
      </c>
      <c r="J9" s="313">
        <v>-0.1098277106</v>
      </c>
      <c r="L9" s="265" t="s">
        <v>9</v>
      </c>
      <c r="M9" s="305">
        <v>5604.6935000000003</v>
      </c>
    </row>
    <row r="10" spans="1:13">
      <c r="A10" s="308" t="s">
        <v>3</v>
      </c>
      <c r="B10" s="312">
        <v>4413724.2699999996</v>
      </c>
      <c r="C10" s="312">
        <v>4197332.93</v>
      </c>
      <c r="D10" s="313">
        <v>5.1554485599999998E-2</v>
      </c>
      <c r="E10" s="312">
        <v>18999999.693</v>
      </c>
      <c r="F10" s="312">
        <v>18588653.555</v>
      </c>
      <c r="G10" s="313">
        <v>2.2128882900000001E-2</v>
      </c>
      <c r="H10" s="312">
        <v>54452321.410999998</v>
      </c>
      <c r="I10" s="312">
        <v>54911634.460000001</v>
      </c>
      <c r="J10" s="313">
        <v>-8.3645852999999996E-3</v>
      </c>
      <c r="L10" s="265" t="s">
        <v>5</v>
      </c>
      <c r="M10" s="305">
        <v>28179.858499999998</v>
      </c>
    </row>
    <row r="11" spans="1:13">
      <c r="A11" s="308" t="s">
        <v>4</v>
      </c>
      <c r="B11" s="312">
        <v>691803.70400000003</v>
      </c>
      <c r="C11" s="312">
        <v>270691.38699999999</v>
      </c>
      <c r="D11" s="313">
        <v>1.5556916002000001</v>
      </c>
      <c r="E11" s="312">
        <v>2677500.912</v>
      </c>
      <c r="F11" s="312">
        <v>1248792.004</v>
      </c>
      <c r="G11" s="313">
        <v>1.1440727546</v>
      </c>
      <c r="H11" s="312">
        <v>6369932.9539999999</v>
      </c>
      <c r="I11" s="312">
        <v>3572811.1669999999</v>
      </c>
      <c r="J11" s="313">
        <v>0.78289102229999996</v>
      </c>
      <c r="L11" s="265" t="s">
        <v>95</v>
      </c>
      <c r="M11" s="305">
        <v>7.95</v>
      </c>
    </row>
    <row r="12" spans="1:13">
      <c r="A12" s="308" t="s">
        <v>95</v>
      </c>
      <c r="B12" s="312">
        <v>0</v>
      </c>
      <c r="C12" s="312">
        <v>0</v>
      </c>
      <c r="D12" s="313">
        <v>0</v>
      </c>
      <c r="E12" s="312">
        <v>0</v>
      </c>
      <c r="F12" s="312">
        <v>0</v>
      </c>
      <c r="G12" s="313">
        <v>0</v>
      </c>
      <c r="H12" s="312">
        <v>-1E-3</v>
      </c>
      <c r="I12" s="312">
        <v>-1E-3</v>
      </c>
      <c r="J12" s="313">
        <v>0</v>
      </c>
      <c r="L12" s="265" t="s">
        <v>2</v>
      </c>
      <c r="M12" s="305">
        <v>17092.603029999998</v>
      </c>
    </row>
    <row r="13" spans="1:13">
      <c r="A13" s="308" t="s">
        <v>11</v>
      </c>
      <c r="B13" s="312">
        <v>2573780.304</v>
      </c>
      <c r="C13" s="312">
        <v>2864730.7629999998</v>
      </c>
      <c r="D13" s="313">
        <v>-0.1015629332</v>
      </c>
      <c r="E13" s="312">
        <v>15111491.139</v>
      </c>
      <c r="F13" s="312">
        <v>7789291.199</v>
      </c>
      <c r="G13" s="313">
        <v>0.94003417680000001</v>
      </c>
      <c r="H13" s="312">
        <v>44903010.715999998</v>
      </c>
      <c r="I13" s="312">
        <v>37368126.141999997</v>
      </c>
      <c r="J13" s="313">
        <v>0.20163934750000001</v>
      </c>
      <c r="L13" s="265" t="s">
        <v>3</v>
      </c>
      <c r="M13" s="305">
        <v>7117.29</v>
      </c>
    </row>
    <row r="14" spans="1:13">
      <c r="A14" s="308" t="s">
        <v>5</v>
      </c>
      <c r="B14" s="312">
        <v>5534799.3700000001</v>
      </c>
      <c r="C14" s="312">
        <v>4042470.2170000002</v>
      </c>
      <c r="D14" s="313">
        <v>0.36916268340000002</v>
      </c>
      <c r="E14" s="312">
        <v>21920137.037</v>
      </c>
      <c r="F14" s="312">
        <v>22819420.844999999</v>
      </c>
      <c r="G14" s="313">
        <v>-3.94087043E-2</v>
      </c>
      <c r="H14" s="312">
        <v>58284691.307999998</v>
      </c>
      <c r="I14" s="312">
        <v>58734059.912</v>
      </c>
      <c r="J14" s="313">
        <v>-7.6509031999999998E-3</v>
      </c>
      <c r="L14" s="265" t="s">
        <v>135</v>
      </c>
      <c r="M14" s="305">
        <v>1086.8399999999999</v>
      </c>
    </row>
    <row r="15" spans="1:13">
      <c r="A15" s="308" t="s">
        <v>6</v>
      </c>
      <c r="B15" s="312">
        <v>2523860.5299999998</v>
      </c>
      <c r="C15" s="312">
        <v>1628091.469</v>
      </c>
      <c r="D15" s="313">
        <v>0.55019578329999996</v>
      </c>
      <c r="E15" s="312">
        <v>7101624.2390000001</v>
      </c>
      <c r="F15" s="312">
        <v>5048339.7029999997</v>
      </c>
      <c r="G15" s="313">
        <v>0.4067247168</v>
      </c>
      <c r="H15" s="312">
        <v>22556816.728</v>
      </c>
      <c r="I15" s="312">
        <v>16275887.503</v>
      </c>
      <c r="J15" s="313">
        <v>0.38590394680000001</v>
      </c>
      <c r="L15" s="265" t="s">
        <v>206</v>
      </c>
      <c r="M15" s="305">
        <v>402.37650000000002</v>
      </c>
    </row>
    <row r="16" spans="1:13">
      <c r="A16" s="308" t="s">
        <v>7</v>
      </c>
      <c r="B16" s="312">
        <v>412777.61</v>
      </c>
      <c r="C16" s="312">
        <v>266787.51899999997</v>
      </c>
      <c r="D16" s="313">
        <v>0.54721484549999999</v>
      </c>
      <c r="E16" s="312">
        <v>912829.75399999996</v>
      </c>
      <c r="F16" s="312">
        <v>862618.30200000003</v>
      </c>
      <c r="G16" s="313">
        <v>5.8208192300000003E-2</v>
      </c>
      <c r="H16" s="312">
        <v>4755715.2070000004</v>
      </c>
      <c r="I16" s="312">
        <v>4644171.7280000001</v>
      </c>
      <c r="J16" s="313">
        <v>2.4017948800000001E-2</v>
      </c>
      <c r="L16" s="265" t="s">
        <v>134</v>
      </c>
      <c r="M16" s="305">
        <v>131.6275</v>
      </c>
    </row>
    <row r="17" spans="1:13">
      <c r="A17" s="308" t="s">
        <v>8</v>
      </c>
      <c r="B17" s="312">
        <v>429863.58500000002</v>
      </c>
      <c r="C17" s="312">
        <v>391447.03399999999</v>
      </c>
      <c r="D17" s="313">
        <v>9.8139844399999995E-2</v>
      </c>
      <c r="E17" s="312">
        <v>1654752.308</v>
      </c>
      <c r="F17" s="312">
        <v>1504565.6680000001</v>
      </c>
      <c r="G17" s="313">
        <v>9.9820594900000004E-2</v>
      </c>
      <c r="H17" s="312">
        <v>4859381.8389999997</v>
      </c>
      <c r="I17" s="312">
        <v>4613056.4939999999</v>
      </c>
      <c r="J17" s="313">
        <v>5.3397426499999998E-2</v>
      </c>
      <c r="L17" s="265" t="s">
        <v>131</v>
      </c>
      <c r="M17" s="305">
        <v>15549.170881</v>
      </c>
    </row>
    <row r="18" spans="1:13">
      <c r="A18" s="308" t="s">
        <v>9</v>
      </c>
      <c r="B18" s="312">
        <v>1707313.6910000001</v>
      </c>
      <c r="C18" s="312">
        <v>2190064.324</v>
      </c>
      <c r="D18" s="313">
        <v>-0.2204276047</v>
      </c>
      <c r="E18" s="312">
        <v>8149816.284</v>
      </c>
      <c r="F18" s="312">
        <v>8675587.3350000009</v>
      </c>
      <c r="G18" s="313">
        <v>-6.0603510800000003E-2</v>
      </c>
      <c r="H18" s="312">
        <v>25510717.473000001</v>
      </c>
      <c r="I18" s="312">
        <v>26844491.245999999</v>
      </c>
      <c r="J18" s="313">
        <v>-4.9685194699999997E-2</v>
      </c>
      <c r="L18" s="265" t="s">
        <v>132</v>
      </c>
      <c r="M18" s="305">
        <v>2304.0129999999999</v>
      </c>
    </row>
    <row r="19" spans="1:13">
      <c r="A19" s="308" t="s">
        <v>69</v>
      </c>
      <c r="B19" s="312">
        <v>64712.739000000001</v>
      </c>
      <c r="C19" s="312">
        <v>66322.567500000005</v>
      </c>
      <c r="D19" s="313">
        <v>-2.42727108E-2</v>
      </c>
      <c r="E19" s="312">
        <v>272573.17599999998</v>
      </c>
      <c r="F19" s="312">
        <v>238114.24849999999</v>
      </c>
      <c r="G19" s="313">
        <v>0.1447159408</v>
      </c>
      <c r="H19" s="312">
        <v>785323.5135</v>
      </c>
      <c r="I19" s="312">
        <v>651937.12549999997</v>
      </c>
      <c r="J19" s="313">
        <v>0.20460007999999999</v>
      </c>
      <c r="L19" s="265" t="s">
        <v>81</v>
      </c>
      <c r="M19" s="305">
        <v>3331.4</v>
      </c>
    </row>
    <row r="20" spans="1:13">
      <c r="A20" s="308" t="s">
        <v>70</v>
      </c>
      <c r="B20" s="312">
        <v>163790.27799999999</v>
      </c>
      <c r="C20" s="312">
        <v>170059.04149999999</v>
      </c>
      <c r="D20" s="313">
        <v>-3.6862276999999999E-2</v>
      </c>
      <c r="E20" s="312">
        <v>635774.13699999999</v>
      </c>
      <c r="F20" s="312">
        <v>680350.90749999997</v>
      </c>
      <c r="G20" s="313">
        <v>-6.5520263199999998E-2</v>
      </c>
      <c r="H20" s="312">
        <v>2065874.2575000001</v>
      </c>
      <c r="I20" s="312">
        <v>1955156.5795</v>
      </c>
      <c r="J20" s="313">
        <v>5.6628547899999999E-2</v>
      </c>
      <c r="L20" s="306" t="s">
        <v>15</v>
      </c>
      <c r="M20" s="307">
        <v>108892.592911</v>
      </c>
    </row>
    <row r="21" spans="1:13">
      <c r="A21" s="309" t="s">
        <v>10</v>
      </c>
      <c r="B21" s="314">
        <v>20631931.570888001</v>
      </c>
      <c r="C21" s="314">
        <v>18986558.141104002</v>
      </c>
      <c r="D21" s="315">
        <v>8.6659910500000006E-2</v>
      </c>
      <c r="E21" s="314">
        <v>85310077.724680007</v>
      </c>
      <c r="F21" s="314">
        <v>83696440.664230004</v>
      </c>
      <c r="G21" s="315">
        <v>1.9279637799999999E-2</v>
      </c>
      <c r="H21" s="314">
        <v>248418337.046482</v>
      </c>
      <c r="I21" s="314">
        <v>245567005.81804001</v>
      </c>
      <c r="J21" s="315">
        <v>1.1611214700000001E-2</v>
      </c>
    </row>
    <row r="22" spans="1:13">
      <c r="A22" s="308" t="s">
        <v>122</v>
      </c>
      <c r="B22" s="312">
        <v>-596655.80599999998</v>
      </c>
      <c r="C22" s="312">
        <v>-216712.17380799999</v>
      </c>
      <c r="D22" s="313">
        <v>1.7532177611999999</v>
      </c>
      <c r="E22" s="312">
        <v>-1889194.4419519999</v>
      </c>
      <c r="F22" s="312">
        <v>-2081250.78679</v>
      </c>
      <c r="G22" s="313">
        <v>-9.227929E-2</v>
      </c>
      <c r="H22" s="312">
        <v>-4125822.4608919998</v>
      </c>
      <c r="I22" s="312">
        <v>-4637032.0320349997</v>
      </c>
      <c r="J22" s="313">
        <v>-0.11024499459999999</v>
      </c>
    </row>
    <row r="23" spans="1:13">
      <c r="A23" s="308" t="s">
        <v>97</v>
      </c>
      <c r="B23" s="312">
        <v>-33641.059000000001</v>
      </c>
      <c r="C23" s="312">
        <v>-111021.79700000001</v>
      </c>
      <c r="D23" s="313">
        <v>-0.69698689889999998</v>
      </c>
      <c r="E23" s="312">
        <v>-122992.181</v>
      </c>
      <c r="F23" s="312">
        <v>-490669.79100000003</v>
      </c>
      <c r="G23" s="313">
        <v>-0.74933818370000005</v>
      </c>
      <c r="H23" s="312">
        <v>-522551.35700000002</v>
      </c>
      <c r="I23" s="312">
        <v>-1471761.23</v>
      </c>
      <c r="J23" s="313">
        <v>-0.64494827939999999</v>
      </c>
    </row>
    <row r="24" spans="1:13">
      <c r="A24" s="308" t="s">
        <v>123</v>
      </c>
      <c r="B24" s="312">
        <v>-1586755.34</v>
      </c>
      <c r="C24" s="312">
        <v>256569.55600000001</v>
      </c>
      <c r="D24" s="313">
        <v>-7.1845035894000002</v>
      </c>
      <c r="E24" s="312">
        <v>-4114925.1740000001</v>
      </c>
      <c r="F24" s="312">
        <v>498745.054</v>
      </c>
      <c r="G24" s="313">
        <v>-9.2505583583999993</v>
      </c>
      <c r="H24" s="312">
        <v>-3718679.031</v>
      </c>
      <c r="I24" s="312">
        <v>533956.01800000004</v>
      </c>
      <c r="J24" s="313">
        <v>-7.9643920204</v>
      </c>
    </row>
    <row r="25" spans="1:13">
      <c r="A25" s="309" t="s">
        <v>124</v>
      </c>
      <c r="B25" s="314">
        <v>18414879.365888</v>
      </c>
      <c r="C25" s="314">
        <v>18915393.726296</v>
      </c>
      <c r="D25" s="315">
        <v>-2.6460689499999999E-2</v>
      </c>
      <c r="E25" s="314">
        <v>79182965.927727997</v>
      </c>
      <c r="F25" s="314">
        <v>81623265.140440002</v>
      </c>
      <c r="G25" s="315">
        <v>-2.9897103599999999E-2</v>
      </c>
      <c r="H25" s="314">
        <v>240051284.19758999</v>
      </c>
      <c r="I25" s="314">
        <v>239992168.57400501</v>
      </c>
      <c r="J25" s="315">
        <v>2.4632309999999999E-4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3.0593449112951303</v>
      </c>
      <c r="D33" s="107"/>
      <c r="E33" s="167" t="s">
        <v>16</v>
      </c>
      <c r="F33" s="168">
        <f>SUM(C33:C39)</f>
        <v>40.910477755277924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6.5360644004657855</v>
      </c>
      <c r="D34" s="107"/>
      <c r="E34" s="171" t="s">
        <v>17</v>
      </c>
      <c r="F34" s="172">
        <f>SUM(C40:C45)</f>
        <v>59.089522244722069</v>
      </c>
      <c r="I34" s="44"/>
    </row>
    <row r="35" spans="1:9">
      <c r="A35" s="108" t="s">
        <v>4</v>
      </c>
      <c r="B35" s="127">
        <f t="shared" si="0"/>
        <v>3522.9250000000002</v>
      </c>
      <c r="C35" s="109">
        <f t="shared" si="1"/>
        <v>3.2352292344432958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22.55602915073835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5604.6935000000003</v>
      </c>
      <c r="C37" s="109">
        <f t="shared" si="1"/>
        <v>5.1469924171801322</v>
      </c>
      <c r="D37" s="107"/>
      <c r="E37" s="165"/>
      <c r="F37" s="165"/>
      <c r="I37" s="44"/>
    </row>
    <row r="38" spans="1:9">
      <c r="A38" s="108" t="s">
        <v>209</v>
      </c>
      <c r="B38" s="127">
        <f t="shared" si="0"/>
        <v>7.95</v>
      </c>
      <c r="C38" s="109">
        <f t="shared" si="1"/>
        <v>7.3007720612344009E-3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0.369516869093998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0.12087828609938757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28179.858499999998</v>
      </c>
      <c r="C41" s="109">
        <f t="shared" si="1"/>
        <v>25.878581588218708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15.696754547823202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15549.170881</v>
      </c>
      <c r="C43" s="109">
        <f t="shared" si="1"/>
        <v>14.279365074637019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2.1158583319648874</v>
      </c>
      <c r="D44" s="107"/>
      <c r="E44" s="165"/>
      <c r="F44" s="165"/>
    </row>
    <row r="45" spans="1:9">
      <c r="A45" s="108" t="s">
        <v>8</v>
      </c>
      <c r="B45" s="127">
        <f t="shared" si="0"/>
        <v>1086.8399999999999</v>
      </c>
      <c r="C45" s="109">
        <f t="shared" si="1"/>
        <v>0.99808441597886743</v>
      </c>
      <c r="E45" s="165"/>
      <c r="F45" s="165"/>
    </row>
    <row r="46" spans="1:9">
      <c r="A46" s="110" t="s">
        <v>15</v>
      </c>
      <c r="B46" s="128">
        <f>SUM(B33:B45)</f>
        <v>108892.592911</v>
      </c>
      <c r="C46" s="111">
        <f>SUM(C33:C45)</f>
        <v>99.999999999999986</v>
      </c>
      <c r="D46" s="107" t="str">
        <f>CONCATENATE(TEXT(B46,"#.##0")," MW")</f>
        <v>108.893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336.71035219200002</v>
      </c>
      <c r="C50" s="109">
        <f t="shared" ref="C50:C61" si="2">B50/$B$62*100</f>
        <v>1.6319865691446163</v>
      </c>
      <c r="D50" s="129"/>
      <c r="E50" s="167" t="s">
        <v>16</v>
      </c>
      <c r="F50" s="168">
        <f>SUM(C50:C55)</f>
        <v>47.921458857215754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4413.7242699999997</v>
      </c>
      <c r="C51" s="109">
        <f t="shared" si="2"/>
        <v>21.392685676739248</v>
      </c>
      <c r="D51" s="129"/>
      <c r="E51" s="171" t="s">
        <v>17</v>
      </c>
      <c r="F51" s="172">
        <f>SUM(C56:C61)</f>
        <v>52.078541142784246</v>
      </c>
      <c r="J51" s="44"/>
    </row>
    <row r="52" spans="1:10">
      <c r="A52" s="108" t="s">
        <v>4</v>
      </c>
      <c r="B52" s="173">
        <f t="shared" si="3"/>
        <v>691.80370400000004</v>
      </c>
      <c r="C52" s="109">
        <f t="shared" si="2"/>
        <v>3.3530728890946238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2573.7803039999999</v>
      </c>
      <c r="C53" s="109">
        <f t="shared" si="2"/>
        <v>12.474742343715636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1707.3136910000001</v>
      </c>
      <c r="C54" s="109">
        <f t="shared" si="2"/>
        <v>8.2751034973819326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163.790278</v>
      </c>
      <c r="C55" s="109">
        <f t="shared" si="2"/>
        <v>0.79386788113969331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64.712738999999999</v>
      </c>
      <c r="C56" s="109">
        <f t="shared" si="2"/>
        <v>0.31365332313970429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5534.7993699999997</v>
      </c>
      <c r="C57" s="109">
        <f t="shared" si="2"/>
        <v>26.826375179576956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1778.795137696</v>
      </c>
      <c r="C58" s="109">
        <f t="shared" si="2"/>
        <v>8.6215637715952376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2523.8605299999999</v>
      </c>
      <c r="C59" s="109">
        <f t="shared" si="2"/>
        <v>12.232788390793276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412.77760999999998</v>
      </c>
      <c r="C60" s="109">
        <f t="shared" si="2"/>
        <v>2.0006736091662698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429.863585</v>
      </c>
      <c r="C61" s="109">
        <f t="shared" si="2"/>
        <v>2.0834868685128094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20631.931570887999</v>
      </c>
      <c r="C62" s="111">
        <f>SUM(C50:C61)</f>
        <v>100</v>
      </c>
      <c r="D62" s="165"/>
      <c r="E62" s="165"/>
      <c r="F62" s="165"/>
    </row>
    <row r="66" spans="1:8">
      <c r="A66" s="174" t="s">
        <v>31</v>
      </c>
      <c r="B66" s="316" t="s">
        <v>236</v>
      </c>
      <c r="G66" s="174" t="s">
        <v>31</v>
      </c>
      <c r="H66" s="316" t="s">
        <v>193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62.052726249999999</v>
      </c>
      <c r="G69" s="308" t="s">
        <v>2</v>
      </c>
      <c r="H69" s="177">
        <v>121.007533024</v>
      </c>
    </row>
    <row r="70" spans="1:8">
      <c r="A70" s="308" t="s">
        <v>81</v>
      </c>
      <c r="B70" s="177">
        <v>9.8079696799999994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144.05568400000001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4.7759489999999998</v>
      </c>
      <c r="G72" s="308" t="s">
        <v>4</v>
      </c>
      <c r="H72" s="177">
        <v>-0.45725399999999999</v>
      </c>
    </row>
    <row r="73" spans="1:8">
      <c r="A73" s="308" t="s">
        <v>95</v>
      </c>
      <c r="B73" s="177">
        <v>0</v>
      </c>
      <c r="G73" s="308" t="s">
        <v>95</v>
      </c>
      <c r="H73" s="177">
        <v>0</v>
      </c>
    </row>
    <row r="74" spans="1:8">
      <c r="A74" s="308" t="s">
        <v>11</v>
      </c>
      <c r="B74" s="177">
        <v>50.942818000000003</v>
      </c>
      <c r="G74" s="308" t="s">
        <v>11</v>
      </c>
      <c r="H74" s="177">
        <v>22.139078999999999</v>
      </c>
    </row>
    <row r="75" spans="1:8">
      <c r="A75" s="308" t="s">
        <v>5</v>
      </c>
      <c r="B75" s="177">
        <v>319.42587700000001</v>
      </c>
      <c r="G75" s="308" t="s">
        <v>5</v>
      </c>
      <c r="H75" s="177">
        <v>378.94424199999997</v>
      </c>
    </row>
    <row r="76" spans="1:8">
      <c r="A76" s="308" t="s">
        <v>6</v>
      </c>
      <c r="B76" s="177">
        <v>87.823770999999994</v>
      </c>
      <c r="G76" s="308" t="s">
        <v>6</v>
      </c>
      <c r="H76" s="177">
        <v>28.244374000000001</v>
      </c>
    </row>
    <row r="77" spans="1:8">
      <c r="A77" s="308" t="s">
        <v>7</v>
      </c>
      <c r="B77" s="177">
        <v>12.680789000000001</v>
      </c>
      <c r="G77" s="308" t="s">
        <v>7</v>
      </c>
      <c r="H77" s="177">
        <v>1.316433</v>
      </c>
    </row>
    <row r="78" spans="1:8">
      <c r="A78" s="308" t="s">
        <v>8</v>
      </c>
      <c r="B78" s="177">
        <v>13.745972999999999</v>
      </c>
      <c r="G78" s="308" t="s">
        <v>8</v>
      </c>
      <c r="H78" s="177">
        <v>13.719782</v>
      </c>
    </row>
    <row r="79" spans="1:8">
      <c r="A79" s="308" t="s">
        <v>9</v>
      </c>
      <c r="B79" s="177">
        <v>68.396109999999993</v>
      </c>
      <c r="G79" s="308" t="s">
        <v>9</v>
      </c>
      <c r="H79" s="177">
        <v>56.536898000000001</v>
      </c>
    </row>
    <row r="80" spans="1:8">
      <c r="A80" s="308" t="s">
        <v>69</v>
      </c>
      <c r="B80" s="177">
        <v>2.0261575000000001</v>
      </c>
      <c r="G80" s="308" t="s">
        <v>69</v>
      </c>
      <c r="H80" s="177">
        <v>1.747736</v>
      </c>
    </row>
    <row r="81" spans="1:11">
      <c r="A81" s="308" t="s">
        <v>70</v>
      </c>
      <c r="B81" s="177">
        <v>4.2242695000000001</v>
      </c>
      <c r="G81" s="308" t="s">
        <v>70</v>
      </c>
      <c r="H81" s="177">
        <v>5.0778590000000001</v>
      </c>
    </row>
    <row r="82" spans="1:11">
      <c r="A82" s="309" t="s">
        <v>10</v>
      </c>
      <c r="B82" s="178">
        <v>779.95809393000002</v>
      </c>
      <c r="G82" s="309" t="s">
        <v>10</v>
      </c>
      <c r="H82" s="178">
        <v>767.01011220800001</v>
      </c>
    </row>
    <row r="83" spans="1:11">
      <c r="A83" s="308" t="s">
        <v>122</v>
      </c>
      <c r="B83" s="177">
        <v>-19.169602999999999</v>
      </c>
      <c r="G83" s="308" t="s">
        <v>122</v>
      </c>
      <c r="H83" s="177">
        <v>-65.728476000000001</v>
      </c>
    </row>
    <row r="84" spans="1:11">
      <c r="A84" s="308" t="s">
        <v>97</v>
      </c>
      <c r="B84" s="177">
        <v>-1.006429</v>
      </c>
      <c r="G84" s="308" t="s">
        <v>97</v>
      </c>
      <c r="H84" s="177">
        <v>-3.9743140000000001</v>
      </c>
    </row>
    <row r="85" spans="1:11">
      <c r="A85" s="308" t="s">
        <v>123</v>
      </c>
      <c r="B85" s="177">
        <v>-89.218675000000005</v>
      </c>
      <c r="G85" s="308" t="s">
        <v>123</v>
      </c>
      <c r="H85" s="177">
        <v>-58.300165</v>
      </c>
    </row>
    <row r="86" spans="1:11">
      <c r="A86" s="309" t="s">
        <v>124</v>
      </c>
      <c r="B86" s="178">
        <v>670.56338692999998</v>
      </c>
      <c r="G86" s="309" t="s">
        <v>124</v>
      </c>
      <c r="H86" s="178">
        <v>639.00715720799997</v>
      </c>
    </row>
    <row r="91" spans="1:11">
      <c r="B91" s="184" t="str">
        <f>"Mes " &amp;B66</f>
        <v>Mes 01/04/2022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01/04/2022</v>
      </c>
      <c r="B92" s="164"/>
      <c r="C92" s="164"/>
      <c r="D92" s="164"/>
      <c r="E92" s="183" t="str">
        <f>CONCATENATE("Mes",CHAR(13),MID(A92,66,10))</f>
        <v>Mes_x000D_01/04/2022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1.2574995703397687</v>
      </c>
      <c r="C94" s="107"/>
      <c r="G94" s="108" t="s">
        <v>81</v>
      </c>
      <c r="H94" s="182">
        <f>VLOOKUP(G94,G$69:H$84,2,FALSE)/VLOOKUP("Generación",G$69:H$84,2,FALSE)*100</f>
        <v>0.6928143579101792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18.469669732400877</v>
      </c>
      <c r="C95" s="107"/>
      <c r="G95" s="108" t="s">
        <v>3</v>
      </c>
      <c r="H95" s="182">
        <f>VLOOKUP(G95,G$69:H$84,2,FALSE)/VLOOKUP("Generación",G$69:H$84,2,FALSE)*100</f>
        <v>17.394747719286773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0.61233405194056922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6.5314814214328845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2.8864129230666857</v>
      </c>
      <c r="I97" s="107"/>
      <c r="J97" s="165"/>
      <c r="K97" s="165"/>
    </row>
    <row r="98" spans="1:11">
      <c r="A98" s="108" t="s">
        <v>9</v>
      </c>
      <c r="B98" s="182">
        <f t="shared" si="5"/>
        <v>8.769203183131328</v>
      </c>
      <c r="C98" s="107"/>
      <c r="D98" s="107"/>
      <c r="E98" s="107"/>
      <c r="G98" s="108" t="s">
        <v>9</v>
      </c>
      <c r="H98" s="182">
        <f t="shared" si="6"/>
        <v>7.3710759610778336</v>
      </c>
      <c r="I98" s="107"/>
      <c r="J98" s="107"/>
      <c r="K98" s="107"/>
    </row>
    <row r="99" spans="1:11">
      <c r="A99" s="108" t="s">
        <v>70</v>
      </c>
      <c r="B99" s="182">
        <f t="shared" si="5"/>
        <v>0.54160211078970122</v>
      </c>
      <c r="C99" s="107"/>
      <c r="D99" s="107"/>
      <c r="E99" s="107"/>
      <c r="G99" s="108" t="s">
        <v>70</v>
      </c>
      <c r="H99" s="182">
        <f t="shared" si="6"/>
        <v>0.66203286230246883</v>
      </c>
      <c r="I99" s="107"/>
      <c r="J99" s="107"/>
      <c r="K99" s="107"/>
    </row>
    <row r="100" spans="1:11">
      <c r="A100" s="108" t="s">
        <v>69</v>
      </c>
      <c r="B100" s="182">
        <f t="shared" si="5"/>
        <v>0.25977773880013666</v>
      </c>
      <c r="C100" s="107"/>
      <c r="D100" s="107"/>
      <c r="E100" s="107"/>
      <c r="G100" s="108" t="s">
        <v>69</v>
      </c>
      <c r="H100" s="182">
        <f t="shared" si="6"/>
        <v>0.22786348865320355</v>
      </c>
      <c r="I100" s="107"/>
      <c r="J100" s="107"/>
      <c r="K100" s="107"/>
    </row>
    <row r="101" spans="1:11">
      <c r="A101" s="108" t="s">
        <v>5</v>
      </c>
      <c r="B101" s="182">
        <f t="shared" si="5"/>
        <v>40.954235809067455</v>
      </c>
      <c r="C101" s="107"/>
      <c r="D101" s="107"/>
      <c r="E101" s="107"/>
      <c r="G101" s="108" t="s">
        <v>5</v>
      </c>
      <c r="H101" s="182">
        <f t="shared" si="6"/>
        <v>49.40537757828632</v>
      </c>
      <c r="I101" s="107"/>
      <c r="J101" s="107"/>
      <c r="K101" s="107"/>
    </row>
    <row r="102" spans="1:11">
      <c r="A102" s="108" t="s">
        <v>2</v>
      </c>
      <c r="B102" s="182">
        <f t="shared" si="5"/>
        <v>7.9559051611776885</v>
      </c>
      <c r="C102" s="107"/>
      <c r="D102" s="107"/>
      <c r="E102" s="107"/>
      <c r="G102" s="108" t="s">
        <v>2</v>
      </c>
      <c r="H102" s="182">
        <f t="shared" si="6"/>
        <v>15.776523816049092</v>
      </c>
      <c r="I102" s="107"/>
      <c r="J102" s="107"/>
      <c r="K102" s="107"/>
    </row>
    <row r="103" spans="1:11">
      <c r="A103" s="108" t="s">
        <v>6</v>
      </c>
      <c r="B103" s="182">
        <f t="shared" si="5"/>
        <v>11.260062775613946</v>
      </c>
      <c r="C103" s="107"/>
      <c r="D103" s="107"/>
      <c r="E103" s="107"/>
      <c r="G103" s="108" t="s">
        <v>6</v>
      </c>
      <c r="H103" s="182">
        <f t="shared" si="6"/>
        <v>3.6823991692485811</v>
      </c>
      <c r="I103" s="107"/>
      <c r="J103" s="107"/>
      <c r="K103" s="107"/>
    </row>
    <row r="104" spans="1:11">
      <c r="A104" s="108" t="s">
        <v>7</v>
      </c>
      <c r="B104" s="182">
        <f t="shared" si="5"/>
        <v>1.625829528366697</v>
      </c>
      <c r="C104" s="107"/>
      <c r="D104" s="107"/>
      <c r="E104" s="107"/>
      <c r="G104" s="108" t="s">
        <v>7</v>
      </c>
      <c r="H104" s="182">
        <f t="shared" si="6"/>
        <v>0.17163176587207835</v>
      </c>
      <c r="I104" s="107"/>
      <c r="J104" s="107"/>
      <c r="K104" s="107"/>
    </row>
    <row r="105" spans="1:11">
      <c r="A105" s="108" t="s">
        <v>8</v>
      </c>
      <c r="B105" s="182">
        <f t="shared" si="5"/>
        <v>1.7623989169389502</v>
      </c>
      <c r="C105" s="164"/>
      <c r="D105" s="164"/>
      <c r="E105" s="164"/>
      <c r="G105" s="108" t="s">
        <v>8</v>
      </c>
      <c r="H105" s="182">
        <f t="shared" si="6"/>
        <v>1.7887354784025886</v>
      </c>
      <c r="I105" s="165"/>
      <c r="J105" s="165"/>
      <c r="K105" s="165"/>
    </row>
    <row r="106" spans="1:11">
      <c r="A106" s="110" t="s">
        <v>15</v>
      </c>
      <c r="B106" s="111">
        <f>SUM(B94:B105)</f>
        <v>99.999999999999986</v>
      </c>
      <c r="C106" s="164"/>
      <c r="D106" s="164"/>
      <c r="E106" s="164"/>
      <c r="G106" s="110" t="s">
        <v>15</v>
      </c>
      <c r="H106" s="111">
        <f>SUM(H94:H105)</f>
        <v>100.0596151201558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36.181790070035127</v>
      </c>
      <c r="G109" s="167" t="s">
        <v>16</v>
      </c>
      <c r="H109" s="168">
        <f>SUM(H94:H99)</f>
        <v>29.007083823643939</v>
      </c>
    </row>
    <row r="110" spans="1:11">
      <c r="A110" s="171" t="s">
        <v>17</v>
      </c>
      <c r="B110" s="172">
        <f>SUM(B100:B105)</f>
        <v>63.818209929964873</v>
      </c>
      <c r="G110" s="171" t="s">
        <v>17</v>
      </c>
      <c r="H110" s="172">
        <f>SUM(H100:H105)</f>
        <v>71.052531296511859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34" t="s">
        <v>98</v>
      </c>
      <c r="C115" s="335"/>
      <c r="D115" s="335"/>
      <c r="E115" s="335"/>
      <c r="F115" s="335"/>
      <c r="G115" s="335"/>
      <c r="H115" s="335"/>
      <c r="I115" s="335"/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35"/>
      <c r="X115" s="335"/>
      <c r="Y115" s="335"/>
      <c r="Z115" s="335"/>
    </row>
    <row r="116" spans="1:26">
      <c r="A116" s="174" t="s">
        <v>106</v>
      </c>
      <c r="B116" s="338" t="s">
        <v>109</v>
      </c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39"/>
      <c r="Z116" s="339"/>
    </row>
    <row r="117" spans="1:26">
      <c r="A117" s="179" t="s">
        <v>30</v>
      </c>
      <c r="B117" s="316" t="s">
        <v>183</v>
      </c>
      <c r="C117" s="316" t="s">
        <v>184</v>
      </c>
      <c r="D117" s="316" t="s">
        <v>185</v>
      </c>
      <c r="E117" s="316" t="s">
        <v>186</v>
      </c>
      <c r="F117" s="316" t="s">
        <v>187</v>
      </c>
      <c r="G117" s="316" t="s">
        <v>188</v>
      </c>
      <c r="H117" s="316" t="s">
        <v>189</v>
      </c>
      <c r="I117" s="316" t="s">
        <v>190</v>
      </c>
      <c r="J117" s="316" t="s">
        <v>191</v>
      </c>
      <c r="K117" s="316" t="s">
        <v>192</v>
      </c>
      <c r="L117" s="316" t="s">
        <v>194</v>
      </c>
      <c r="M117" s="316" t="s">
        <v>195</v>
      </c>
      <c r="N117" s="316" t="s">
        <v>197</v>
      </c>
      <c r="O117" s="316" t="s">
        <v>203</v>
      </c>
      <c r="P117" s="316" t="s">
        <v>205</v>
      </c>
      <c r="Q117" s="316" t="s">
        <v>210</v>
      </c>
      <c r="R117" s="316" t="s">
        <v>211</v>
      </c>
      <c r="S117" s="316" t="s">
        <v>213</v>
      </c>
      <c r="T117" s="316" t="s">
        <v>214</v>
      </c>
      <c r="U117" s="316" t="s">
        <v>215</v>
      </c>
      <c r="V117" s="316" t="s">
        <v>216</v>
      </c>
      <c r="W117" s="316" t="s">
        <v>219</v>
      </c>
      <c r="X117" s="316" t="s">
        <v>228</v>
      </c>
      <c r="Y117" s="316" t="s">
        <v>229</v>
      </c>
      <c r="Z117" s="316" t="s">
        <v>230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2862.0862255259999</v>
      </c>
      <c r="C119" s="177">
        <v>2859.971565626</v>
      </c>
      <c r="D119" s="177">
        <v>2266.1504495600002</v>
      </c>
      <c r="E119" s="177">
        <v>1837.7447382079999</v>
      </c>
      <c r="F119" s="177">
        <v>1889.222701444</v>
      </c>
      <c r="G119" s="177">
        <v>1671.404721372</v>
      </c>
      <c r="H119" s="177">
        <v>1905.510075942</v>
      </c>
      <c r="I119" s="177">
        <v>2463.028327296</v>
      </c>
      <c r="J119" s="177">
        <v>3191.9843105479999</v>
      </c>
      <c r="K119" s="177">
        <v>4057.0491571819998</v>
      </c>
      <c r="L119" s="177">
        <v>4517.3439469479999</v>
      </c>
      <c r="M119" s="177">
        <v>3715.13373508</v>
      </c>
      <c r="N119" s="177">
        <v>2744.8811701320001</v>
      </c>
      <c r="O119" s="177">
        <v>2159.2153889599999</v>
      </c>
      <c r="P119" s="177">
        <v>2179.5249564280002</v>
      </c>
      <c r="Q119" s="177">
        <v>2206.7799777780001</v>
      </c>
      <c r="R119" s="177">
        <v>1879.5875821039999</v>
      </c>
      <c r="S119" s="177">
        <v>1393.78333174</v>
      </c>
      <c r="T119" s="177">
        <v>1021.4348056600001</v>
      </c>
      <c r="U119" s="177">
        <v>1193.7558425120001</v>
      </c>
      <c r="V119" s="177">
        <v>2523.893467504</v>
      </c>
      <c r="W119" s="177">
        <v>2053.5241761440002</v>
      </c>
      <c r="X119" s="177">
        <v>1168.09183803</v>
      </c>
      <c r="Y119" s="177">
        <v>1755.8083678759999</v>
      </c>
      <c r="Z119" s="177">
        <v>1778.795137696</v>
      </c>
    </row>
    <row r="120" spans="1:26">
      <c r="A120" s="308" t="s">
        <v>81</v>
      </c>
      <c r="B120" s="177">
        <v>314.35098405000002</v>
      </c>
      <c r="C120" s="177">
        <v>243.63992918599999</v>
      </c>
      <c r="D120" s="177">
        <v>152.41030189599999</v>
      </c>
      <c r="E120" s="177">
        <v>167.16093403400001</v>
      </c>
      <c r="F120" s="177">
        <v>158.85512120000001</v>
      </c>
      <c r="G120" s="177">
        <v>187.66733834799999</v>
      </c>
      <c r="H120" s="177">
        <v>233.25786839</v>
      </c>
      <c r="I120" s="177">
        <v>206.00259686199999</v>
      </c>
      <c r="J120" s="177">
        <v>320.95558489799998</v>
      </c>
      <c r="K120" s="177">
        <v>320.531387408</v>
      </c>
      <c r="L120" s="177">
        <v>401.29321896599998</v>
      </c>
      <c r="M120" s="177">
        <v>330.79456254199999</v>
      </c>
      <c r="N120" s="177">
        <v>153.67971897199999</v>
      </c>
      <c r="O120" s="177">
        <v>238.70894406400001</v>
      </c>
      <c r="P120" s="177">
        <v>105.70565758799999</v>
      </c>
      <c r="Q120" s="177">
        <v>115.791574032</v>
      </c>
      <c r="R120" s="177">
        <v>159.74251133199999</v>
      </c>
      <c r="S120" s="177">
        <v>118.239862456</v>
      </c>
      <c r="T120" s="177">
        <v>232.11323870199999</v>
      </c>
      <c r="U120" s="177">
        <v>202.78682990199999</v>
      </c>
      <c r="V120" s="177">
        <v>269.90862404000001</v>
      </c>
      <c r="W120" s="177">
        <v>215.45218475999999</v>
      </c>
      <c r="X120" s="177">
        <v>285.08618899800001</v>
      </c>
      <c r="Y120" s="177">
        <v>280.11079998399998</v>
      </c>
      <c r="Z120" s="177">
        <v>336.71035219200002</v>
      </c>
    </row>
    <row r="121" spans="1:26">
      <c r="A121" s="308" t="s">
        <v>3</v>
      </c>
      <c r="B121" s="177">
        <v>4085.604789</v>
      </c>
      <c r="C121" s="177">
        <v>3078.9577610000001</v>
      </c>
      <c r="D121" s="177">
        <v>3621.3812859999998</v>
      </c>
      <c r="E121" s="177">
        <v>5159.0058550000003</v>
      </c>
      <c r="F121" s="177">
        <v>5151.9174220000004</v>
      </c>
      <c r="G121" s="177">
        <v>4871.2094020000004</v>
      </c>
      <c r="H121" s="177">
        <v>4530.2764660000003</v>
      </c>
      <c r="I121" s="177">
        <v>4639.700503</v>
      </c>
      <c r="J121" s="177">
        <v>5270.5322100000003</v>
      </c>
      <c r="K121" s="177">
        <v>5199.7405159999998</v>
      </c>
      <c r="L121" s="177">
        <v>4358.5151070000002</v>
      </c>
      <c r="M121" s="177">
        <v>4833.0650020000003</v>
      </c>
      <c r="N121" s="177">
        <v>4197.3329299999996</v>
      </c>
      <c r="O121" s="177">
        <v>4373.2505520000004</v>
      </c>
      <c r="P121" s="177">
        <v>3684.3838049999999</v>
      </c>
      <c r="Q121" s="177">
        <v>5119.3289409999998</v>
      </c>
      <c r="R121" s="177">
        <v>5151.2435720000003</v>
      </c>
      <c r="S121" s="177">
        <v>4890.5065249999998</v>
      </c>
      <c r="T121" s="177">
        <v>4748.3949460000003</v>
      </c>
      <c r="U121" s="177">
        <v>3562.3582710000001</v>
      </c>
      <c r="V121" s="177">
        <v>3922.855106</v>
      </c>
      <c r="W121" s="177">
        <v>5048.424951</v>
      </c>
      <c r="X121" s="177">
        <v>4771.058908</v>
      </c>
      <c r="Y121" s="177">
        <v>4766.7915640000001</v>
      </c>
      <c r="Z121" s="177">
        <v>4413.7242699999997</v>
      </c>
    </row>
    <row r="122" spans="1:26">
      <c r="A122" s="308" t="s">
        <v>4</v>
      </c>
      <c r="B122" s="177">
        <v>306.82421299999999</v>
      </c>
      <c r="C122" s="177">
        <v>244.56557599999999</v>
      </c>
      <c r="D122" s="177">
        <v>362.74042200000002</v>
      </c>
      <c r="E122" s="177">
        <v>302.88836099999997</v>
      </c>
      <c r="F122" s="177">
        <v>338.292575</v>
      </c>
      <c r="G122" s="177">
        <v>282.41486099999997</v>
      </c>
      <c r="H122" s="177">
        <v>234.94852399999999</v>
      </c>
      <c r="I122" s="177">
        <v>336.17887100000002</v>
      </c>
      <c r="J122" s="177">
        <v>221.98997299999999</v>
      </c>
      <c r="K122" s="177">
        <v>558.50496999999996</v>
      </c>
      <c r="L122" s="177">
        <v>176.80514199999999</v>
      </c>
      <c r="M122" s="177">
        <v>242.790505</v>
      </c>
      <c r="N122" s="177">
        <v>270.69138700000002</v>
      </c>
      <c r="O122" s="177">
        <v>333.03452900000002</v>
      </c>
      <c r="P122" s="177">
        <v>431.99096700000001</v>
      </c>
      <c r="Q122" s="177">
        <v>302.41718100000003</v>
      </c>
      <c r="R122" s="177">
        <v>320.34443199999998</v>
      </c>
      <c r="S122" s="177">
        <v>477.92579699999999</v>
      </c>
      <c r="T122" s="177">
        <v>528.18759499999999</v>
      </c>
      <c r="U122" s="177">
        <v>577.43674399999998</v>
      </c>
      <c r="V122" s="177">
        <v>721.09479699999997</v>
      </c>
      <c r="W122" s="177">
        <v>710.59119999999996</v>
      </c>
      <c r="X122" s="177">
        <v>569.21095200000002</v>
      </c>
      <c r="Y122" s="177">
        <v>705.89505599999995</v>
      </c>
      <c r="Z122" s="177">
        <v>691.80370400000004</v>
      </c>
    </row>
    <row r="123" spans="1:26">
      <c r="A123" s="308" t="s">
        <v>95</v>
      </c>
      <c r="B123" s="177">
        <v>0</v>
      </c>
      <c r="C123" s="177">
        <v>-9.9999999999999995E-7</v>
      </c>
      <c r="D123" s="177">
        <v>0</v>
      </c>
      <c r="E123" s="177">
        <v>0</v>
      </c>
      <c r="F123" s="177">
        <v>0</v>
      </c>
      <c r="G123" s="177">
        <v>0</v>
      </c>
      <c r="H123" s="177">
        <v>0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-9.9999999999999995E-7</v>
      </c>
      <c r="R123" s="177">
        <v>0</v>
      </c>
      <c r="S123" s="177">
        <v>0</v>
      </c>
      <c r="T123" s="177">
        <v>0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1730.7334739999999</v>
      </c>
      <c r="C124" s="177">
        <v>2017.855785</v>
      </c>
      <c r="D124" s="177">
        <v>3556.3490299999999</v>
      </c>
      <c r="E124" s="177">
        <v>5829.9045759999999</v>
      </c>
      <c r="F124" s="177">
        <v>5051.1759519999996</v>
      </c>
      <c r="G124" s="177">
        <v>4546.3016939999998</v>
      </c>
      <c r="H124" s="177">
        <v>2791.077628</v>
      </c>
      <c r="I124" s="177">
        <v>3221.2788070000001</v>
      </c>
      <c r="J124" s="177">
        <v>2564.8914709999999</v>
      </c>
      <c r="K124" s="177">
        <v>2188.3044850000001</v>
      </c>
      <c r="L124" s="177">
        <v>1086.83896</v>
      </c>
      <c r="M124" s="177">
        <v>1649.4169910000001</v>
      </c>
      <c r="N124" s="177">
        <v>2864.730763</v>
      </c>
      <c r="O124" s="177">
        <v>2004.7763130000001</v>
      </c>
      <c r="P124" s="177">
        <v>3136.247484</v>
      </c>
      <c r="Q124" s="177">
        <v>3024.7339200000001</v>
      </c>
      <c r="R124" s="177">
        <v>3325.1556350000001</v>
      </c>
      <c r="S124" s="177">
        <v>4296.9849320000003</v>
      </c>
      <c r="T124" s="177">
        <v>3806.271381</v>
      </c>
      <c r="U124" s="177">
        <v>5697.61654</v>
      </c>
      <c r="V124" s="177">
        <v>4499.7333719999997</v>
      </c>
      <c r="W124" s="177">
        <v>5197.395829</v>
      </c>
      <c r="X124" s="177">
        <v>4086.8536220000001</v>
      </c>
      <c r="Y124" s="177">
        <v>3253.4613840000002</v>
      </c>
      <c r="Z124" s="177">
        <v>2573.7803039999999</v>
      </c>
    </row>
    <row r="125" spans="1:26">
      <c r="A125" s="308" t="s">
        <v>5</v>
      </c>
      <c r="B125" s="177">
        <v>3639.796961</v>
      </c>
      <c r="C125" s="177">
        <v>3894.5800979999999</v>
      </c>
      <c r="D125" s="177">
        <v>3240.3944019999999</v>
      </c>
      <c r="E125" s="177">
        <v>4101.0742440000004</v>
      </c>
      <c r="F125" s="177">
        <v>3509.000794</v>
      </c>
      <c r="G125" s="177">
        <v>3962.2042179999999</v>
      </c>
      <c r="H125" s="177">
        <v>5673.8364600000004</v>
      </c>
      <c r="I125" s="177">
        <v>4154.8920449999996</v>
      </c>
      <c r="J125" s="177">
        <v>7378.656806</v>
      </c>
      <c r="K125" s="177">
        <v>7019.2756399999998</v>
      </c>
      <c r="L125" s="177">
        <v>6236.045451</v>
      </c>
      <c r="M125" s="177">
        <v>5521.6295369999998</v>
      </c>
      <c r="N125" s="177">
        <v>4042.470217</v>
      </c>
      <c r="O125" s="177">
        <v>4620.8345870000003</v>
      </c>
      <c r="P125" s="177">
        <v>3533.4522769999999</v>
      </c>
      <c r="Q125" s="177">
        <v>4122.6099919999997</v>
      </c>
      <c r="R125" s="177">
        <v>3598.5848070000002</v>
      </c>
      <c r="S125" s="177">
        <v>3123.0617010000001</v>
      </c>
      <c r="T125" s="177">
        <v>4231.9807010000004</v>
      </c>
      <c r="U125" s="177">
        <v>6320.8397629999999</v>
      </c>
      <c r="V125" s="177">
        <v>6813.1904430000004</v>
      </c>
      <c r="W125" s="177">
        <v>5352.3559729999997</v>
      </c>
      <c r="X125" s="177">
        <v>4617.9056209999999</v>
      </c>
      <c r="Y125" s="177">
        <v>6415.0760730000002</v>
      </c>
      <c r="Z125" s="177">
        <v>5534.7993699999997</v>
      </c>
    </row>
    <row r="126" spans="1:26">
      <c r="A126" s="308" t="s">
        <v>6</v>
      </c>
      <c r="B126" s="177">
        <v>1115.1015640000001</v>
      </c>
      <c r="C126" s="177">
        <v>1597.8024949999999</v>
      </c>
      <c r="D126" s="177">
        <v>1761.6896790000001</v>
      </c>
      <c r="E126" s="177">
        <v>1863.4338660000001</v>
      </c>
      <c r="F126" s="177">
        <v>1779.0468550000001</v>
      </c>
      <c r="G126" s="177">
        <v>1428.9023930000001</v>
      </c>
      <c r="H126" s="177">
        <v>1285.2068999999999</v>
      </c>
      <c r="I126" s="177">
        <v>790.714696</v>
      </c>
      <c r="J126" s="177">
        <v>720.75091599999996</v>
      </c>
      <c r="K126" s="177">
        <v>823.16130999999996</v>
      </c>
      <c r="L126" s="177">
        <v>946.13526300000001</v>
      </c>
      <c r="M126" s="177">
        <v>1650.9516610000001</v>
      </c>
      <c r="N126" s="177">
        <v>1628.091469</v>
      </c>
      <c r="O126" s="177">
        <v>2339.523584</v>
      </c>
      <c r="P126" s="177">
        <v>2277.9588039999999</v>
      </c>
      <c r="Q126" s="177">
        <v>2565.0792649999999</v>
      </c>
      <c r="R126" s="177">
        <v>2343.78982</v>
      </c>
      <c r="S126" s="177">
        <v>1881.431521</v>
      </c>
      <c r="T126" s="177">
        <v>1732.6711969999999</v>
      </c>
      <c r="U126" s="177">
        <v>1320.8873840000001</v>
      </c>
      <c r="V126" s="177">
        <v>993.85091399999999</v>
      </c>
      <c r="W126" s="177">
        <v>1534.160668</v>
      </c>
      <c r="X126" s="177">
        <v>1644.6727840000001</v>
      </c>
      <c r="Y126" s="177">
        <v>1398.930257</v>
      </c>
      <c r="Z126" s="177">
        <v>2523.8605299999999</v>
      </c>
    </row>
    <row r="127" spans="1:26">
      <c r="A127" s="308" t="s">
        <v>7</v>
      </c>
      <c r="B127" s="177">
        <v>206.86543699999999</v>
      </c>
      <c r="C127" s="177">
        <v>552.48475099999996</v>
      </c>
      <c r="D127" s="177">
        <v>711.64684799999998</v>
      </c>
      <c r="E127" s="177">
        <v>796.17204200000003</v>
      </c>
      <c r="F127" s="177">
        <v>744.54166099999998</v>
      </c>
      <c r="G127" s="177">
        <v>452.15923299999997</v>
      </c>
      <c r="H127" s="177">
        <v>340.27470899999997</v>
      </c>
      <c r="I127" s="177">
        <v>108.048269</v>
      </c>
      <c r="J127" s="177">
        <v>76.225913000000006</v>
      </c>
      <c r="K127" s="177">
        <v>102.634029</v>
      </c>
      <c r="L127" s="177">
        <v>138.18132700000001</v>
      </c>
      <c r="M127" s="177">
        <v>355.01542699999999</v>
      </c>
      <c r="N127" s="177">
        <v>266.78751899999997</v>
      </c>
      <c r="O127" s="177">
        <v>645.59745699999996</v>
      </c>
      <c r="P127" s="177">
        <v>655.361716</v>
      </c>
      <c r="Q127" s="177">
        <v>828.49249399999997</v>
      </c>
      <c r="R127" s="177">
        <v>661.44510200000002</v>
      </c>
      <c r="S127" s="177">
        <v>447.44465700000001</v>
      </c>
      <c r="T127" s="177">
        <v>328.16178000000002</v>
      </c>
      <c r="U127" s="177">
        <v>172.42624599999999</v>
      </c>
      <c r="V127" s="177">
        <v>103.956001</v>
      </c>
      <c r="W127" s="177">
        <v>170.90534199999999</v>
      </c>
      <c r="X127" s="177">
        <v>208.578486</v>
      </c>
      <c r="Y127" s="177">
        <v>120.568316</v>
      </c>
      <c r="Z127" s="177">
        <v>412.77760999999998</v>
      </c>
    </row>
    <row r="128" spans="1:26">
      <c r="A128" s="308" t="s">
        <v>8</v>
      </c>
      <c r="B128" s="177">
        <v>336.902581</v>
      </c>
      <c r="C128" s="177">
        <v>386.581592</v>
      </c>
      <c r="D128" s="177">
        <v>379.163185</v>
      </c>
      <c r="E128" s="177">
        <v>348.81331</v>
      </c>
      <c r="F128" s="177">
        <v>368.076976</v>
      </c>
      <c r="G128" s="177">
        <v>395.43069100000002</v>
      </c>
      <c r="H128" s="177">
        <v>414.55981100000002</v>
      </c>
      <c r="I128" s="177">
        <v>393.76221500000003</v>
      </c>
      <c r="J128" s="177">
        <v>422.10304600000001</v>
      </c>
      <c r="K128" s="177">
        <v>390.17391600000002</v>
      </c>
      <c r="L128" s="177">
        <v>364.41521899999998</v>
      </c>
      <c r="M128" s="177">
        <v>358.52949899999999</v>
      </c>
      <c r="N128" s="177">
        <v>391.44703399999997</v>
      </c>
      <c r="O128" s="177">
        <v>390.09081300000003</v>
      </c>
      <c r="P128" s="177">
        <v>357.18564300000003</v>
      </c>
      <c r="Q128" s="177">
        <v>351.88360599999999</v>
      </c>
      <c r="R128" s="177">
        <v>409.93549100000001</v>
      </c>
      <c r="S128" s="177">
        <v>395.48078299999997</v>
      </c>
      <c r="T128" s="177">
        <v>431.48129999999998</v>
      </c>
      <c r="U128" s="177">
        <v>433.27252499999997</v>
      </c>
      <c r="V128" s="177">
        <v>435.29937000000001</v>
      </c>
      <c r="W128" s="177">
        <v>428.42865999999998</v>
      </c>
      <c r="X128" s="177">
        <v>373.878626</v>
      </c>
      <c r="Y128" s="177">
        <v>422.58143699999999</v>
      </c>
      <c r="Z128" s="177">
        <v>429.863585</v>
      </c>
    </row>
    <row r="129" spans="1:26">
      <c r="A129" s="308" t="s">
        <v>9</v>
      </c>
      <c r="B129" s="177">
        <v>1926.0522579999999</v>
      </c>
      <c r="C129" s="177">
        <v>2084.4744719999999</v>
      </c>
      <c r="D129" s="177">
        <v>2187.0754889999998</v>
      </c>
      <c r="E129" s="177">
        <v>2301.8315189999998</v>
      </c>
      <c r="F129" s="177">
        <v>2192.3780729999999</v>
      </c>
      <c r="G129" s="177">
        <v>2308.1109540000002</v>
      </c>
      <c r="H129" s="177">
        <v>2351.6789010000002</v>
      </c>
      <c r="I129" s="177">
        <v>2390.2806930000002</v>
      </c>
      <c r="J129" s="177">
        <v>2353.0738099999999</v>
      </c>
      <c r="K129" s="177">
        <v>2401.1708629999998</v>
      </c>
      <c r="L129" s="177">
        <v>1834.5240309999999</v>
      </c>
      <c r="M129" s="177">
        <v>2249.828117</v>
      </c>
      <c r="N129" s="177">
        <v>2190.0643239999999</v>
      </c>
      <c r="O129" s="177">
        <v>2203.7572810000001</v>
      </c>
      <c r="P129" s="177">
        <v>2183.6421690000002</v>
      </c>
      <c r="Q129" s="177">
        <v>2238.7745369999998</v>
      </c>
      <c r="R129" s="177">
        <v>2102.2103360000001</v>
      </c>
      <c r="S129" s="177">
        <v>2159.0921499999999</v>
      </c>
      <c r="T129" s="177">
        <v>2136.4721209999998</v>
      </c>
      <c r="U129" s="177">
        <v>2168.9871889999999</v>
      </c>
      <c r="V129" s="177">
        <v>2167.9654059999998</v>
      </c>
      <c r="W129" s="177">
        <v>2140.854178</v>
      </c>
      <c r="X129" s="177">
        <v>2101.6384309999999</v>
      </c>
      <c r="Y129" s="177">
        <v>2200.0099839999998</v>
      </c>
      <c r="Z129" s="177">
        <v>1707.3136910000001</v>
      </c>
    </row>
    <row r="130" spans="1:26">
      <c r="A130" s="308" t="s">
        <v>69</v>
      </c>
      <c r="B130" s="177">
        <v>29.749654499999998</v>
      </c>
      <c r="C130" s="177">
        <v>30.791229000000001</v>
      </c>
      <c r="D130" s="177">
        <v>27.458276000000001</v>
      </c>
      <c r="E130" s="177">
        <v>31.820180000000001</v>
      </c>
      <c r="F130" s="177">
        <v>66.037119500000003</v>
      </c>
      <c r="G130" s="177">
        <v>58.507686499999998</v>
      </c>
      <c r="H130" s="177">
        <v>64.967821499999999</v>
      </c>
      <c r="I130" s="177">
        <v>67.556750500000007</v>
      </c>
      <c r="J130" s="177">
        <v>66.683813999999998</v>
      </c>
      <c r="K130" s="177">
        <v>52.060037999999999</v>
      </c>
      <c r="L130" s="177">
        <v>57.768275000000003</v>
      </c>
      <c r="M130" s="177">
        <v>61.963368000000003</v>
      </c>
      <c r="N130" s="177">
        <v>66.322567500000005</v>
      </c>
      <c r="O130" s="177">
        <v>53.009402999999999</v>
      </c>
      <c r="P130" s="177">
        <v>65.533088500000005</v>
      </c>
      <c r="Q130" s="177">
        <v>70.069195500000006</v>
      </c>
      <c r="R130" s="177">
        <v>67.951940500000006</v>
      </c>
      <c r="S130" s="177">
        <v>55.639892500000002</v>
      </c>
      <c r="T130" s="177">
        <v>61.837724000000001</v>
      </c>
      <c r="U130" s="177">
        <v>65.901263499999999</v>
      </c>
      <c r="V130" s="177">
        <v>72.807829999999996</v>
      </c>
      <c r="W130" s="177">
        <v>68.975128999999995</v>
      </c>
      <c r="X130" s="177">
        <v>66.906879000000004</v>
      </c>
      <c r="Y130" s="177">
        <v>71.978429000000006</v>
      </c>
      <c r="Z130" s="177">
        <v>64.712738999999999</v>
      </c>
    </row>
    <row r="131" spans="1:26">
      <c r="A131" s="308" t="s">
        <v>70</v>
      </c>
      <c r="B131" s="177">
        <v>134.23411250000001</v>
      </c>
      <c r="C131" s="177">
        <v>139.503086</v>
      </c>
      <c r="D131" s="177">
        <v>134.24086700000001</v>
      </c>
      <c r="E131" s="177">
        <v>129.766637</v>
      </c>
      <c r="F131" s="177">
        <v>178.96316150000001</v>
      </c>
      <c r="G131" s="177">
        <v>173.89508950000001</v>
      </c>
      <c r="H131" s="177">
        <v>156.7486255</v>
      </c>
      <c r="I131" s="177">
        <v>180.74303649999999</v>
      </c>
      <c r="J131" s="177">
        <v>180.94516899999999</v>
      </c>
      <c r="K131" s="177">
        <v>175.14184499999999</v>
      </c>
      <c r="L131" s="177">
        <v>161.44275200000001</v>
      </c>
      <c r="M131" s="177">
        <v>173.707269</v>
      </c>
      <c r="N131" s="177">
        <v>170.05904150000001</v>
      </c>
      <c r="O131" s="177">
        <v>170.74740800000001</v>
      </c>
      <c r="P131" s="177">
        <v>184.30269150000001</v>
      </c>
      <c r="Q131" s="177">
        <v>193.16825549999999</v>
      </c>
      <c r="R131" s="177">
        <v>198.4023795</v>
      </c>
      <c r="S131" s="177">
        <v>167.38102850000001</v>
      </c>
      <c r="T131" s="177">
        <v>179.471082</v>
      </c>
      <c r="U131" s="177">
        <v>164.8067685</v>
      </c>
      <c r="V131" s="177">
        <v>171.82050699999999</v>
      </c>
      <c r="W131" s="177">
        <v>159.55676600000001</v>
      </c>
      <c r="X131" s="177">
        <v>138.52277699999999</v>
      </c>
      <c r="Y131" s="177">
        <v>173.90431599999999</v>
      </c>
      <c r="Z131" s="177">
        <v>163.790278</v>
      </c>
    </row>
    <row r="132" spans="1:26">
      <c r="A132" s="309" t="s">
        <v>10</v>
      </c>
      <c r="B132" s="178">
        <v>16688.302253575999</v>
      </c>
      <c r="C132" s="178">
        <v>17131.208338812001</v>
      </c>
      <c r="D132" s="178">
        <v>18400.700235455999</v>
      </c>
      <c r="E132" s="178">
        <v>22869.616262242002</v>
      </c>
      <c r="F132" s="178">
        <v>21427.508411644001</v>
      </c>
      <c r="G132" s="178">
        <v>20338.208281719999</v>
      </c>
      <c r="H132" s="178">
        <v>19982.343790332001</v>
      </c>
      <c r="I132" s="178">
        <v>18952.186810158</v>
      </c>
      <c r="J132" s="178">
        <v>22768.793023446</v>
      </c>
      <c r="K132" s="178">
        <v>23287.748156590002</v>
      </c>
      <c r="L132" s="178">
        <v>20279.308692914001</v>
      </c>
      <c r="M132" s="178">
        <v>21142.825673621999</v>
      </c>
      <c r="N132" s="178">
        <v>18986.558141104</v>
      </c>
      <c r="O132" s="178">
        <v>19532.546260023999</v>
      </c>
      <c r="P132" s="178">
        <v>18795.289259016001</v>
      </c>
      <c r="Q132" s="178">
        <v>21139.128937810001</v>
      </c>
      <c r="R132" s="178">
        <v>20218.393608435999</v>
      </c>
      <c r="S132" s="178">
        <v>19406.972181196001</v>
      </c>
      <c r="T132" s="178">
        <v>19438.477871362</v>
      </c>
      <c r="U132" s="178">
        <v>21881.075366413999</v>
      </c>
      <c r="V132" s="178">
        <v>22696.375837544001</v>
      </c>
      <c r="W132" s="178">
        <v>23080.625056903998</v>
      </c>
      <c r="X132" s="178">
        <v>20032.405113027999</v>
      </c>
      <c r="Y132" s="178">
        <v>21565.11598386</v>
      </c>
      <c r="Z132" s="178">
        <v>20631.931570887999</v>
      </c>
    </row>
    <row r="133" spans="1:26">
      <c r="A133" s="308" t="s">
        <v>122</v>
      </c>
      <c r="B133" s="177">
        <v>-679.70917919199997</v>
      </c>
      <c r="C133" s="177">
        <v>-366.54343990900003</v>
      </c>
      <c r="D133" s="177">
        <v>-213.838335</v>
      </c>
      <c r="E133" s="177">
        <v>-303.18012404799998</v>
      </c>
      <c r="F133" s="177">
        <v>-259.28085923999998</v>
      </c>
      <c r="G133" s="177">
        <v>-221.76098604800001</v>
      </c>
      <c r="H133" s="177">
        <v>-366.70103899999998</v>
      </c>
      <c r="I133" s="177">
        <v>-296.43086299999999</v>
      </c>
      <c r="J133" s="177">
        <v>-528.04559900000004</v>
      </c>
      <c r="K133" s="177">
        <v>-610.89696300000003</v>
      </c>
      <c r="L133" s="177">
        <v>-789.64869999999996</v>
      </c>
      <c r="M133" s="177">
        <v>-463.99294998200003</v>
      </c>
      <c r="N133" s="177">
        <v>-216.71217380799999</v>
      </c>
      <c r="O133" s="177">
        <v>-393.88363104799998</v>
      </c>
      <c r="P133" s="177">
        <v>-149.061462288</v>
      </c>
      <c r="Q133" s="177">
        <v>-180.99089185599999</v>
      </c>
      <c r="R133" s="177">
        <v>-186.569471096</v>
      </c>
      <c r="S133" s="177">
        <v>-161.032901917</v>
      </c>
      <c r="T133" s="177">
        <v>-369.79346692000001</v>
      </c>
      <c r="U133" s="177">
        <v>-273.34553799999998</v>
      </c>
      <c r="V133" s="177">
        <v>-521.950655815</v>
      </c>
      <c r="W133" s="177">
        <v>-388.13858196799998</v>
      </c>
      <c r="X133" s="177">
        <v>-483.80029898399999</v>
      </c>
      <c r="Y133" s="177">
        <v>-420.59975500000002</v>
      </c>
      <c r="Z133" s="177">
        <v>-596.65580599999998</v>
      </c>
    </row>
    <row r="134" spans="1:26">
      <c r="A134" s="308" t="s">
        <v>97</v>
      </c>
      <c r="B134" s="177">
        <v>-80.581305999999998</v>
      </c>
      <c r="C134" s="177">
        <v>-79.946523999999997</v>
      </c>
      <c r="D134" s="177">
        <v>-93.289579000000003</v>
      </c>
      <c r="E134" s="177">
        <v>-168.331695</v>
      </c>
      <c r="F134" s="177">
        <v>-182.71595500000001</v>
      </c>
      <c r="G134" s="177">
        <v>-116.274961</v>
      </c>
      <c r="H134" s="177">
        <v>-105.943506</v>
      </c>
      <c r="I134" s="177">
        <v>-96.327618999999999</v>
      </c>
      <c r="J134" s="177">
        <v>-138.26159999999999</v>
      </c>
      <c r="K134" s="177">
        <v>-138.25041200000001</v>
      </c>
      <c r="L134" s="177">
        <v>-113.412009</v>
      </c>
      <c r="M134" s="177">
        <v>-127.985573</v>
      </c>
      <c r="N134" s="177">
        <v>-111.02179700000001</v>
      </c>
      <c r="O134" s="177">
        <v>-111.601713</v>
      </c>
      <c r="P134" s="177">
        <v>-65.429468</v>
      </c>
      <c r="Q134" s="177">
        <v>-45.879221000000001</v>
      </c>
      <c r="R134" s="177">
        <v>-40.107311000000003</v>
      </c>
      <c r="S134" s="177">
        <v>-37.549396999999999</v>
      </c>
      <c r="T134" s="177">
        <v>-38.285525</v>
      </c>
      <c r="U134" s="177">
        <v>-28.435708999999999</v>
      </c>
      <c r="V134" s="177">
        <v>-32.270831999999999</v>
      </c>
      <c r="W134" s="177">
        <v>-31.159338999999999</v>
      </c>
      <c r="X134" s="177">
        <v>-27.502502</v>
      </c>
      <c r="Y134" s="177">
        <v>-30.689281000000001</v>
      </c>
      <c r="Z134" s="177">
        <v>-33.641058999999998</v>
      </c>
    </row>
    <row r="135" spans="1:26">
      <c r="A135" s="308" t="s">
        <v>123</v>
      </c>
      <c r="B135" s="177">
        <v>232.43756099999999</v>
      </c>
      <c r="C135" s="177">
        <v>683.67150800000002</v>
      </c>
      <c r="D135" s="177">
        <v>268.89827500000001</v>
      </c>
      <c r="E135" s="177">
        <v>-450.84462000000002</v>
      </c>
      <c r="F135" s="177">
        <v>-239.66814099999999</v>
      </c>
      <c r="G135" s="177">
        <v>-625.62728200000004</v>
      </c>
      <c r="H135" s="177">
        <v>108.16498300000001</v>
      </c>
      <c r="I135" s="177">
        <v>1090.931722</v>
      </c>
      <c r="J135" s="177">
        <v>-800.31548099999998</v>
      </c>
      <c r="K135" s="177">
        <v>214.90690699999999</v>
      </c>
      <c r="L135" s="177">
        <v>-162.58580799999999</v>
      </c>
      <c r="M135" s="177">
        <v>189.854399</v>
      </c>
      <c r="N135" s="177">
        <v>256.56955599999998</v>
      </c>
      <c r="O135" s="177">
        <v>269.05148300000002</v>
      </c>
      <c r="P135" s="177">
        <v>1012.9266699999999</v>
      </c>
      <c r="Q135" s="177">
        <v>647.48212699999999</v>
      </c>
      <c r="R135" s="177">
        <v>661.02223300000003</v>
      </c>
      <c r="S135" s="177">
        <v>482.31085000000002</v>
      </c>
      <c r="T135" s="177">
        <v>-47.900078000000001</v>
      </c>
      <c r="U135" s="177">
        <v>-1305.145933</v>
      </c>
      <c r="V135" s="177">
        <v>-1323.501209</v>
      </c>
      <c r="W135" s="177">
        <v>-1179.9777730000001</v>
      </c>
      <c r="X135" s="177">
        <v>-467.91134399999999</v>
      </c>
      <c r="Y135" s="177">
        <v>-880.28071699999998</v>
      </c>
      <c r="Z135" s="177">
        <v>-1586.7553399999999</v>
      </c>
    </row>
    <row r="136" spans="1:26">
      <c r="A136" s="309" t="s">
        <v>124</v>
      </c>
      <c r="B136" s="178">
        <v>16160.449329384001</v>
      </c>
      <c r="C136" s="178">
        <v>17368.389882903</v>
      </c>
      <c r="D136" s="178">
        <v>18362.470596456002</v>
      </c>
      <c r="E136" s="178">
        <v>21947.259823193999</v>
      </c>
      <c r="F136" s="178">
        <v>20745.843456404</v>
      </c>
      <c r="G136" s="178">
        <v>19374.545052672001</v>
      </c>
      <c r="H136" s="178">
        <v>19617.864228332</v>
      </c>
      <c r="I136" s="178">
        <v>19650.360050158</v>
      </c>
      <c r="J136" s="178">
        <v>21302.170343446</v>
      </c>
      <c r="K136" s="178">
        <v>22753.507688590002</v>
      </c>
      <c r="L136" s="178">
        <v>19213.662175914</v>
      </c>
      <c r="M136" s="178">
        <v>20740.701549640002</v>
      </c>
      <c r="N136" s="178">
        <v>18915.393726295999</v>
      </c>
      <c r="O136" s="178">
        <v>19296.112398976002</v>
      </c>
      <c r="P136" s="178">
        <v>19593.724998728001</v>
      </c>
      <c r="Q136" s="178">
        <v>21559.740951954002</v>
      </c>
      <c r="R136" s="178">
        <v>20652.739059340001</v>
      </c>
      <c r="S136" s="178">
        <v>19690.700732279001</v>
      </c>
      <c r="T136" s="178">
        <v>18982.498801442001</v>
      </c>
      <c r="U136" s="178">
        <v>20274.148186414001</v>
      </c>
      <c r="V136" s="178">
        <v>20818.653140728999</v>
      </c>
      <c r="W136" s="178">
        <v>21481.349362935998</v>
      </c>
      <c r="X136" s="178">
        <v>19053.190968044</v>
      </c>
      <c r="Y136" s="178">
        <v>20233.54623086</v>
      </c>
      <c r="Z136" s="178">
        <v>18414.879365887999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A</v>
      </c>
      <c r="C140" s="191" t="str">
        <f t="shared" si="7"/>
        <v>M</v>
      </c>
      <c r="D140" s="191" t="str">
        <f t="shared" si="7"/>
        <v>J</v>
      </c>
      <c r="E140" s="191" t="str">
        <f t="shared" si="7"/>
        <v>J</v>
      </c>
      <c r="F140" s="191" t="str">
        <f t="shared" si="7"/>
        <v>A</v>
      </c>
      <c r="G140" s="191" t="str">
        <f t="shared" si="7"/>
        <v>S</v>
      </c>
      <c r="H140" s="191" t="str">
        <f t="shared" si="7"/>
        <v>O</v>
      </c>
      <c r="I140" s="191" t="str">
        <f t="shared" si="7"/>
        <v>N</v>
      </c>
      <c r="J140" s="191" t="str">
        <f t="shared" si="7"/>
        <v>D</v>
      </c>
      <c r="K140" s="191" t="str">
        <f t="shared" si="7"/>
        <v>E</v>
      </c>
      <c r="L140" s="191" t="str">
        <f t="shared" si="7"/>
        <v>F</v>
      </c>
      <c r="M140" s="191" t="str">
        <f t="shared" si="7"/>
        <v>M</v>
      </c>
      <c r="N140" s="191" t="str">
        <f t="shared" si="7"/>
        <v>A</v>
      </c>
    </row>
    <row r="141" spans="1:26" s="185" customFormat="1" ht="12">
      <c r="A141" s="191" t="s">
        <v>112</v>
      </c>
      <c r="B141" s="191" t="str">
        <f>TEXT(EDATE(C141,-1),"mmmm aaaa")</f>
        <v>abril 2021</v>
      </c>
      <c r="C141" s="191" t="str">
        <f t="shared" ref="C141:M141" si="8">TEXT(EDATE(D141,-1),"mmmm aaaa")</f>
        <v>mayo 2021</v>
      </c>
      <c r="D141" s="191" t="str">
        <f t="shared" si="8"/>
        <v>junio 2021</v>
      </c>
      <c r="E141" s="191" t="str">
        <f t="shared" si="8"/>
        <v>julio 2021</v>
      </c>
      <c r="F141" s="191" t="str">
        <f t="shared" si="8"/>
        <v>agosto 2021</v>
      </c>
      <c r="G141" s="191" t="str">
        <f t="shared" si="8"/>
        <v>septiembre 2021</v>
      </c>
      <c r="H141" s="191" t="str">
        <f t="shared" si="8"/>
        <v>octubre 2021</v>
      </c>
      <c r="I141" s="191" t="str">
        <f t="shared" si="8"/>
        <v>noviembre 2021</v>
      </c>
      <c r="J141" s="191" t="str">
        <f t="shared" si="8"/>
        <v>diciembre 2021</v>
      </c>
      <c r="K141" s="191" t="str">
        <f t="shared" si="8"/>
        <v>enero 2022</v>
      </c>
      <c r="L141" s="191" t="str">
        <f t="shared" si="8"/>
        <v>febrero 2022</v>
      </c>
      <c r="M141" s="191" t="str">
        <f t="shared" si="8"/>
        <v>marzo 2022</v>
      </c>
      <c r="N141" s="191" t="str">
        <f>A2</f>
        <v>Abril 2022</v>
      </c>
    </row>
    <row r="142" spans="1:26" s="188" customFormat="1" ht="12">
      <c r="A142" s="186" t="s">
        <v>2</v>
      </c>
      <c r="B142" s="187">
        <f t="shared" ref="B142:N142" si="9">HLOOKUP(B$141,$117:$133,3,FALSE)</f>
        <v>2744.8811701320001</v>
      </c>
      <c r="C142" s="187">
        <f t="shared" si="9"/>
        <v>2159.2153889599999</v>
      </c>
      <c r="D142" s="187">
        <f t="shared" si="9"/>
        <v>2179.5249564280002</v>
      </c>
      <c r="E142" s="187">
        <f t="shared" si="9"/>
        <v>2206.7799777780001</v>
      </c>
      <c r="F142" s="187">
        <f t="shared" si="9"/>
        <v>1879.5875821039999</v>
      </c>
      <c r="G142" s="187">
        <f t="shared" si="9"/>
        <v>1393.78333174</v>
      </c>
      <c r="H142" s="187">
        <f t="shared" si="9"/>
        <v>1021.4348056600001</v>
      </c>
      <c r="I142" s="187">
        <f t="shared" si="9"/>
        <v>1193.7558425120001</v>
      </c>
      <c r="J142" s="187">
        <f t="shared" si="9"/>
        <v>2523.893467504</v>
      </c>
      <c r="K142" s="187">
        <f t="shared" si="9"/>
        <v>2053.5241761440002</v>
      </c>
      <c r="L142" s="187">
        <f t="shared" si="9"/>
        <v>1168.09183803</v>
      </c>
      <c r="M142" s="187">
        <f t="shared" si="9"/>
        <v>1755.8083678759999</v>
      </c>
      <c r="N142" s="187">
        <f t="shared" si="9"/>
        <v>1778.795137696</v>
      </c>
    </row>
    <row r="143" spans="1:26" s="188" customFormat="1" ht="12">
      <c r="A143" s="186" t="s">
        <v>81</v>
      </c>
      <c r="B143" s="187">
        <f t="shared" ref="B143:N143" si="10">HLOOKUP(B$141,$117:$133,4,FALSE)</f>
        <v>153.67971897199999</v>
      </c>
      <c r="C143" s="187">
        <f t="shared" si="10"/>
        <v>238.70894406400001</v>
      </c>
      <c r="D143" s="187">
        <f t="shared" si="10"/>
        <v>105.70565758799999</v>
      </c>
      <c r="E143" s="187">
        <f t="shared" si="10"/>
        <v>115.791574032</v>
      </c>
      <c r="F143" s="187">
        <f t="shared" si="10"/>
        <v>159.74251133199999</v>
      </c>
      <c r="G143" s="187">
        <f t="shared" si="10"/>
        <v>118.239862456</v>
      </c>
      <c r="H143" s="187">
        <f t="shared" si="10"/>
        <v>232.11323870199999</v>
      </c>
      <c r="I143" s="187">
        <f t="shared" si="10"/>
        <v>202.78682990199999</v>
      </c>
      <c r="J143" s="187">
        <f t="shared" si="10"/>
        <v>269.90862404000001</v>
      </c>
      <c r="K143" s="187">
        <f t="shared" si="10"/>
        <v>215.45218475999999</v>
      </c>
      <c r="L143" s="187">
        <f t="shared" si="10"/>
        <v>285.08618899800001</v>
      </c>
      <c r="M143" s="187">
        <f t="shared" si="10"/>
        <v>280.11079998399998</v>
      </c>
      <c r="N143" s="187">
        <f t="shared" si="10"/>
        <v>336.71035219200002</v>
      </c>
    </row>
    <row r="144" spans="1:26" s="188" customFormat="1" ht="12">
      <c r="A144" s="186" t="s">
        <v>3</v>
      </c>
      <c r="B144" s="187">
        <f t="shared" ref="B144:N144" si="11">HLOOKUP(B$141,$117:$133,5,FALSE)</f>
        <v>4197.3329299999996</v>
      </c>
      <c r="C144" s="187">
        <f t="shared" si="11"/>
        <v>4373.2505520000004</v>
      </c>
      <c r="D144" s="187">
        <f t="shared" si="11"/>
        <v>3684.3838049999999</v>
      </c>
      <c r="E144" s="187">
        <f t="shared" si="11"/>
        <v>5119.3289409999998</v>
      </c>
      <c r="F144" s="187">
        <f t="shared" si="11"/>
        <v>5151.2435720000003</v>
      </c>
      <c r="G144" s="187">
        <f t="shared" si="11"/>
        <v>4890.5065249999998</v>
      </c>
      <c r="H144" s="187">
        <f t="shared" si="11"/>
        <v>4748.3949460000003</v>
      </c>
      <c r="I144" s="187">
        <f t="shared" si="11"/>
        <v>3562.3582710000001</v>
      </c>
      <c r="J144" s="187">
        <f t="shared" si="11"/>
        <v>3922.855106</v>
      </c>
      <c r="K144" s="187">
        <f t="shared" si="11"/>
        <v>5048.424951</v>
      </c>
      <c r="L144" s="187">
        <f t="shared" si="11"/>
        <v>4771.058908</v>
      </c>
      <c r="M144" s="187">
        <f t="shared" si="11"/>
        <v>4766.7915640000001</v>
      </c>
      <c r="N144" s="187">
        <f t="shared" si="11"/>
        <v>4413.7242699999997</v>
      </c>
    </row>
    <row r="145" spans="1:15" s="188" customFormat="1" ht="12">
      <c r="A145" s="186" t="s">
        <v>4</v>
      </c>
      <c r="B145" s="187">
        <f t="shared" ref="B145:N145" si="12">HLOOKUP(B$141,$117:$133,6,FALSE)</f>
        <v>270.69138700000002</v>
      </c>
      <c r="C145" s="187">
        <f t="shared" si="12"/>
        <v>333.03452900000002</v>
      </c>
      <c r="D145" s="187">
        <f t="shared" si="12"/>
        <v>431.99096700000001</v>
      </c>
      <c r="E145" s="187">
        <f t="shared" si="12"/>
        <v>302.41718100000003</v>
      </c>
      <c r="F145" s="187">
        <f t="shared" si="12"/>
        <v>320.34443199999998</v>
      </c>
      <c r="G145" s="187">
        <f t="shared" si="12"/>
        <v>477.92579699999999</v>
      </c>
      <c r="H145" s="187">
        <f t="shared" si="12"/>
        <v>528.18759499999999</v>
      </c>
      <c r="I145" s="187">
        <f t="shared" si="12"/>
        <v>577.43674399999998</v>
      </c>
      <c r="J145" s="187">
        <f t="shared" si="12"/>
        <v>721.09479699999997</v>
      </c>
      <c r="K145" s="187">
        <f t="shared" si="12"/>
        <v>710.59119999999996</v>
      </c>
      <c r="L145" s="187">
        <f t="shared" si="12"/>
        <v>569.21095200000002</v>
      </c>
      <c r="M145" s="187">
        <f t="shared" si="12"/>
        <v>705.89505599999995</v>
      </c>
      <c r="N145" s="187">
        <f t="shared" si="12"/>
        <v>691.80370400000004</v>
      </c>
    </row>
    <row r="146" spans="1:15" s="188" customFormat="1" ht="12">
      <c r="A146" s="186" t="s">
        <v>11</v>
      </c>
      <c r="B146" s="187">
        <f t="shared" ref="B146:N146" si="13">HLOOKUP(B$141,$117:$133,8,FALSE)</f>
        <v>2864.730763</v>
      </c>
      <c r="C146" s="187">
        <f t="shared" si="13"/>
        <v>2004.7763130000001</v>
      </c>
      <c r="D146" s="187">
        <f t="shared" si="13"/>
        <v>3136.247484</v>
      </c>
      <c r="E146" s="187">
        <f t="shared" si="13"/>
        <v>3024.7339200000001</v>
      </c>
      <c r="F146" s="187">
        <f t="shared" si="13"/>
        <v>3325.1556350000001</v>
      </c>
      <c r="G146" s="187">
        <f t="shared" si="13"/>
        <v>4296.9849320000003</v>
      </c>
      <c r="H146" s="187">
        <f t="shared" si="13"/>
        <v>3806.271381</v>
      </c>
      <c r="I146" s="187">
        <f t="shared" si="13"/>
        <v>5697.61654</v>
      </c>
      <c r="J146" s="187">
        <f t="shared" si="13"/>
        <v>4499.7333719999997</v>
      </c>
      <c r="K146" s="187">
        <f t="shared" si="13"/>
        <v>5197.395829</v>
      </c>
      <c r="L146" s="187">
        <f t="shared" si="13"/>
        <v>4086.8536220000001</v>
      </c>
      <c r="M146" s="187">
        <f t="shared" si="13"/>
        <v>3253.4613840000002</v>
      </c>
      <c r="N146" s="187">
        <f t="shared" si="13"/>
        <v>2573.7803039999999</v>
      </c>
    </row>
    <row r="147" spans="1:15" s="188" customFormat="1" ht="12">
      <c r="A147" s="186" t="s">
        <v>5</v>
      </c>
      <c r="B147" s="187">
        <f t="shared" ref="B147:N147" si="14">HLOOKUP(B$141,$117:$133,9,FALSE)</f>
        <v>4042.470217</v>
      </c>
      <c r="C147" s="187">
        <f t="shared" si="14"/>
        <v>4620.8345870000003</v>
      </c>
      <c r="D147" s="187">
        <f t="shared" si="14"/>
        <v>3533.4522769999999</v>
      </c>
      <c r="E147" s="187">
        <f t="shared" si="14"/>
        <v>4122.6099919999997</v>
      </c>
      <c r="F147" s="187">
        <f t="shared" si="14"/>
        <v>3598.5848070000002</v>
      </c>
      <c r="G147" s="187">
        <f t="shared" si="14"/>
        <v>3123.0617010000001</v>
      </c>
      <c r="H147" s="187">
        <f t="shared" si="14"/>
        <v>4231.9807010000004</v>
      </c>
      <c r="I147" s="187">
        <f t="shared" si="14"/>
        <v>6320.8397629999999</v>
      </c>
      <c r="J147" s="187">
        <f t="shared" si="14"/>
        <v>6813.1904430000004</v>
      </c>
      <c r="K147" s="187">
        <f t="shared" si="14"/>
        <v>5352.3559729999997</v>
      </c>
      <c r="L147" s="187">
        <f t="shared" si="14"/>
        <v>4617.9056209999999</v>
      </c>
      <c r="M147" s="187">
        <f t="shared" si="14"/>
        <v>6415.0760730000002</v>
      </c>
      <c r="N147" s="187">
        <f t="shared" si="14"/>
        <v>5534.7993699999997</v>
      </c>
    </row>
    <row r="148" spans="1:15" s="188" customFormat="1" ht="12">
      <c r="A148" s="186" t="s">
        <v>6</v>
      </c>
      <c r="B148" s="187">
        <f t="shared" ref="B148:N148" si="15">HLOOKUP(B$141,$117:$133,10,FALSE)</f>
        <v>1628.091469</v>
      </c>
      <c r="C148" s="187">
        <f t="shared" si="15"/>
        <v>2339.523584</v>
      </c>
      <c r="D148" s="187">
        <f t="shared" si="15"/>
        <v>2277.9588039999999</v>
      </c>
      <c r="E148" s="187">
        <f t="shared" si="15"/>
        <v>2565.0792649999999</v>
      </c>
      <c r="F148" s="187">
        <f t="shared" si="15"/>
        <v>2343.78982</v>
      </c>
      <c r="G148" s="187">
        <f t="shared" si="15"/>
        <v>1881.431521</v>
      </c>
      <c r="H148" s="187">
        <f t="shared" si="15"/>
        <v>1732.6711969999999</v>
      </c>
      <c r="I148" s="187">
        <f t="shared" si="15"/>
        <v>1320.8873840000001</v>
      </c>
      <c r="J148" s="187">
        <f t="shared" si="15"/>
        <v>993.85091399999999</v>
      </c>
      <c r="K148" s="187">
        <f t="shared" si="15"/>
        <v>1534.160668</v>
      </c>
      <c r="L148" s="187">
        <f t="shared" si="15"/>
        <v>1644.6727840000001</v>
      </c>
      <c r="M148" s="187">
        <f t="shared" si="15"/>
        <v>1398.930257</v>
      </c>
      <c r="N148" s="187">
        <f t="shared" si="15"/>
        <v>2523.8605299999999</v>
      </c>
    </row>
    <row r="149" spans="1:15" s="188" customFormat="1" ht="12">
      <c r="A149" s="186" t="s">
        <v>7</v>
      </c>
      <c r="B149" s="187">
        <f t="shared" ref="B149:N149" si="16">HLOOKUP(B$141,$117:$133,11,FALSE)</f>
        <v>266.78751899999997</v>
      </c>
      <c r="C149" s="187">
        <f t="shared" si="16"/>
        <v>645.59745699999996</v>
      </c>
      <c r="D149" s="187">
        <f t="shared" si="16"/>
        <v>655.361716</v>
      </c>
      <c r="E149" s="187">
        <f t="shared" si="16"/>
        <v>828.49249399999997</v>
      </c>
      <c r="F149" s="187">
        <f t="shared" si="16"/>
        <v>661.44510200000002</v>
      </c>
      <c r="G149" s="187">
        <f t="shared" si="16"/>
        <v>447.44465700000001</v>
      </c>
      <c r="H149" s="187">
        <f t="shared" si="16"/>
        <v>328.16178000000002</v>
      </c>
      <c r="I149" s="187">
        <f t="shared" si="16"/>
        <v>172.42624599999999</v>
      </c>
      <c r="J149" s="187">
        <f t="shared" si="16"/>
        <v>103.956001</v>
      </c>
      <c r="K149" s="187">
        <f t="shared" si="16"/>
        <v>170.90534199999999</v>
      </c>
      <c r="L149" s="187">
        <f t="shared" si="16"/>
        <v>208.578486</v>
      </c>
      <c r="M149" s="187">
        <f t="shared" si="16"/>
        <v>120.568316</v>
      </c>
      <c r="N149" s="187">
        <f t="shared" si="16"/>
        <v>412.77760999999998</v>
      </c>
    </row>
    <row r="150" spans="1:15" s="188" customFormat="1" ht="12">
      <c r="A150" s="186" t="s">
        <v>8</v>
      </c>
      <c r="B150" s="187">
        <f t="shared" ref="B150:N150" si="17">HLOOKUP(B$141,$117:$133,12,FALSE)</f>
        <v>391.44703399999997</v>
      </c>
      <c r="C150" s="187">
        <f t="shared" si="17"/>
        <v>390.09081300000003</v>
      </c>
      <c r="D150" s="187">
        <f t="shared" si="17"/>
        <v>357.18564300000003</v>
      </c>
      <c r="E150" s="187">
        <f t="shared" si="17"/>
        <v>351.88360599999999</v>
      </c>
      <c r="F150" s="187">
        <f t="shared" si="17"/>
        <v>409.93549100000001</v>
      </c>
      <c r="G150" s="187">
        <f t="shared" si="17"/>
        <v>395.48078299999997</v>
      </c>
      <c r="H150" s="187">
        <f t="shared" si="17"/>
        <v>431.48129999999998</v>
      </c>
      <c r="I150" s="187">
        <f t="shared" si="17"/>
        <v>433.27252499999997</v>
      </c>
      <c r="J150" s="187">
        <f t="shared" si="17"/>
        <v>435.29937000000001</v>
      </c>
      <c r="K150" s="187">
        <f t="shared" si="17"/>
        <v>428.42865999999998</v>
      </c>
      <c r="L150" s="187">
        <f t="shared" si="17"/>
        <v>373.878626</v>
      </c>
      <c r="M150" s="187">
        <f t="shared" si="17"/>
        <v>422.58143699999999</v>
      </c>
      <c r="N150" s="187">
        <f t="shared" si="17"/>
        <v>429.863585</v>
      </c>
    </row>
    <row r="151" spans="1:15" s="188" customFormat="1" ht="12">
      <c r="A151" s="186" t="s">
        <v>9</v>
      </c>
      <c r="B151" s="187">
        <f t="shared" ref="B151:N151" si="18">HLOOKUP(B$141,$117:$133,13,FALSE)</f>
        <v>2190.0643239999999</v>
      </c>
      <c r="C151" s="187">
        <f t="shared" si="18"/>
        <v>2203.7572810000001</v>
      </c>
      <c r="D151" s="187">
        <f t="shared" si="18"/>
        <v>2183.6421690000002</v>
      </c>
      <c r="E151" s="187">
        <f t="shared" si="18"/>
        <v>2238.7745369999998</v>
      </c>
      <c r="F151" s="187">
        <f t="shared" si="18"/>
        <v>2102.2103360000001</v>
      </c>
      <c r="G151" s="187">
        <f t="shared" si="18"/>
        <v>2159.0921499999999</v>
      </c>
      <c r="H151" s="187">
        <f t="shared" si="18"/>
        <v>2136.4721209999998</v>
      </c>
      <c r="I151" s="187">
        <f t="shared" si="18"/>
        <v>2168.9871889999999</v>
      </c>
      <c r="J151" s="187">
        <f t="shared" si="18"/>
        <v>2167.9654059999998</v>
      </c>
      <c r="K151" s="187">
        <f t="shared" si="18"/>
        <v>2140.854178</v>
      </c>
      <c r="L151" s="187">
        <f t="shared" si="18"/>
        <v>2101.6384309999999</v>
      </c>
      <c r="M151" s="187">
        <f t="shared" si="18"/>
        <v>2200.0099839999998</v>
      </c>
      <c r="N151" s="187">
        <f t="shared" si="18"/>
        <v>1707.3136910000001</v>
      </c>
    </row>
    <row r="152" spans="1:15" s="188" customFormat="1" ht="12">
      <c r="A152" s="186" t="s">
        <v>70</v>
      </c>
      <c r="B152" s="187">
        <f t="shared" ref="B152:N152" si="19">HLOOKUP(B$141,$117:$133,15,FALSE)</f>
        <v>170.05904150000001</v>
      </c>
      <c r="C152" s="187">
        <f t="shared" si="19"/>
        <v>170.74740800000001</v>
      </c>
      <c r="D152" s="187">
        <f t="shared" si="19"/>
        <v>184.30269150000001</v>
      </c>
      <c r="E152" s="187">
        <f t="shared" si="19"/>
        <v>193.16825549999999</v>
      </c>
      <c r="F152" s="187">
        <f t="shared" si="19"/>
        <v>198.4023795</v>
      </c>
      <c r="G152" s="187">
        <f t="shared" si="19"/>
        <v>167.38102850000001</v>
      </c>
      <c r="H152" s="187">
        <f t="shared" si="19"/>
        <v>179.471082</v>
      </c>
      <c r="I152" s="187">
        <f t="shared" si="19"/>
        <v>164.8067685</v>
      </c>
      <c r="J152" s="187">
        <f t="shared" si="19"/>
        <v>171.82050699999999</v>
      </c>
      <c r="K152" s="187">
        <f t="shared" si="19"/>
        <v>159.55676600000001</v>
      </c>
      <c r="L152" s="187">
        <f t="shared" si="19"/>
        <v>138.52277699999999</v>
      </c>
      <c r="M152" s="187">
        <f t="shared" si="19"/>
        <v>173.90431599999999</v>
      </c>
      <c r="N152" s="187">
        <f t="shared" si="19"/>
        <v>163.790278</v>
      </c>
    </row>
    <row r="153" spans="1:15" s="188" customFormat="1" ht="12">
      <c r="A153" s="186" t="s">
        <v>69</v>
      </c>
      <c r="B153" s="187">
        <f t="shared" ref="B153:N153" si="20">HLOOKUP(B$141,$117:$133,14,FALSE)</f>
        <v>66.322567500000005</v>
      </c>
      <c r="C153" s="187">
        <f t="shared" si="20"/>
        <v>53.009402999999999</v>
      </c>
      <c r="D153" s="187">
        <f t="shared" si="20"/>
        <v>65.533088500000005</v>
      </c>
      <c r="E153" s="187">
        <f t="shared" si="20"/>
        <v>70.069195500000006</v>
      </c>
      <c r="F153" s="187">
        <f t="shared" si="20"/>
        <v>67.951940500000006</v>
      </c>
      <c r="G153" s="187">
        <f t="shared" si="20"/>
        <v>55.639892500000002</v>
      </c>
      <c r="H153" s="187">
        <f t="shared" si="20"/>
        <v>61.837724000000001</v>
      </c>
      <c r="I153" s="187">
        <f t="shared" si="20"/>
        <v>65.901263499999999</v>
      </c>
      <c r="J153" s="187">
        <f t="shared" si="20"/>
        <v>72.807829999999996</v>
      </c>
      <c r="K153" s="187">
        <f t="shared" si="20"/>
        <v>68.975128999999995</v>
      </c>
      <c r="L153" s="187">
        <f t="shared" si="20"/>
        <v>66.906879000000004</v>
      </c>
      <c r="M153" s="187">
        <f t="shared" si="20"/>
        <v>71.978429000000006</v>
      </c>
      <c r="N153" s="187">
        <f t="shared" si="20"/>
        <v>64.712738999999999</v>
      </c>
    </row>
    <row r="154" spans="1:15" s="188" customFormat="1" ht="12">
      <c r="A154" s="189" t="s">
        <v>96</v>
      </c>
      <c r="B154" s="190">
        <f>SUM(B142:B153)</f>
        <v>18986.558141103997</v>
      </c>
      <c r="C154" s="190">
        <f t="shared" ref="C154:N154" si="21">SUM(C142:C153)</f>
        <v>19532.546260023999</v>
      </c>
      <c r="D154" s="190">
        <f t="shared" si="21"/>
        <v>18795.289259016001</v>
      </c>
      <c r="E154" s="190">
        <f t="shared" si="21"/>
        <v>21139.128938809998</v>
      </c>
      <c r="F154" s="190">
        <f t="shared" si="21"/>
        <v>20218.393608435999</v>
      </c>
      <c r="G154" s="190">
        <f t="shared" si="21"/>
        <v>19406.972181196001</v>
      </c>
      <c r="H154" s="190">
        <f t="shared" si="21"/>
        <v>19438.477871362</v>
      </c>
      <c r="I154" s="190">
        <f t="shared" si="21"/>
        <v>21881.075366413999</v>
      </c>
      <c r="J154" s="190">
        <f t="shared" si="21"/>
        <v>22696.375837543997</v>
      </c>
      <c r="K154" s="190">
        <f t="shared" si="21"/>
        <v>23080.625056903998</v>
      </c>
      <c r="L154" s="190">
        <f t="shared" si="21"/>
        <v>20032.405113027995</v>
      </c>
      <c r="M154" s="190">
        <f t="shared" si="21"/>
        <v>21565.115983860003</v>
      </c>
      <c r="N154" s="190">
        <f t="shared" si="21"/>
        <v>20631.931570887999</v>
      </c>
    </row>
    <row r="156" spans="1:15" s="188" customFormat="1" ht="12">
      <c r="A156" s="192" t="s">
        <v>115</v>
      </c>
      <c r="B156" s="202">
        <f>B142+B147+B148+B149+B150+B153</f>
        <v>9139.9999766319997</v>
      </c>
      <c r="C156" s="202">
        <f t="shared" ref="C156:M156" si="22">C142+C147+C148+C149+C150+C153</f>
        <v>10208.271232960002</v>
      </c>
      <c r="D156" s="202">
        <f t="shared" si="22"/>
        <v>9069.0164849280009</v>
      </c>
      <c r="E156" s="202">
        <f t="shared" si="22"/>
        <v>10144.914530278</v>
      </c>
      <c r="F156" s="202">
        <f t="shared" si="22"/>
        <v>8961.2947426039991</v>
      </c>
      <c r="G156" s="202">
        <f t="shared" si="22"/>
        <v>7296.8418862400013</v>
      </c>
      <c r="H156" s="202">
        <f t="shared" si="22"/>
        <v>7807.567507660001</v>
      </c>
      <c r="I156" s="202">
        <f t="shared" si="22"/>
        <v>9507.0830240120013</v>
      </c>
      <c r="J156" s="202">
        <f t="shared" si="22"/>
        <v>10942.998025504001</v>
      </c>
      <c r="K156" s="202">
        <f t="shared" si="22"/>
        <v>9608.3499481439994</v>
      </c>
      <c r="L156" s="202">
        <f t="shared" si="22"/>
        <v>8080.0342340300003</v>
      </c>
      <c r="M156" s="202">
        <f t="shared" si="22"/>
        <v>10184.942879876002</v>
      </c>
      <c r="N156" s="202">
        <f>N142+N147+N148+N149+N150+N153</f>
        <v>10744.808971695998</v>
      </c>
    </row>
    <row r="157" spans="1:15" s="188" customFormat="1" ht="12">
      <c r="A157" s="192" t="s">
        <v>116</v>
      </c>
      <c r="B157" s="202">
        <f>B143+B144+B145+B146+B151+B152</f>
        <v>9846.5581644720005</v>
      </c>
      <c r="C157" s="202">
        <f t="shared" ref="C157:N157" si="23">C143+C144+C145+C146+C151+C152</f>
        <v>9324.2750270640008</v>
      </c>
      <c r="D157" s="202">
        <f t="shared" si="23"/>
        <v>9726.272774088</v>
      </c>
      <c r="E157" s="202">
        <f t="shared" si="23"/>
        <v>10994.214408532</v>
      </c>
      <c r="F157" s="202">
        <f t="shared" si="23"/>
        <v>11257.098865831998</v>
      </c>
      <c r="G157" s="202">
        <f t="shared" si="23"/>
        <v>12110.130294956001</v>
      </c>
      <c r="H157" s="202">
        <f t="shared" si="23"/>
        <v>11630.910363702002</v>
      </c>
      <c r="I157" s="202">
        <f t="shared" si="23"/>
        <v>12373.992342402</v>
      </c>
      <c r="J157" s="202">
        <f t="shared" si="23"/>
        <v>11753.377812039998</v>
      </c>
      <c r="K157" s="202">
        <f t="shared" si="23"/>
        <v>13472.275108759999</v>
      </c>
      <c r="L157" s="202">
        <f t="shared" si="23"/>
        <v>11952.370878997999</v>
      </c>
      <c r="M157" s="202">
        <f t="shared" si="23"/>
        <v>11380.173103984002</v>
      </c>
      <c r="N157" s="202">
        <f t="shared" si="23"/>
        <v>9887.1225991920001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48.139319979458605</v>
      </c>
      <c r="C158" s="193">
        <f t="shared" ref="C158:N158" si="24">C142/C$154*100+C147/C$154*100+C148/C$154*100+C149/C$154*100+C150/C$154*100+C153/C$154*100</f>
        <v>52.262880103105708</v>
      </c>
      <c r="D158" s="193">
        <f t="shared" si="24"/>
        <v>48.251539840375905</v>
      </c>
      <c r="E158" s="193">
        <f t="shared" si="24"/>
        <v>47.991166332557007</v>
      </c>
      <c r="F158" s="193">
        <f t="shared" si="24"/>
        <v>44.322486326831402</v>
      </c>
      <c r="G158" s="193">
        <f t="shared" si="24"/>
        <v>37.599074281716803</v>
      </c>
      <c r="H158" s="193">
        <f t="shared" si="24"/>
        <v>40.16552921133092</v>
      </c>
      <c r="I158" s="193">
        <f t="shared" si="24"/>
        <v>43.448883863380608</v>
      </c>
      <c r="J158" s="193">
        <f t="shared" si="24"/>
        <v>48.214737471003019</v>
      </c>
      <c r="K158" s="193">
        <f t="shared" si="24"/>
        <v>41.62950493955492</v>
      </c>
      <c r="L158" s="193">
        <f t="shared" si="24"/>
        <v>40.334818452603983</v>
      </c>
      <c r="M158" s="193">
        <f t="shared" si="24"/>
        <v>47.228787860444271</v>
      </c>
      <c r="N158" s="193">
        <f t="shared" si="24"/>
        <v>52.078541142784246</v>
      </c>
      <c r="O158" s="255">
        <f>N158-B158</f>
        <v>3.9392211633256409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51.860680020541409</v>
      </c>
      <c r="C159" s="193">
        <f>C143/C$154*100+C144/C$154*100+C145/C$154*100+C151/C$154*100+C152/C$154*100+C146/C$154*100</f>
        <v>47.737119896894306</v>
      </c>
      <c r="D159" s="193">
        <f>D143/D$154*100+D144/D$154*100+D145/D$154*100+D151/D$154*100+D152/D$154*100+D146/D$154*100</f>
        <v>51.748460159624088</v>
      </c>
      <c r="E159" s="193">
        <f>E143/E$154*100+E144/E$154*100+E145/E$154*100+E151/E$154*100+E152/E$154*100+E146/E$154*100</f>
        <v>52.008833667443</v>
      </c>
      <c r="F159" s="193">
        <f t="shared" ref="F159:M159" si="25">100-F158</f>
        <v>55.677513673168598</v>
      </c>
      <c r="G159" s="193">
        <f t="shared" si="25"/>
        <v>62.400925718283197</v>
      </c>
      <c r="H159" s="193">
        <f t="shared" si="25"/>
        <v>59.83447078866908</v>
      </c>
      <c r="I159" s="193">
        <f t="shared" si="25"/>
        <v>56.551116136619392</v>
      </c>
      <c r="J159" s="193">
        <f t="shared" si="25"/>
        <v>51.785262528996981</v>
      </c>
      <c r="K159" s="193">
        <f t="shared" si="25"/>
        <v>58.37049506044508</v>
      </c>
      <c r="L159" s="193">
        <f t="shared" si="25"/>
        <v>59.665181547396017</v>
      </c>
      <c r="M159" s="193">
        <f t="shared" si="25"/>
        <v>52.771212139555729</v>
      </c>
      <c r="N159" s="193">
        <f t="shared" ref="N159" si="26">100-N158</f>
        <v>47.921458857215754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B142+B144+B147+B148+B149+B150+B153</f>
        <v>13337.332906631998</v>
      </c>
      <c r="C164" s="187">
        <f t="shared" ref="C164:N164" si="27">C142+C144+C147+C148+C149+C150+C153</f>
        <v>14581.521784960001</v>
      </c>
      <c r="D164" s="187">
        <f t="shared" si="27"/>
        <v>12753.400289928</v>
      </c>
      <c r="E164" s="187">
        <f t="shared" si="27"/>
        <v>15264.243471278</v>
      </c>
      <c r="F164" s="187">
        <f t="shared" si="27"/>
        <v>14112.538314604</v>
      </c>
      <c r="G164" s="187">
        <f t="shared" si="27"/>
        <v>12187.34841124</v>
      </c>
      <c r="H164" s="187">
        <f t="shared" si="27"/>
        <v>12555.96245366</v>
      </c>
      <c r="I164" s="187">
        <f t="shared" si="27"/>
        <v>13069.441295011999</v>
      </c>
      <c r="J164" s="187">
        <f t="shared" si="27"/>
        <v>14865.853131504002</v>
      </c>
      <c r="K164" s="187">
        <f t="shared" si="27"/>
        <v>14656.774899144</v>
      </c>
      <c r="L164" s="187">
        <f t="shared" si="27"/>
        <v>12851.09314203</v>
      </c>
      <c r="M164" s="187">
        <f t="shared" si="27"/>
        <v>14951.734443876003</v>
      </c>
      <c r="N164" s="187">
        <f t="shared" si="27"/>
        <v>15158.533241695999</v>
      </c>
    </row>
    <row r="165" spans="1:19" s="188" customFormat="1" ht="12">
      <c r="A165" s="192" t="s">
        <v>20</v>
      </c>
      <c r="B165" s="187">
        <f>B145+B146+B151+B152</f>
        <v>5495.5455154999991</v>
      </c>
      <c r="C165" s="187">
        <f t="shared" ref="C165:N165" si="28">C145+C146+C151+C152</f>
        <v>4712.3155310000002</v>
      </c>
      <c r="D165" s="187">
        <f t="shared" si="28"/>
        <v>5936.1833114999999</v>
      </c>
      <c r="E165" s="187">
        <f t="shared" si="28"/>
        <v>5759.0938935000004</v>
      </c>
      <c r="F165" s="187">
        <f t="shared" si="28"/>
        <v>5946.1127825000003</v>
      </c>
      <c r="G165" s="187">
        <f t="shared" si="28"/>
        <v>7101.3839074999996</v>
      </c>
      <c r="H165" s="187">
        <f t="shared" si="28"/>
        <v>6650.4021789999997</v>
      </c>
      <c r="I165" s="187">
        <f t="shared" si="28"/>
        <v>8608.8472414999997</v>
      </c>
      <c r="J165" s="187">
        <f t="shared" si="28"/>
        <v>7560.6140820000001</v>
      </c>
      <c r="K165" s="187">
        <f t="shared" si="28"/>
        <v>8208.3979729999992</v>
      </c>
      <c r="L165" s="187">
        <f t="shared" si="28"/>
        <v>6896.2257819999995</v>
      </c>
      <c r="M165" s="187">
        <f t="shared" si="28"/>
        <v>6333.2707399999999</v>
      </c>
      <c r="N165" s="187">
        <f t="shared" si="28"/>
        <v>5136.6879770000005</v>
      </c>
    </row>
    <row r="166" spans="1:19" s="188" customFormat="1" ht="12">
      <c r="A166" s="192" t="s">
        <v>113</v>
      </c>
      <c r="B166" s="193">
        <f>B142/(B$154-B$143)*100+B147/(B$154-B$143)*100+B148/(B$154-B$143)*100+B149/(B$154-B$143)*100+B150/(B$154-B$143)*100+B144/(B$154-B$143)*100+B153/(B$154-B$143)*100</f>
        <v>70.819407462208488</v>
      </c>
      <c r="C166" s="193">
        <f t="shared" ref="C166:N166" si="29">C142/(C$154-C$143)*100+C147/(C$154-C$143)*100+C148/(C$154-C$143)*100+C149/(C$154-C$143)*100+C150/(C$154-C$143)*100+C144/(C$154-C$143)*100+C153/(C$154-C$143)*100</f>
        <v>75.576058542268626</v>
      </c>
      <c r="D166" s="193">
        <f t="shared" si="29"/>
        <v>68.238011942403901</v>
      </c>
      <c r="E166" s="193">
        <f t="shared" si="29"/>
        <v>72.606186194069025</v>
      </c>
      <c r="F166" s="193">
        <f t="shared" si="29"/>
        <v>70.356367665428508</v>
      </c>
      <c r="G166" s="193">
        <f t="shared" si="29"/>
        <v>63.183770762370735</v>
      </c>
      <c r="H166" s="193">
        <f t="shared" si="29"/>
        <v>65.373966879233677</v>
      </c>
      <c r="I166" s="193">
        <f t="shared" si="29"/>
        <v>60.288160077764388</v>
      </c>
      <c r="J166" s="193">
        <f t="shared" si="29"/>
        <v>66.287092790756589</v>
      </c>
      <c r="K166" s="193">
        <f t="shared" si="29"/>
        <v>64.10087070454621</v>
      </c>
      <c r="L166" s="193">
        <f t="shared" si="29"/>
        <v>65.077660372375107</v>
      </c>
      <c r="M166" s="193">
        <f t="shared" si="29"/>
        <v>70.245387843280213</v>
      </c>
      <c r="N166" s="193">
        <f t="shared" si="29"/>
        <v>74.690160202500905</v>
      </c>
      <c r="O166" s="290">
        <f>N166-B166</f>
        <v>3.8707527402924171</v>
      </c>
    </row>
    <row r="167" spans="1:19" s="188" customFormat="1" ht="12">
      <c r="A167" s="192" t="s">
        <v>114</v>
      </c>
      <c r="B167" s="193">
        <f>B151/(B$154-B$143)*100+B152/(B$154-B$143)*100+B145/(B$154-B$143)*100+B146/(B$154-B$143)*100</f>
        <v>29.180592537791526</v>
      </c>
      <c r="C167" s="193">
        <f t="shared" ref="C167:N167" si="30">C151/(C$154-C$143)*100+C152/(C$154-C$143)*100+C145/(C$154-C$143)*100+C146/(C$154-C$143)*100</f>
        <v>24.423941457731374</v>
      </c>
      <c r="D167" s="193">
        <f t="shared" si="30"/>
        <v>31.761988057596099</v>
      </c>
      <c r="E167" s="193">
        <f t="shared" si="30"/>
        <v>27.393813805930971</v>
      </c>
      <c r="F167" s="193">
        <f t="shared" si="30"/>
        <v>29.643632334571492</v>
      </c>
      <c r="G167" s="193">
        <f t="shared" si="30"/>
        <v>36.816229237629258</v>
      </c>
      <c r="H167" s="193">
        <f t="shared" si="30"/>
        <v>34.626033120766323</v>
      </c>
      <c r="I167" s="193">
        <f t="shared" si="30"/>
        <v>39.711839922235619</v>
      </c>
      <c r="J167" s="193">
        <f t="shared" si="30"/>
        <v>33.712907209243411</v>
      </c>
      <c r="K167" s="193">
        <f t="shared" si="30"/>
        <v>35.899129295453797</v>
      </c>
      <c r="L167" s="193">
        <f t="shared" si="30"/>
        <v>34.922339627624908</v>
      </c>
      <c r="M167" s="193">
        <f t="shared" si="30"/>
        <v>29.754612156719755</v>
      </c>
      <c r="N167" s="193">
        <f t="shared" si="30"/>
        <v>25.309839797499091</v>
      </c>
    </row>
    <row r="168" spans="1:19" s="188" customFormat="1" ht="12">
      <c r="A168" s="192"/>
      <c r="B168" s="192"/>
    </row>
    <row r="169" spans="1:19" s="188" customFormat="1" ht="12">
      <c r="A169" s="192" t="s">
        <v>240</v>
      </c>
      <c r="B169" s="192"/>
      <c r="N169" s="255"/>
    </row>
    <row r="170" spans="1:19" s="188" customFormat="1" ht="12">
      <c r="A170" s="192" t="s">
        <v>127</v>
      </c>
      <c r="B170" s="192"/>
    </row>
    <row r="175" spans="1:19">
      <c r="A175" s="174" t="s">
        <v>105</v>
      </c>
      <c r="B175" s="334" t="s">
        <v>98</v>
      </c>
      <c r="C175" s="335"/>
      <c r="D175" s="335"/>
      <c r="E175" s="335"/>
      <c r="F175" s="335"/>
      <c r="G175" s="335"/>
      <c r="H175" s="335"/>
      <c r="I175" s="335"/>
      <c r="J175" s="335"/>
      <c r="K175" s="335"/>
      <c r="L175" s="335"/>
      <c r="M175" s="335"/>
      <c r="N175" s="335"/>
      <c r="O175" s="335"/>
      <c r="P175" s="335"/>
      <c r="Q175" s="335"/>
      <c r="R175" s="335"/>
      <c r="S175" s="335"/>
    </row>
    <row r="176" spans="1:19">
      <c r="A176" s="174" t="s">
        <v>106</v>
      </c>
      <c r="B176" s="338" t="s">
        <v>119</v>
      </c>
      <c r="C176" s="339"/>
      <c r="D176" s="339"/>
      <c r="E176" s="339"/>
      <c r="F176" s="339"/>
      <c r="G176" s="339"/>
      <c r="H176" s="339"/>
      <c r="I176" s="339"/>
      <c r="J176" s="339"/>
      <c r="K176" s="339"/>
      <c r="L176" s="339"/>
      <c r="M176" s="339"/>
      <c r="N176" s="339"/>
      <c r="O176" s="339"/>
      <c r="P176" s="339"/>
      <c r="Q176" s="339"/>
      <c r="R176" s="339"/>
      <c r="S176" s="339"/>
    </row>
    <row r="177" spans="1:23">
      <c r="A177" s="179" t="s">
        <v>30</v>
      </c>
      <c r="B177" s="336" t="s">
        <v>230</v>
      </c>
      <c r="C177" s="337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337"/>
      <c r="Q177" s="337"/>
      <c r="R177" s="337"/>
      <c r="S177" s="337"/>
    </row>
    <row r="178" spans="1:23">
      <c r="A178" s="179" t="s">
        <v>107</v>
      </c>
      <c r="B178" s="316" t="s">
        <v>2</v>
      </c>
      <c r="C178" s="316" t="s">
        <v>81</v>
      </c>
      <c r="D178" s="316" t="s">
        <v>3</v>
      </c>
      <c r="E178" s="316" t="s">
        <v>4</v>
      </c>
      <c r="F178" s="316" t="s">
        <v>95</v>
      </c>
      <c r="G178" s="316" t="s">
        <v>11</v>
      </c>
      <c r="H178" s="316" t="s">
        <v>5</v>
      </c>
      <c r="I178" s="316" t="s">
        <v>6</v>
      </c>
      <c r="J178" s="316" t="s">
        <v>7</v>
      </c>
      <c r="K178" s="316" t="s">
        <v>8</v>
      </c>
      <c r="L178" s="316" t="s">
        <v>9</v>
      </c>
      <c r="M178" s="316" t="s">
        <v>69</v>
      </c>
      <c r="N178" s="316" t="s">
        <v>70</v>
      </c>
      <c r="O178" s="194" t="s">
        <v>10</v>
      </c>
      <c r="P178" s="316" t="s">
        <v>122</v>
      </c>
      <c r="Q178" s="316" t="s">
        <v>97</v>
      </c>
      <c r="R178" s="316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195"/>
      <c r="P179" s="310"/>
      <c r="Q179" s="310"/>
      <c r="R179" s="310"/>
      <c r="S179" s="195"/>
      <c r="V179" s="197"/>
      <c r="W179" s="197"/>
    </row>
    <row r="180" spans="1:23" ht="14.25">
      <c r="A180" s="311">
        <v>1</v>
      </c>
      <c r="B180" s="177">
        <v>62052.72625</v>
      </c>
      <c r="C180" s="177">
        <v>9807.9696800000002</v>
      </c>
      <c r="D180" s="177">
        <v>144055.68400000001</v>
      </c>
      <c r="E180" s="177">
        <v>4775.9489999999996</v>
      </c>
      <c r="F180" s="177">
        <v>0</v>
      </c>
      <c r="G180" s="177">
        <v>50942.817999999999</v>
      </c>
      <c r="H180" s="177">
        <v>319425.87699999998</v>
      </c>
      <c r="I180" s="177">
        <v>87823.770999999993</v>
      </c>
      <c r="J180" s="177">
        <v>12680.789000000001</v>
      </c>
      <c r="K180" s="177">
        <v>13745.973</v>
      </c>
      <c r="L180" s="177">
        <v>68396.11</v>
      </c>
      <c r="M180" s="177">
        <v>2026.1575</v>
      </c>
      <c r="N180" s="177">
        <v>4224.2695000000003</v>
      </c>
      <c r="O180" s="178">
        <v>779958.09392999997</v>
      </c>
      <c r="P180" s="177">
        <v>-19169.602999999999</v>
      </c>
      <c r="Q180" s="177">
        <v>-1006.429</v>
      </c>
      <c r="R180" s="177">
        <v>-89218.675000000003</v>
      </c>
      <c r="S180" s="178">
        <v>670563.38693000004</v>
      </c>
      <c r="V180" s="198">
        <f>IFERROR($H180/$O180*100,"")</f>
        <v>40.954235809067448</v>
      </c>
      <c r="W180" s="197">
        <f>IF($H180=0,"",$H180/1000)</f>
        <v>319.42587699999996</v>
      </c>
    </row>
    <row r="181" spans="1:23" ht="14.25">
      <c r="A181" s="311">
        <v>2</v>
      </c>
      <c r="B181" s="177">
        <v>46261.637913999999</v>
      </c>
      <c r="C181" s="177">
        <v>11779.12175</v>
      </c>
      <c r="D181" s="177">
        <v>143886.51699999999</v>
      </c>
      <c r="E181" s="177">
        <v>5996.2470000000003</v>
      </c>
      <c r="F181" s="177">
        <v>0</v>
      </c>
      <c r="G181" s="177">
        <v>54160.463000000003</v>
      </c>
      <c r="H181" s="177">
        <v>251407.815</v>
      </c>
      <c r="I181" s="177">
        <v>104571.88</v>
      </c>
      <c r="J181" s="177">
        <v>20011.974999999999</v>
      </c>
      <c r="K181" s="177">
        <v>14975.686</v>
      </c>
      <c r="L181" s="177">
        <v>60109.610999999997</v>
      </c>
      <c r="M181" s="177">
        <v>2070.2824999999998</v>
      </c>
      <c r="N181" s="177">
        <v>4082.0704999999998</v>
      </c>
      <c r="O181" s="178">
        <v>719313.30666400003</v>
      </c>
      <c r="P181" s="177">
        <v>-29001.378000000001</v>
      </c>
      <c r="Q181" s="177">
        <v>-1006.647</v>
      </c>
      <c r="R181" s="177">
        <v>-81840.785999999993</v>
      </c>
      <c r="S181" s="178">
        <v>607464.49566400005</v>
      </c>
      <c r="V181" s="198">
        <f t="shared" ref="V181:V210" si="31">IFERROR($H181/$O181*100,"")</f>
        <v>34.951086358455989</v>
      </c>
      <c r="W181" s="197">
        <f t="shared" ref="W181:W210" si="32">IF($H181=0,"",$H181/1000)</f>
        <v>251.407815</v>
      </c>
    </row>
    <row r="182" spans="1:23" ht="14.25">
      <c r="A182" s="311">
        <v>3</v>
      </c>
      <c r="B182" s="177">
        <v>35289.133505999998</v>
      </c>
      <c r="C182" s="177">
        <v>10037.973980000001</v>
      </c>
      <c r="D182" s="177">
        <v>143797.402</v>
      </c>
      <c r="E182" s="177">
        <v>4483.3739999999998</v>
      </c>
      <c r="F182" s="177">
        <v>0</v>
      </c>
      <c r="G182" s="177">
        <v>48132.673999999999</v>
      </c>
      <c r="H182" s="177">
        <v>244299.02600000001</v>
      </c>
      <c r="I182" s="177">
        <v>99306.995999999999</v>
      </c>
      <c r="J182" s="177">
        <v>15596.966</v>
      </c>
      <c r="K182" s="177">
        <v>14137.753000000001</v>
      </c>
      <c r="L182" s="177">
        <v>59613.228999999999</v>
      </c>
      <c r="M182" s="177">
        <v>2305.4760000000001</v>
      </c>
      <c r="N182" s="177">
        <v>4459.5240000000003</v>
      </c>
      <c r="O182" s="178">
        <v>681459.52748599998</v>
      </c>
      <c r="P182" s="177">
        <v>-34768.008000000002</v>
      </c>
      <c r="Q182" s="177">
        <v>-1006.516</v>
      </c>
      <c r="R182" s="177">
        <v>-70332.937000000005</v>
      </c>
      <c r="S182" s="178">
        <v>575352.06648599997</v>
      </c>
      <c r="V182" s="198">
        <f t="shared" si="31"/>
        <v>35.849381532789401</v>
      </c>
      <c r="W182" s="197">
        <f t="shared" si="32"/>
        <v>244.29902600000003</v>
      </c>
    </row>
    <row r="183" spans="1:23" ht="14.25">
      <c r="A183" s="311">
        <v>4</v>
      </c>
      <c r="B183" s="177">
        <v>54055.006655999998</v>
      </c>
      <c r="C183" s="177">
        <v>13950.023106000001</v>
      </c>
      <c r="D183" s="177">
        <v>143753.09299999999</v>
      </c>
      <c r="E183" s="177">
        <v>15807.438</v>
      </c>
      <c r="F183" s="177">
        <v>0</v>
      </c>
      <c r="G183" s="177">
        <v>69337.192999999999</v>
      </c>
      <c r="H183" s="177">
        <v>297468.07</v>
      </c>
      <c r="I183" s="177">
        <v>54953.131000000001</v>
      </c>
      <c r="J183" s="177">
        <v>2861.806</v>
      </c>
      <c r="K183" s="177">
        <v>14419.894</v>
      </c>
      <c r="L183" s="177">
        <v>65616.784</v>
      </c>
      <c r="M183" s="177">
        <v>2388.415</v>
      </c>
      <c r="N183" s="177">
        <v>4785.7520000000004</v>
      </c>
      <c r="O183" s="178">
        <v>739396.60576199996</v>
      </c>
      <c r="P183" s="177">
        <v>-8771.6370000000006</v>
      </c>
      <c r="Q183" s="177">
        <v>-1006.172</v>
      </c>
      <c r="R183" s="177">
        <v>-28101.553</v>
      </c>
      <c r="S183" s="178">
        <v>701517.243762</v>
      </c>
      <c r="V183" s="198">
        <f t="shared" si="31"/>
        <v>40.231192256209823</v>
      </c>
      <c r="W183" s="197">
        <f t="shared" si="32"/>
        <v>297.46807000000001</v>
      </c>
    </row>
    <row r="184" spans="1:23" ht="14.25">
      <c r="A184" s="311">
        <v>5</v>
      </c>
      <c r="B184" s="177">
        <v>78571.280679999996</v>
      </c>
      <c r="C184" s="177">
        <v>14832.925359999999</v>
      </c>
      <c r="D184" s="177">
        <v>143507.31700000001</v>
      </c>
      <c r="E184" s="177">
        <v>32537.616999999998</v>
      </c>
      <c r="F184" s="177">
        <v>0</v>
      </c>
      <c r="G184" s="177">
        <v>155116.399</v>
      </c>
      <c r="H184" s="177">
        <v>179118.66200000001</v>
      </c>
      <c r="I184" s="177">
        <v>38964.872000000003</v>
      </c>
      <c r="J184" s="177">
        <v>260.35399999999998</v>
      </c>
      <c r="K184" s="177">
        <v>14093.968999999999</v>
      </c>
      <c r="L184" s="177">
        <v>70195.429999999993</v>
      </c>
      <c r="M184" s="177">
        <v>2409.5790000000002</v>
      </c>
      <c r="N184" s="177">
        <v>4705.18</v>
      </c>
      <c r="O184" s="178">
        <v>734313.58504000003</v>
      </c>
      <c r="P184" s="177">
        <v>-4277.7780000000002</v>
      </c>
      <c r="Q184" s="177">
        <v>-1007.079</v>
      </c>
      <c r="R184" s="177">
        <v>-8108.6009999999997</v>
      </c>
      <c r="S184" s="178">
        <v>720920.12704000005</v>
      </c>
      <c r="V184" s="198">
        <f t="shared" si="31"/>
        <v>24.39266624629353</v>
      </c>
      <c r="W184" s="197">
        <f t="shared" si="32"/>
        <v>179.118662</v>
      </c>
    </row>
    <row r="185" spans="1:23" ht="14.25">
      <c r="A185" s="311">
        <v>6</v>
      </c>
      <c r="B185" s="177">
        <v>68260.110249999998</v>
      </c>
      <c r="C185" s="177">
        <v>6914.5514999999996</v>
      </c>
      <c r="D185" s="177">
        <v>143336.73300000001</v>
      </c>
      <c r="E185" s="177">
        <v>37926.773999999998</v>
      </c>
      <c r="F185" s="177">
        <v>0</v>
      </c>
      <c r="G185" s="177">
        <v>162590.09899999999</v>
      </c>
      <c r="H185" s="177">
        <v>139997.40599999999</v>
      </c>
      <c r="I185" s="177">
        <v>92944.876999999993</v>
      </c>
      <c r="J185" s="177">
        <v>12930.424999999999</v>
      </c>
      <c r="K185" s="177">
        <v>14330.442999999999</v>
      </c>
      <c r="L185" s="177">
        <v>69832.183000000005</v>
      </c>
      <c r="M185" s="177">
        <v>2358.6125000000002</v>
      </c>
      <c r="N185" s="177">
        <v>5083.0834999999997</v>
      </c>
      <c r="O185" s="178">
        <v>756505.29775000003</v>
      </c>
      <c r="P185" s="177">
        <v>-12181.632</v>
      </c>
      <c r="Q185" s="177">
        <v>-1005.782</v>
      </c>
      <c r="R185" s="177">
        <v>-40640.917999999998</v>
      </c>
      <c r="S185" s="178">
        <v>702676.96574999997</v>
      </c>
      <c r="V185" s="198">
        <f t="shared" si="31"/>
        <v>18.505806425464648</v>
      </c>
      <c r="W185" s="197">
        <f t="shared" si="32"/>
        <v>139.99740599999998</v>
      </c>
    </row>
    <row r="186" spans="1:23" ht="14.25">
      <c r="A186" s="311">
        <v>7</v>
      </c>
      <c r="B186" s="177">
        <v>47919.429396</v>
      </c>
      <c r="C186" s="177">
        <v>16311.500153999999</v>
      </c>
      <c r="D186" s="177">
        <v>146807.43599999999</v>
      </c>
      <c r="E186" s="177">
        <v>35668.343999999997</v>
      </c>
      <c r="F186" s="177">
        <v>0</v>
      </c>
      <c r="G186" s="177">
        <v>34684.459000000003</v>
      </c>
      <c r="H186" s="177">
        <v>291098.68800000002</v>
      </c>
      <c r="I186" s="177">
        <v>104750.732</v>
      </c>
      <c r="J186" s="177">
        <v>19688.582999999999</v>
      </c>
      <c r="K186" s="177">
        <v>14084.31</v>
      </c>
      <c r="L186" s="177">
        <v>65365.656000000003</v>
      </c>
      <c r="M186" s="177">
        <v>2306.846</v>
      </c>
      <c r="N186" s="177">
        <v>5812.1059999999998</v>
      </c>
      <c r="O186" s="178">
        <v>784498.08955000003</v>
      </c>
      <c r="P186" s="177">
        <v>-36275.182000000001</v>
      </c>
      <c r="Q186" s="177">
        <v>-1006.2140000000001</v>
      </c>
      <c r="R186" s="177">
        <v>-65606.740000000005</v>
      </c>
      <c r="S186" s="178">
        <v>681609.95354999998</v>
      </c>
      <c r="V186" s="198">
        <f t="shared" si="31"/>
        <v>37.106360343972113</v>
      </c>
      <c r="W186" s="197">
        <f t="shared" si="32"/>
        <v>291.09868800000004</v>
      </c>
    </row>
    <row r="187" spans="1:23" ht="14.25">
      <c r="A187" s="311">
        <v>8</v>
      </c>
      <c r="B187" s="177">
        <v>44472.335330000002</v>
      </c>
      <c r="C187" s="177">
        <v>21947.017159999999</v>
      </c>
      <c r="D187" s="177">
        <v>144406.62400000001</v>
      </c>
      <c r="E187" s="177">
        <v>34435.512000000002</v>
      </c>
      <c r="F187" s="177">
        <v>0</v>
      </c>
      <c r="G187" s="177">
        <v>35349.71</v>
      </c>
      <c r="H187" s="177">
        <v>340695.071</v>
      </c>
      <c r="I187" s="177">
        <v>77287.721000000005</v>
      </c>
      <c r="J187" s="177">
        <v>9780.5400000000009</v>
      </c>
      <c r="K187" s="177">
        <v>14369.987999999999</v>
      </c>
      <c r="L187" s="177">
        <v>57030.915000000001</v>
      </c>
      <c r="M187" s="177">
        <v>2216.3429999999998</v>
      </c>
      <c r="N187" s="177">
        <v>5644.1360000000004</v>
      </c>
      <c r="O187" s="178">
        <v>787635.91249000002</v>
      </c>
      <c r="P187" s="177">
        <v>-25856.495999999999</v>
      </c>
      <c r="Q187" s="177">
        <v>-1447.1569999999999</v>
      </c>
      <c r="R187" s="177">
        <v>-93806.472999999998</v>
      </c>
      <c r="S187" s="178">
        <v>666525.78648999997</v>
      </c>
      <c r="V187" s="198">
        <f t="shared" si="31"/>
        <v>43.255400826371734</v>
      </c>
      <c r="W187" s="197">
        <f t="shared" si="32"/>
        <v>340.69507099999998</v>
      </c>
    </row>
    <row r="188" spans="1:23" ht="14.25">
      <c r="A188" s="311">
        <v>9</v>
      </c>
      <c r="B188" s="177">
        <v>62475.552563999998</v>
      </c>
      <c r="C188" s="177">
        <v>13532.08612</v>
      </c>
      <c r="D188" s="177">
        <v>142830.79699999999</v>
      </c>
      <c r="E188" s="177">
        <v>38035.908000000003</v>
      </c>
      <c r="F188" s="177">
        <v>0</v>
      </c>
      <c r="G188" s="177">
        <v>82796.828999999998</v>
      </c>
      <c r="H188" s="177">
        <v>143248.67199999999</v>
      </c>
      <c r="I188" s="177">
        <v>80001.706999999995</v>
      </c>
      <c r="J188" s="177">
        <v>9868.6779999999999</v>
      </c>
      <c r="K188" s="177">
        <v>14636.253000000001</v>
      </c>
      <c r="L188" s="177">
        <v>63324.739000000001</v>
      </c>
      <c r="M188" s="177">
        <v>2451.3114999999998</v>
      </c>
      <c r="N188" s="177">
        <v>6167.3194999999996</v>
      </c>
      <c r="O188" s="178">
        <v>659369.85268400004</v>
      </c>
      <c r="P188" s="177">
        <v>-9592.3019999999997</v>
      </c>
      <c r="Q188" s="177">
        <v>-1007.942</v>
      </c>
      <c r="R188" s="177">
        <v>-65520.26</v>
      </c>
      <c r="S188" s="178">
        <v>583249.34868399997</v>
      </c>
      <c r="V188" s="198">
        <f t="shared" si="31"/>
        <v>21.725086674329841</v>
      </c>
      <c r="W188" s="197">
        <f t="shared" si="32"/>
        <v>143.248672</v>
      </c>
    </row>
    <row r="189" spans="1:23" ht="14.25">
      <c r="A189" s="311">
        <v>10</v>
      </c>
      <c r="B189" s="177">
        <v>32597.925685999999</v>
      </c>
      <c r="C189" s="177">
        <v>15365.065156000001</v>
      </c>
      <c r="D189" s="177">
        <v>142353.39300000001</v>
      </c>
      <c r="E189" s="177">
        <v>17936.565999999999</v>
      </c>
      <c r="F189" s="177">
        <v>0</v>
      </c>
      <c r="G189" s="177">
        <v>60454.487999999998</v>
      </c>
      <c r="H189" s="177">
        <v>188452.39799999999</v>
      </c>
      <c r="I189" s="177">
        <v>96881.777000000002</v>
      </c>
      <c r="J189" s="177">
        <v>20019.832999999999</v>
      </c>
      <c r="K189" s="177">
        <v>13725.285</v>
      </c>
      <c r="L189" s="177">
        <v>53091.601000000002</v>
      </c>
      <c r="M189" s="177">
        <v>2320.6619999999998</v>
      </c>
      <c r="N189" s="177">
        <v>5728.2849999999999</v>
      </c>
      <c r="O189" s="178">
        <v>648927.27884200006</v>
      </c>
      <c r="P189" s="177">
        <v>-49281.23</v>
      </c>
      <c r="Q189" s="177">
        <v>-2048.1550000000002</v>
      </c>
      <c r="R189" s="177">
        <v>-59089.529000000002</v>
      </c>
      <c r="S189" s="178">
        <v>538508.36484199995</v>
      </c>
      <c r="V189" s="198">
        <f t="shared" si="31"/>
        <v>29.040603492010714</v>
      </c>
      <c r="W189" s="197">
        <f t="shared" si="32"/>
        <v>188.45239799999999</v>
      </c>
    </row>
    <row r="190" spans="1:23" ht="14.25">
      <c r="A190" s="311">
        <v>11</v>
      </c>
      <c r="B190" s="177">
        <v>38474.969585999999</v>
      </c>
      <c r="C190" s="177">
        <v>12557.347169999999</v>
      </c>
      <c r="D190" s="177">
        <v>143577.147</v>
      </c>
      <c r="E190" s="177">
        <v>15155.47</v>
      </c>
      <c r="F190" s="177">
        <v>0</v>
      </c>
      <c r="G190" s="177">
        <v>43388.883999999998</v>
      </c>
      <c r="H190" s="177">
        <v>342233.61200000002</v>
      </c>
      <c r="I190" s="177">
        <v>69258.377999999997</v>
      </c>
      <c r="J190" s="177">
        <v>7682.1850000000004</v>
      </c>
      <c r="K190" s="177">
        <v>14378.620999999999</v>
      </c>
      <c r="L190" s="177">
        <v>52090.442999999999</v>
      </c>
      <c r="M190" s="177">
        <v>2203.9839999999999</v>
      </c>
      <c r="N190" s="177">
        <v>5541.1220000000003</v>
      </c>
      <c r="O190" s="178">
        <v>746542.16275599995</v>
      </c>
      <c r="P190" s="177">
        <v>-31513.366999999998</v>
      </c>
      <c r="Q190" s="177">
        <v>-1007.3819999999999</v>
      </c>
      <c r="R190" s="177">
        <v>-86074.061000000002</v>
      </c>
      <c r="S190" s="178">
        <v>627947.35275600001</v>
      </c>
      <c r="V190" s="198">
        <f t="shared" si="31"/>
        <v>45.842502818136978</v>
      </c>
      <c r="W190" s="197">
        <f t="shared" si="32"/>
        <v>342.23361200000005</v>
      </c>
    </row>
    <row r="191" spans="1:23" ht="14.25">
      <c r="A191" s="311">
        <v>12</v>
      </c>
      <c r="B191" s="177">
        <v>64707.002822000002</v>
      </c>
      <c r="C191" s="177">
        <v>8724.1712700000007</v>
      </c>
      <c r="D191" s="177">
        <v>156295.08100000001</v>
      </c>
      <c r="E191" s="177">
        <v>29088.449000000001</v>
      </c>
      <c r="F191" s="177">
        <v>0</v>
      </c>
      <c r="G191" s="177">
        <v>146890.666</v>
      </c>
      <c r="H191" s="177">
        <v>172471.05900000001</v>
      </c>
      <c r="I191" s="177">
        <v>51573.760000000002</v>
      </c>
      <c r="J191" s="177">
        <v>2462.2860000000001</v>
      </c>
      <c r="K191" s="177">
        <v>14596.335999999999</v>
      </c>
      <c r="L191" s="177">
        <v>61058.307000000001</v>
      </c>
      <c r="M191" s="177">
        <v>2399.5645</v>
      </c>
      <c r="N191" s="177">
        <v>5921.2275</v>
      </c>
      <c r="O191" s="178">
        <v>716187.91009200003</v>
      </c>
      <c r="P191" s="177">
        <v>-4511.4110000000001</v>
      </c>
      <c r="Q191" s="177">
        <v>-1007.078</v>
      </c>
      <c r="R191" s="177">
        <v>-63466.504000000001</v>
      </c>
      <c r="S191" s="178">
        <v>647202.91709200002</v>
      </c>
      <c r="V191" s="198">
        <f t="shared" si="31"/>
        <v>24.081816597245371</v>
      </c>
      <c r="W191" s="197">
        <f t="shared" si="32"/>
        <v>172.471059</v>
      </c>
    </row>
    <row r="192" spans="1:23" ht="14.25">
      <c r="A192" s="311">
        <v>13</v>
      </c>
      <c r="B192" s="177">
        <v>65455.357400000001</v>
      </c>
      <c r="C192" s="177">
        <v>13122.082528000001</v>
      </c>
      <c r="D192" s="177">
        <v>166296.13800000001</v>
      </c>
      <c r="E192" s="177">
        <v>36680.218000000001</v>
      </c>
      <c r="F192" s="177">
        <v>0</v>
      </c>
      <c r="G192" s="177">
        <v>115815.435</v>
      </c>
      <c r="H192" s="177">
        <v>115374.33199999999</v>
      </c>
      <c r="I192" s="177">
        <v>74857.565000000002</v>
      </c>
      <c r="J192" s="177">
        <v>12479.460999999999</v>
      </c>
      <c r="K192" s="177">
        <v>14699.128000000001</v>
      </c>
      <c r="L192" s="177">
        <v>62199.381000000001</v>
      </c>
      <c r="M192" s="177">
        <v>2390.424</v>
      </c>
      <c r="N192" s="177">
        <v>5996.0320000000002</v>
      </c>
      <c r="O192" s="178">
        <v>685365.55392800004</v>
      </c>
      <c r="P192" s="177">
        <v>-2972.45</v>
      </c>
      <c r="Q192" s="177">
        <v>-1006.862</v>
      </c>
      <c r="R192" s="177">
        <v>-36975.54</v>
      </c>
      <c r="S192" s="178">
        <v>644410.70192799997</v>
      </c>
      <c r="V192" s="198">
        <f t="shared" si="31"/>
        <v>16.833984628897831</v>
      </c>
      <c r="W192" s="197">
        <f t="shared" si="32"/>
        <v>115.374332</v>
      </c>
    </row>
    <row r="193" spans="1:23" ht="14.25">
      <c r="A193" s="311">
        <v>14</v>
      </c>
      <c r="B193" s="177">
        <v>49814.686371999996</v>
      </c>
      <c r="C193" s="177">
        <v>6073.2294279999996</v>
      </c>
      <c r="D193" s="177">
        <v>167565.889</v>
      </c>
      <c r="E193" s="177">
        <v>34981.249000000003</v>
      </c>
      <c r="F193" s="177">
        <v>0</v>
      </c>
      <c r="G193" s="177">
        <v>66961.914999999994</v>
      </c>
      <c r="H193" s="177">
        <v>111756.594</v>
      </c>
      <c r="I193" s="177">
        <v>95037.865000000005</v>
      </c>
      <c r="J193" s="177">
        <v>17686.205000000002</v>
      </c>
      <c r="K193" s="177">
        <v>14967.593999999999</v>
      </c>
      <c r="L193" s="177">
        <v>54627.65</v>
      </c>
      <c r="M193" s="177">
        <v>2432.8465000000001</v>
      </c>
      <c r="N193" s="177">
        <v>5850.9835000000003</v>
      </c>
      <c r="O193" s="178">
        <v>627756.70680000004</v>
      </c>
      <c r="P193" s="177">
        <v>-17625.636999999999</v>
      </c>
      <c r="Q193" s="177">
        <v>-1006.474</v>
      </c>
      <c r="R193" s="177">
        <v>-62172.372000000003</v>
      </c>
      <c r="S193" s="178">
        <v>546952.22380000004</v>
      </c>
      <c r="V193" s="198">
        <f t="shared" si="31"/>
        <v>17.802532858578452</v>
      </c>
      <c r="W193" s="197">
        <f t="shared" si="32"/>
        <v>111.75659399999999</v>
      </c>
    </row>
    <row r="194" spans="1:23" ht="14.25">
      <c r="A194" s="311">
        <v>15</v>
      </c>
      <c r="B194" s="177">
        <v>43284.152152000002</v>
      </c>
      <c r="C194" s="177">
        <v>10585.176928000001</v>
      </c>
      <c r="D194" s="177">
        <v>166914.462</v>
      </c>
      <c r="E194" s="177">
        <v>30478.897000000001</v>
      </c>
      <c r="F194" s="177">
        <v>0</v>
      </c>
      <c r="G194" s="177">
        <v>85022.722999999998</v>
      </c>
      <c r="H194" s="177">
        <v>61965.98</v>
      </c>
      <c r="I194" s="177">
        <v>103547.018</v>
      </c>
      <c r="J194" s="177">
        <v>21636.396000000001</v>
      </c>
      <c r="K194" s="177">
        <v>15125.16</v>
      </c>
      <c r="L194" s="177">
        <v>49551.103999999999</v>
      </c>
      <c r="M194" s="177">
        <v>2404.9765000000002</v>
      </c>
      <c r="N194" s="177">
        <v>5915.8225000000002</v>
      </c>
      <c r="O194" s="178">
        <v>596431.86808000004</v>
      </c>
      <c r="P194" s="177">
        <v>-29575.762999999999</v>
      </c>
      <c r="Q194" s="177">
        <v>-1007.295</v>
      </c>
      <c r="R194" s="177">
        <v>-65636.097999999998</v>
      </c>
      <c r="S194" s="178">
        <v>500212.71208000003</v>
      </c>
      <c r="V194" s="198">
        <f t="shared" si="31"/>
        <v>10.389448202940162</v>
      </c>
      <c r="W194" s="197">
        <f t="shared" si="32"/>
        <v>61.965980000000002</v>
      </c>
    </row>
    <row r="195" spans="1:23" ht="14.25">
      <c r="A195" s="311">
        <v>16</v>
      </c>
      <c r="B195" s="177">
        <v>34041.242555999997</v>
      </c>
      <c r="C195" s="177">
        <v>13529.547484000001</v>
      </c>
      <c r="D195" s="177">
        <v>166506.50700000001</v>
      </c>
      <c r="E195" s="177">
        <v>19960.89</v>
      </c>
      <c r="F195" s="177">
        <v>0</v>
      </c>
      <c r="G195" s="177">
        <v>63709.96</v>
      </c>
      <c r="H195" s="177">
        <v>132325.622</v>
      </c>
      <c r="I195" s="177">
        <v>110574.503</v>
      </c>
      <c r="J195" s="177">
        <v>23490.569</v>
      </c>
      <c r="K195" s="177">
        <v>14445.075000000001</v>
      </c>
      <c r="L195" s="177">
        <v>43095.498</v>
      </c>
      <c r="M195" s="177">
        <v>2361.4375</v>
      </c>
      <c r="N195" s="177">
        <v>5987.5415000000003</v>
      </c>
      <c r="O195" s="178">
        <v>630028.39304</v>
      </c>
      <c r="P195" s="177">
        <v>-49897.574000000001</v>
      </c>
      <c r="Q195" s="177">
        <v>-1114.3969999999999</v>
      </c>
      <c r="R195" s="177">
        <v>-65236.063000000002</v>
      </c>
      <c r="S195" s="178">
        <v>513780.35904000001</v>
      </c>
      <c r="V195" s="198">
        <f t="shared" si="31"/>
        <v>21.003120408828742</v>
      </c>
      <c r="W195" s="197">
        <f t="shared" si="32"/>
        <v>132.32562200000001</v>
      </c>
    </row>
    <row r="196" spans="1:23" ht="14.25">
      <c r="A196" s="311">
        <v>17</v>
      </c>
      <c r="B196" s="177">
        <v>41367.063038</v>
      </c>
      <c r="C196" s="177">
        <v>12380.870626</v>
      </c>
      <c r="D196" s="177">
        <v>166260.674</v>
      </c>
      <c r="E196" s="177">
        <v>17470.044999999998</v>
      </c>
      <c r="F196" s="177">
        <v>0</v>
      </c>
      <c r="G196" s="177">
        <v>50057.023000000001</v>
      </c>
      <c r="H196" s="177">
        <v>121604.59600000001</v>
      </c>
      <c r="I196" s="177">
        <v>101569.496</v>
      </c>
      <c r="J196" s="177">
        <v>19800.092000000001</v>
      </c>
      <c r="K196" s="177">
        <v>14582.772999999999</v>
      </c>
      <c r="L196" s="177">
        <v>38992.127</v>
      </c>
      <c r="M196" s="177">
        <v>2320.328</v>
      </c>
      <c r="N196" s="177">
        <v>5831.9459999999999</v>
      </c>
      <c r="O196" s="178">
        <v>592237.03366399999</v>
      </c>
      <c r="P196" s="177">
        <v>-35318.294000000002</v>
      </c>
      <c r="Q196" s="177">
        <v>-1411.732</v>
      </c>
      <c r="R196" s="177">
        <v>-63999.514999999999</v>
      </c>
      <c r="S196" s="178">
        <v>491507.49266400002</v>
      </c>
      <c r="V196" s="198">
        <f t="shared" si="31"/>
        <v>20.533095549203903</v>
      </c>
      <c r="W196" s="197">
        <f t="shared" si="32"/>
        <v>121.604596</v>
      </c>
    </row>
    <row r="197" spans="1:23" ht="14.25">
      <c r="A197" s="311">
        <v>18</v>
      </c>
      <c r="B197" s="177">
        <v>48084.911187999998</v>
      </c>
      <c r="C197" s="177">
        <v>10509.224436</v>
      </c>
      <c r="D197" s="177">
        <v>166120.416</v>
      </c>
      <c r="E197" s="177">
        <v>23050.075000000001</v>
      </c>
      <c r="F197" s="177">
        <v>0</v>
      </c>
      <c r="G197" s="177">
        <v>34790.612999999998</v>
      </c>
      <c r="H197" s="177">
        <v>169321.38699999999</v>
      </c>
      <c r="I197" s="177">
        <v>106139.568</v>
      </c>
      <c r="J197" s="177">
        <v>21584.223000000002</v>
      </c>
      <c r="K197" s="177">
        <v>14391.535</v>
      </c>
      <c r="L197" s="177">
        <v>42561.904000000002</v>
      </c>
      <c r="M197" s="177">
        <v>2325.8609999999999</v>
      </c>
      <c r="N197" s="177">
        <v>5856.8689999999997</v>
      </c>
      <c r="O197" s="178">
        <v>644736.58662399999</v>
      </c>
      <c r="P197" s="177">
        <v>-25333.371999999999</v>
      </c>
      <c r="Q197" s="177">
        <v>-1077.8399999999999</v>
      </c>
      <c r="R197" s="177">
        <v>-76347.258000000002</v>
      </c>
      <c r="S197" s="178">
        <v>541978.11662400002</v>
      </c>
      <c r="V197" s="198">
        <f t="shared" si="31"/>
        <v>26.262103084084089</v>
      </c>
      <c r="W197" s="197">
        <f t="shared" si="32"/>
        <v>169.32138699999999</v>
      </c>
    </row>
    <row r="198" spans="1:23" ht="14.25">
      <c r="A198" s="311">
        <v>19</v>
      </c>
      <c r="B198" s="177">
        <v>51693.414978000001</v>
      </c>
      <c r="C198" s="177">
        <v>20495.393833999999</v>
      </c>
      <c r="D198" s="177">
        <v>165859.639</v>
      </c>
      <c r="E198" s="177">
        <v>16790.421999999999</v>
      </c>
      <c r="F198" s="177">
        <v>0</v>
      </c>
      <c r="G198" s="177">
        <v>36531.953999999998</v>
      </c>
      <c r="H198" s="177">
        <v>240230.95699999999</v>
      </c>
      <c r="I198" s="177">
        <v>69624.952000000005</v>
      </c>
      <c r="J198" s="177">
        <v>12154.252</v>
      </c>
      <c r="K198" s="177">
        <v>14724.038</v>
      </c>
      <c r="L198" s="177">
        <v>45866.777999999998</v>
      </c>
      <c r="M198" s="177">
        <v>2330.9144999999999</v>
      </c>
      <c r="N198" s="177">
        <v>5741.0694999999996</v>
      </c>
      <c r="O198" s="178">
        <v>682043.784812</v>
      </c>
      <c r="P198" s="177">
        <v>-12954.97</v>
      </c>
      <c r="Q198" s="177">
        <v>-993.16800000000001</v>
      </c>
      <c r="R198" s="177">
        <v>-49382.946000000004</v>
      </c>
      <c r="S198" s="178">
        <v>618712.70081199997</v>
      </c>
      <c r="V198" s="198">
        <f t="shared" si="31"/>
        <v>35.222219210782448</v>
      </c>
      <c r="W198" s="197">
        <f t="shared" si="32"/>
        <v>240.23095699999999</v>
      </c>
    </row>
    <row r="199" spans="1:23" ht="14.25">
      <c r="A199" s="311">
        <v>20</v>
      </c>
      <c r="B199" s="177">
        <v>57953.379000000001</v>
      </c>
      <c r="C199" s="177">
        <v>10191.700000000001</v>
      </c>
      <c r="D199" s="177">
        <v>165762.78899999999</v>
      </c>
      <c r="E199" s="177">
        <v>16166.618</v>
      </c>
      <c r="F199" s="177">
        <v>0</v>
      </c>
      <c r="G199" s="177">
        <v>31956.096000000001</v>
      </c>
      <c r="H199" s="177">
        <v>340037.837</v>
      </c>
      <c r="I199" s="177">
        <v>49764.887999999999</v>
      </c>
      <c r="J199" s="177">
        <v>4439.5709999999999</v>
      </c>
      <c r="K199" s="177">
        <v>13837.785</v>
      </c>
      <c r="L199" s="177">
        <v>42289.877</v>
      </c>
      <c r="M199" s="177">
        <v>2183.596</v>
      </c>
      <c r="N199" s="177">
        <v>5492.4390000000003</v>
      </c>
      <c r="O199" s="178">
        <v>740076.57499999995</v>
      </c>
      <c r="P199" s="177">
        <v>-16573.460999999999</v>
      </c>
      <c r="Q199" s="177">
        <v>-1283.818</v>
      </c>
      <c r="R199" s="177">
        <v>-62944.483999999997</v>
      </c>
      <c r="S199" s="178">
        <v>659274.81200000003</v>
      </c>
      <c r="V199" s="198">
        <f t="shared" si="31"/>
        <v>45.946304542877883</v>
      </c>
      <c r="W199" s="197">
        <f t="shared" si="32"/>
        <v>340.03783700000002</v>
      </c>
    </row>
    <row r="200" spans="1:23" ht="14.25">
      <c r="A200" s="311">
        <v>21</v>
      </c>
      <c r="B200" s="177">
        <v>73969.302668000004</v>
      </c>
      <c r="C200" s="177">
        <v>15605.54234</v>
      </c>
      <c r="D200" s="177">
        <v>165574.87599999999</v>
      </c>
      <c r="E200" s="177">
        <v>17870.446</v>
      </c>
      <c r="F200" s="177">
        <v>0</v>
      </c>
      <c r="G200" s="177">
        <v>53991.309000000001</v>
      </c>
      <c r="H200" s="177">
        <v>218939.014</v>
      </c>
      <c r="I200" s="177">
        <v>97867.688999999998</v>
      </c>
      <c r="J200" s="177">
        <v>18400.083999999999</v>
      </c>
      <c r="K200" s="177">
        <v>14605.201999999999</v>
      </c>
      <c r="L200" s="177">
        <v>50454.180999999997</v>
      </c>
      <c r="M200" s="177">
        <v>2294.1095</v>
      </c>
      <c r="N200" s="177">
        <v>5755.7894999999999</v>
      </c>
      <c r="O200" s="178">
        <v>735327.54500799999</v>
      </c>
      <c r="P200" s="177">
        <v>-6551.1729999999998</v>
      </c>
      <c r="Q200" s="177">
        <v>-972.173</v>
      </c>
      <c r="R200" s="177">
        <v>-70105.150999999998</v>
      </c>
      <c r="S200" s="178">
        <v>657699.04800800001</v>
      </c>
      <c r="V200" s="198">
        <f t="shared" si="31"/>
        <v>29.774352325890096</v>
      </c>
      <c r="W200" s="197">
        <f t="shared" si="32"/>
        <v>218.93901399999999</v>
      </c>
    </row>
    <row r="201" spans="1:23" ht="14.25">
      <c r="A201" s="311">
        <v>22</v>
      </c>
      <c r="B201" s="177">
        <v>76304.974772000001</v>
      </c>
      <c r="C201" s="177">
        <v>10150.849308000001</v>
      </c>
      <c r="D201" s="177">
        <v>159879.50099999999</v>
      </c>
      <c r="E201" s="177">
        <v>17750.848999999998</v>
      </c>
      <c r="F201" s="177">
        <v>0</v>
      </c>
      <c r="G201" s="177">
        <v>77854.434999999998</v>
      </c>
      <c r="H201" s="177">
        <v>178848.92300000001</v>
      </c>
      <c r="I201" s="177">
        <v>37625.377999999997</v>
      </c>
      <c r="J201" s="177">
        <v>1773.154</v>
      </c>
      <c r="K201" s="177">
        <v>14224.236999999999</v>
      </c>
      <c r="L201" s="177">
        <v>59587.21</v>
      </c>
      <c r="M201" s="177">
        <v>2356.1765</v>
      </c>
      <c r="N201" s="177">
        <v>5817.2965000000004</v>
      </c>
      <c r="O201" s="178">
        <v>642172.98407999997</v>
      </c>
      <c r="P201" s="177">
        <v>-5077.9520000000002</v>
      </c>
      <c r="Q201" s="177">
        <v>-973.55499999999995</v>
      </c>
      <c r="R201" s="177">
        <v>19889.427</v>
      </c>
      <c r="S201" s="178">
        <v>656010.90408000001</v>
      </c>
      <c r="V201" s="198">
        <f t="shared" si="31"/>
        <v>27.850583477320427</v>
      </c>
      <c r="W201" s="197">
        <f t="shared" si="32"/>
        <v>178.84892300000001</v>
      </c>
    </row>
    <row r="202" spans="1:23" ht="14.25">
      <c r="A202" s="311">
        <v>23</v>
      </c>
      <c r="B202" s="177">
        <v>45812.455589999998</v>
      </c>
      <c r="C202" s="177">
        <v>10900.711740000001</v>
      </c>
      <c r="D202" s="177">
        <v>144974.772</v>
      </c>
      <c r="E202" s="177">
        <v>12806.172</v>
      </c>
      <c r="F202" s="177">
        <v>0</v>
      </c>
      <c r="G202" s="177">
        <v>32224.788</v>
      </c>
      <c r="H202" s="177">
        <v>347302.94400000002</v>
      </c>
      <c r="I202" s="177">
        <v>70458.792000000001</v>
      </c>
      <c r="J202" s="177">
        <v>6208.63</v>
      </c>
      <c r="K202" s="177">
        <v>13476.816000000001</v>
      </c>
      <c r="L202" s="177">
        <v>41666.999000000003</v>
      </c>
      <c r="M202" s="177">
        <v>2236.2725</v>
      </c>
      <c r="N202" s="177">
        <v>5548.3235000000004</v>
      </c>
      <c r="O202" s="178">
        <v>733617.67633000005</v>
      </c>
      <c r="P202" s="177">
        <v>-43323.635000000002</v>
      </c>
      <c r="Q202" s="177">
        <v>-2194.1709999999998</v>
      </c>
      <c r="R202" s="177">
        <v>-98274.241999999998</v>
      </c>
      <c r="S202" s="178">
        <v>589825.62832999998</v>
      </c>
      <c r="V202" s="198">
        <f t="shared" si="31"/>
        <v>47.341136290147709</v>
      </c>
      <c r="W202" s="197">
        <f t="shared" si="32"/>
        <v>347.30294400000002</v>
      </c>
    </row>
    <row r="203" spans="1:23" ht="14.25">
      <c r="A203" s="311">
        <v>24</v>
      </c>
      <c r="B203" s="177">
        <v>58064.20336</v>
      </c>
      <c r="C203" s="177">
        <v>6600.2768400000004</v>
      </c>
      <c r="D203" s="177">
        <v>134546.95600000001</v>
      </c>
      <c r="E203" s="177">
        <v>12128.617</v>
      </c>
      <c r="F203" s="177">
        <v>0</v>
      </c>
      <c r="G203" s="177">
        <v>80045.395999999993</v>
      </c>
      <c r="H203" s="177">
        <v>169151.66500000001</v>
      </c>
      <c r="I203" s="177">
        <v>104756.89599999999</v>
      </c>
      <c r="J203" s="177">
        <v>17342.775000000001</v>
      </c>
      <c r="K203" s="177">
        <v>13872.356</v>
      </c>
      <c r="L203" s="177">
        <v>45528.031000000003</v>
      </c>
      <c r="M203" s="177">
        <v>2218.4585000000002</v>
      </c>
      <c r="N203" s="177">
        <v>5650.0844999999999</v>
      </c>
      <c r="O203" s="178">
        <v>649905.71519999998</v>
      </c>
      <c r="P203" s="177">
        <v>-38687.493000000002</v>
      </c>
      <c r="Q203" s="177">
        <v>-1004.53</v>
      </c>
      <c r="R203" s="177">
        <v>-74593.077999999994</v>
      </c>
      <c r="S203" s="178">
        <v>535620.61419999995</v>
      </c>
      <c r="V203" s="198">
        <f t="shared" si="31"/>
        <v>26.02710840109258</v>
      </c>
      <c r="W203" s="197">
        <f t="shared" si="32"/>
        <v>169.15166500000001</v>
      </c>
    </row>
    <row r="204" spans="1:23" ht="14.25">
      <c r="A204" s="311">
        <v>25</v>
      </c>
      <c r="B204" s="177">
        <v>67983.278416000001</v>
      </c>
      <c r="C204" s="177">
        <v>8262.8934339999996</v>
      </c>
      <c r="D204" s="177">
        <v>120025.977</v>
      </c>
      <c r="E204" s="177">
        <v>22326.685000000001</v>
      </c>
      <c r="F204" s="177">
        <v>0</v>
      </c>
      <c r="G204" s="177">
        <v>156112.56</v>
      </c>
      <c r="H204" s="177">
        <v>33181.423000000003</v>
      </c>
      <c r="I204" s="177">
        <v>114234.602</v>
      </c>
      <c r="J204" s="177">
        <v>23810.28</v>
      </c>
      <c r="K204" s="177">
        <v>13961.915999999999</v>
      </c>
      <c r="L204" s="177">
        <v>61221.059000000001</v>
      </c>
      <c r="M204" s="177">
        <v>1887.63</v>
      </c>
      <c r="N204" s="177">
        <v>5477.9520000000002</v>
      </c>
      <c r="O204" s="178">
        <v>628486.25584999996</v>
      </c>
      <c r="P204" s="177">
        <v>-10529.575000000001</v>
      </c>
      <c r="Q204" s="177">
        <v>-1005.739</v>
      </c>
      <c r="R204" s="177">
        <v>-1451.0719999999999</v>
      </c>
      <c r="S204" s="178">
        <v>615499.86985000002</v>
      </c>
      <c r="V204" s="198">
        <f t="shared" si="31"/>
        <v>5.2795781436976039</v>
      </c>
      <c r="W204" s="197">
        <f t="shared" si="32"/>
        <v>33.181423000000002</v>
      </c>
    </row>
    <row r="205" spans="1:23" ht="14.25">
      <c r="A205" s="311">
        <v>26</v>
      </c>
      <c r="B205" s="177">
        <v>71020.682872000005</v>
      </c>
      <c r="C205" s="177">
        <v>8146.1236719999997</v>
      </c>
      <c r="D205" s="177">
        <v>120036.84600000001</v>
      </c>
      <c r="E205" s="177">
        <v>25461.007000000001</v>
      </c>
      <c r="F205" s="177">
        <v>0</v>
      </c>
      <c r="G205" s="177">
        <v>197848.41099999999</v>
      </c>
      <c r="H205" s="177">
        <v>64825.47</v>
      </c>
      <c r="I205" s="177">
        <v>83593.718999999997</v>
      </c>
      <c r="J205" s="177">
        <v>11318.825000000001</v>
      </c>
      <c r="K205" s="177">
        <v>14010.587</v>
      </c>
      <c r="L205" s="177">
        <v>65942.131999999998</v>
      </c>
      <c r="M205" s="177">
        <v>1153.3</v>
      </c>
      <c r="N205" s="177">
        <v>5083.3770000000004</v>
      </c>
      <c r="O205" s="178">
        <v>668440.48054400005</v>
      </c>
      <c r="P205" s="177">
        <v>-2031.1030000000001</v>
      </c>
      <c r="Q205" s="177">
        <v>-1006.085</v>
      </c>
      <c r="R205" s="177">
        <v>-27454.614000000001</v>
      </c>
      <c r="S205" s="178">
        <v>637948.67854400002</v>
      </c>
      <c r="V205" s="198">
        <f t="shared" si="31"/>
        <v>9.6980167848665886</v>
      </c>
      <c r="W205" s="197">
        <f t="shared" si="32"/>
        <v>64.825469999999996</v>
      </c>
    </row>
    <row r="206" spans="1:23" ht="14.25">
      <c r="A206" s="311">
        <v>27</v>
      </c>
      <c r="B206" s="177">
        <v>79867.657739999995</v>
      </c>
      <c r="C206" s="177">
        <v>9181.1354840000004</v>
      </c>
      <c r="D206" s="177">
        <v>119008.285</v>
      </c>
      <c r="E206" s="177">
        <v>29441.312000000002</v>
      </c>
      <c r="F206" s="177">
        <v>0</v>
      </c>
      <c r="G206" s="177">
        <v>207719.068</v>
      </c>
      <c r="H206" s="177">
        <v>42705.824000000001</v>
      </c>
      <c r="I206" s="177">
        <v>65587.7</v>
      </c>
      <c r="J206" s="177">
        <v>12329.856</v>
      </c>
      <c r="K206" s="177">
        <v>13920.43</v>
      </c>
      <c r="L206" s="177">
        <v>66931.926999999996</v>
      </c>
      <c r="M206" s="177">
        <v>1124.6134999999999</v>
      </c>
      <c r="N206" s="177">
        <v>5112.4285</v>
      </c>
      <c r="O206" s="178">
        <v>652930.23722400004</v>
      </c>
      <c r="P206" s="177">
        <v>-582.85699999999997</v>
      </c>
      <c r="Q206" s="177">
        <v>-1005.091</v>
      </c>
      <c r="R206" s="177">
        <v>-3654.5010000000002</v>
      </c>
      <c r="S206" s="178">
        <v>647687.78822400002</v>
      </c>
      <c r="V206" s="198">
        <f t="shared" si="31"/>
        <v>6.5406411842049454</v>
      </c>
      <c r="W206" s="197">
        <f t="shared" si="32"/>
        <v>42.705824</v>
      </c>
    </row>
    <row r="207" spans="1:23" ht="14.25">
      <c r="A207" s="311">
        <v>28</v>
      </c>
      <c r="B207" s="177">
        <v>94838.719503999993</v>
      </c>
      <c r="C207" s="177">
        <v>8092.6132639999996</v>
      </c>
      <c r="D207" s="177">
        <v>119927.41499999999</v>
      </c>
      <c r="E207" s="177">
        <v>36387.608999999997</v>
      </c>
      <c r="F207" s="177">
        <v>0</v>
      </c>
      <c r="G207" s="177">
        <v>131286.47899999999</v>
      </c>
      <c r="H207" s="177">
        <v>83482.683999999994</v>
      </c>
      <c r="I207" s="177">
        <v>65892.384999999995</v>
      </c>
      <c r="J207" s="177">
        <v>12698.503000000001</v>
      </c>
      <c r="K207" s="177">
        <v>14539.602999999999</v>
      </c>
      <c r="L207" s="177">
        <v>65920.135999999999</v>
      </c>
      <c r="M207" s="177">
        <v>1176.9945</v>
      </c>
      <c r="N207" s="177">
        <v>5131.2434999999996</v>
      </c>
      <c r="O207" s="178">
        <v>639374.38476799999</v>
      </c>
      <c r="P207" s="177">
        <v>-1559.268</v>
      </c>
      <c r="Q207" s="177">
        <v>-1005.092</v>
      </c>
      <c r="R207" s="177">
        <v>12675.599</v>
      </c>
      <c r="S207" s="178">
        <v>649485.62376800005</v>
      </c>
      <c r="V207" s="198">
        <f t="shared" si="31"/>
        <v>13.056932837603757</v>
      </c>
      <c r="W207" s="197">
        <f t="shared" si="32"/>
        <v>83.482683999999992</v>
      </c>
    </row>
    <row r="208" spans="1:23" ht="14.25">
      <c r="A208" s="311">
        <v>29</v>
      </c>
      <c r="B208" s="177">
        <v>98602.838199999998</v>
      </c>
      <c r="C208" s="177">
        <v>3513.0720799999999</v>
      </c>
      <c r="D208" s="177">
        <v>122718.54700000001</v>
      </c>
      <c r="E208" s="177">
        <v>35476.663999999997</v>
      </c>
      <c r="F208" s="177">
        <v>0</v>
      </c>
      <c r="G208" s="177">
        <v>124830.247</v>
      </c>
      <c r="H208" s="177">
        <v>76700.134000000005</v>
      </c>
      <c r="I208" s="177">
        <v>111889.273</v>
      </c>
      <c r="J208" s="177">
        <v>21668.883000000002</v>
      </c>
      <c r="K208" s="177">
        <v>14487.642</v>
      </c>
      <c r="L208" s="177">
        <v>66008.959000000003</v>
      </c>
      <c r="M208" s="177">
        <v>1814.7825</v>
      </c>
      <c r="N208" s="177">
        <v>5569.4504999999999</v>
      </c>
      <c r="O208" s="178">
        <v>683280.49228000001</v>
      </c>
      <c r="P208" s="177">
        <v>-7989.1329999999998</v>
      </c>
      <c r="Q208" s="177">
        <v>-1005.22</v>
      </c>
      <c r="R208" s="177">
        <v>-44490.625999999997</v>
      </c>
      <c r="S208" s="178">
        <v>629795.51327999996</v>
      </c>
      <c r="V208" s="198">
        <f t="shared" si="31"/>
        <v>11.225277886108481</v>
      </c>
      <c r="W208" s="197">
        <f t="shared" si="32"/>
        <v>76.700134000000006</v>
      </c>
    </row>
    <row r="209" spans="1:23" ht="14.25">
      <c r="A209" s="311">
        <v>30</v>
      </c>
      <c r="B209" s="177">
        <v>85499.707250000007</v>
      </c>
      <c r="C209" s="177">
        <v>3610.1563599999999</v>
      </c>
      <c r="D209" s="177">
        <v>137137.35699999999</v>
      </c>
      <c r="E209" s="177">
        <v>14728.281000000001</v>
      </c>
      <c r="F209" s="177">
        <v>0</v>
      </c>
      <c r="G209" s="177">
        <v>83177.210000000006</v>
      </c>
      <c r="H209" s="177">
        <v>117127.628</v>
      </c>
      <c r="I209" s="177">
        <v>102518.639</v>
      </c>
      <c r="J209" s="177">
        <v>20111.431</v>
      </c>
      <c r="K209" s="177">
        <v>14497.197</v>
      </c>
      <c r="L209" s="177">
        <v>59143.73</v>
      </c>
      <c r="M209" s="177">
        <v>2242.7840000000001</v>
      </c>
      <c r="N209" s="177">
        <v>5817.5540000000001</v>
      </c>
      <c r="O209" s="178">
        <v>645611.67460999999</v>
      </c>
      <c r="P209" s="177">
        <v>-24872.072</v>
      </c>
      <c r="Q209" s="177">
        <v>-1005.264</v>
      </c>
      <c r="R209" s="177">
        <v>-64795.769</v>
      </c>
      <c r="S209" s="178">
        <v>554938.56961000001</v>
      </c>
      <c r="V209" s="198">
        <f t="shared" si="31"/>
        <v>18.142117406838139</v>
      </c>
      <c r="W209" s="197">
        <f t="shared" si="32"/>
        <v>117.127628</v>
      </c>
    </row>
    <row r="210" spans="1:23" ht="14.25">
      <c r="V210" s="198" t="str">
        <f t="shared" si="31"/>
        <v/>
      </c>
      <c r="W210" s="197" t="str">
        <f t="shared" si="32"/>
        <v/>
      </c>
    </row>
    <row r="211" spans="1:23">
      <c r="G211">
        <f>MAX(G180:G210)</f>
        <v>207719.068</v>
      </c>
      <c r="H211">
        <f>MAX(H180:H210)</f>
        <v>347302.94400000002</v>
      </c>
      <c r="I211">
        <f>MAX(I180:I210)</f>
        <v>114234.602</v>
      </c>
    </row>
    <row r="215" spans="1:23">
      <c r="A215" s="174" t="s">
        <v>31</v>
      </c>
      <c r="B215" s="334" t="s">
        <v>242</v>
      </c>
      <c r="C215" s="335"/>
      <c r="D215" s="335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  <c r="S215" s="335"/>
    </row>
    <row r="216" spans="1:23">
      <c r="A216" s="174" t="s">
        <v>105</v>
      </c>
      <c r="B216" s="336" t="s">
        <v>98</v>
      </c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  <c r="Q216" s="337"/>
      <c r="R216" s="337"/>
      <c r="S216" s="337"/>
    </row>
    <row r="217" spans="1:23">
      <c r="A217" s="174" t="s">
        <v>106</v>
      </c>
      <c r="B217" s="338" t="s">
        <v>121</v>
      </c>
      <c r="C217" s="339"/>
      <c r="D217" s="339"/>
      <c r="E217" s="339"/>
      <c r="F217" s="339"/>
      <c r="G217" s="339"/>
      <c r="H217" s="339"/>
      <c r="I217" s="339"/>
      <c r="J217" s="339"/>
      <c r="K217" s="339"/>
      <c r="L217" s="339"/>
      <c r="M217" s="339"/>
      <c r="N217" s="339"/>
      <c r="O217" s="339"/>
      <c r="P217" s="339"/>
      <c r="Q217" s="339"/>
      <c r="R217" s="339"/>
      <c r="S217" s="339"/>
    </row>
    <row r="218" spans="1:23">
      <c r="A218" s="179" t="s">
        <v>107</v>
      </c>
      <c r="B218" s="316" t="s">
        <v>2</v>
      </c>
      <c r="C218" s="316" t="s">
        <v>81</v>
      </c>
      <c r="D218" s="316" t="s">
        <v>3</v>
      </c>
      <c r="E218" s="316" t="s">
        <v>4</v>
      </c>
      <c r="F218" s="316" t="s">
        <v>95</v>
      </c>
      <c r="G218" s="316" t="s">
        <v>11</v>
      </c>
      <c r="H218" s="316" t="s">
        <v>5</v>
      </c>
      <c r="I218" s="316" t="s">
        <v>6</v>
      </c>
      <c r="J218" s="316" t="s">
        <v>7</v>
      </c>
      <c r="K218" s="316" t="s">
        <v>8</v>
      </c>
      <c r="L218" s="316" t="s">
        <v>9</v>
      </c>
      <c r="M218" s="316" t="s">
        <v>69</v>
      </c>
      <c r="N218" s="316" t="s">
        <v>70</v>
      </c>
      <c r="O218" s="194" t="s">
        <v>10</v>
      </c>
      <c r="P218" s="316" t="s">
        <v>122</v>
      </c>
      <c r="Q218" s="316" t="s">
        <v>97</v>
      </c>
      <c r="R218" s="316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195"/>
      <c r="P219" s="310"/>
      <c r="Q219" s="310"/>
      <c r="R219" s="310"/>
      <c r="S219" s="195"/>
      <c r="V219" s="197"/>
    </row>
    <row r="220" spans="1:23" ht="14.25">
      <c r="A220" s="311">
        <v>1</v>
      </c>
      <c r="B220" s="177">
        <v>2.9971220000000001</v>
      </c>
      <c r="C220" s="177">
        <v>0.45448</v>
      </c>
      <c r="D220" s="177">
        <v>6.041004</v>
      </c>
      <c r="E220" s="177">
        <v>0.69195700000000004</v>
      </c>
      <c r="F220" s="177">
        <v>0</v>
      </c>
      <c r="G220" s="177">
        <v>2.236027</v>
      </c>
      <c r="H220" s="177">
        <v>9.2990270000000006</v>
      </c>
      <c r="I220" s="177">
        <v>9.2E-5</v>
      </c>
      <c r="J220" s="177">
        <v>0</v>
      </c>
      <c r="K220" s="177">
        <v>0.57564899999999997</v>
      </c>
      <c r="L220" s="177">
        <v>2.2143090000000001</v>
      </c>
      <c r="M220" s="177">
        <v>0.100274</v>
      </c>
      <c r="N220" s="177">
        <v>0.24254300000000001</v>
      </c>
      <c r="O220" s="178">
        <v>24.852484</v>
      </c>
      <c r="P220" s="177">
        <v>-2.0339999999999998E-3</v>
      </c>
      <c r="Q220" s="177">
        <v>-4.0479000000000001E-2</v>
      </c>
      <c r="R220" s="177">
        <v>-0.19667699999999999</v>
      </c>
      <c r="S220" s="178">
        <v>24.613294</v>
      </c>
      <c r="V220" s="198">
        <f>IFERROR(G220/N220*100,"")</f>
        <v>921.90951707532258</v>
      </c>
    </row>
    <row r="221" spans="1:23" ht="14.25">
      <c r="A221" s="311">
        <v>2</v>
      </c>
      <c r="B221" s="177">
        <v>3.3867435100000001</v>
      </c>
      <c r="C221" s="177">
        <v>0.30058648999999998</v>
      </c>
      <c r="D221" s="177">
        <v>6.0426330000000004</v>
      </c>
      <c r="E221" s="177">
        <v>0.64823500000000001</v>
      </c>
      <c r="F221" s="177">
        <v>0</v>
      </c>
      <c r="G221" s="177">
        <v>1.8695660000000001</v>
      </c>
      <c r="H221" s="177">
        <v>9.5698860000000003</v>
      </c>
      <c r="I221" s="177">
        <v>1.27E-4</v>
      </c>
      <c r="J221" s="177">
        <v>0</v>
      </c>
      <c r="K221" s="177">
        <v>0.57964000000000004</v>
      </c>
      <c r="L221" s="177">
        <v>2.1838980000000001</v>
      </c>
      <c r="M221" s="177">
        <v>9.9513000000000004E-2</v>
      </c>
      <c r="N221" s="177">
        <v>0.23911099999999999</v>
      </c>
      <c r="O221" s="178">
        <v>24.919938999999999</v>
      </c>
      <c r="P221" s="177">
        <v>-3.2740999999999999E-2</v>
      </c>
      <c r="Q221" s="177">
        <v>-4.0564000000000003E-2</v>
      </c>
      <c r="R221" s="177">
        <v>-1.7448920000000001</v>
      </c>
      <c r="S221" s="178">
        <v>23.101742000000002</v>
      </c>
      <c r="V221" s="198">
        <f t="shared" ref="V221:V246" si="33">IFERROR(G221/N221*100,"")</f>
        <v>781.88205477790655</v>
      </c>
    </row>
    <row r="222" spans="1:23" ht="14.25">
      <c r="A222" s="311">
        <v>3</v>
      </c>
      <c r="B222" s="177">
        <v>2.6691222300000002</v>
      </c>
      <c r="C222" s="177">
        <v>0.10632777</v>
      </c>
      <c r="D222" s="177">
        <v>6.0422589999999996</v>
      </c>
      <c r="E222" s="177">
        <v>0.63316600000000001</v>
      </c>
      <c r="F222" s="177">
        <v>0</v>
      </c>
      <c r="G222" s="177">
        <v>1.6293629999999999</v>
      </c>
      <c r="H222" s="177">
        <v>10.251493</v>
      </c>
      <c r="I222" s="177">
        <v>1.5100000000000001E-4</v>
      </c>
      <c r="J222" s="177">
        <v>0</v>
      </c>
      <c r="K222" s="177">
        <v>0.59265000000000001</v>
      </c>
      <c r="L222" s="177">
        <v>2.1541570000000001</v>
      </c>
      <c r="M222" s="177">
        <v>0.10077800000000001</v>
      </c>
      <c r="N222" s="177">
        <v>0.238761</v>
      </c>
      <c r="O222" s="178">
        <v>24.418227999999999</v>
      </c>
      <c r="P222" s="177">
        <v>-0.42314400000000002</v>
      </c>
      <c r="Q222" s="177">
        <v>-4.104E-2</v>
      </c>
      <c r="R222" s="177">
        <v>-2.005163</v>
      </c>
      <c r="S222" s="178">
        <v>21.948881</v>
      </c>
      <c r="V222" s="198">
        <f t="shared" si="33"/>
        <v>682.42426526945349</v>
      </c>
    </row>
    <row r="223" spans="1:23" ht="14.25">
      <c r="A223" s="311">
        <v>4</v>
      </c>
      <c r="B223" s="177">
        <v>2.1296487700000002</v>
      </c>
      <c r="C223" s="177">
        <v>0.18143723</v>
      </c>
      <c r="D223" s="177">
        <v>6.0443980000000002</v>
      </c>
      <c r="E223" s="177">
        <v>0.63497400000000004</v>
      </c>
      <c r="F223" s="177">
        <v>0</v>
      </c>
      <c r="G223" s="177">
        <v>1.3771880000000001</v>
      </c>
      <c r="H223" s="177">
        <v>10.755890000000001</v>
      </c>
      <c r="I223" s="177">
        <v>1.6100000000000001E-4</v>
      </c>
      <c r="J223" s="177">
        <v>0</v>
      </c>
      <c r="K223" s="177">
        <v>0.57583399999999996</v>
      </c>
      <c r="L223" s="177">
        <v>2.0377040000000002</v>
      </c>
      <c r="M223" s="177">
        <v>0.1020315</v>
      </c>
      <c r="N223" s="177">
        <v>0.24323149999999999</v>
      </c>
      <c r="O223" s="178">
        <v>24.082498000000001</v>
      </c>
      <c r="P223" s="177">
        <v>-0.8286</v>
      </c>
      <c r="Q223" s="177">
        <v>-4.1342999999999998E-2</v>
      </c>
      <c r="R223" s="177">
        <v>-1.921251</v>
      </c>
      <c r="S223" s="178">
        <v>21.291304</v>
      </c>
      <c r="V223" s="198">
        <f t="shared" si="33"/>
        <v>566.20462398990276</v>
      </c>
    </row>
    <row r="224" spans="1:23" ht="14.25">
      <c r="A224" s="311">
        <v>5</v>
      </c>
      <c r="B224" s="177">
        <v>1.89435003</v>
      </c>
      <c r="C224" s="177">
        <v>0.24642637000000001</v>
      </c>
      <c r="D224" s="177">
        <v>6.0427470000000003</v>
      </c>
      <c r="E224" s="177">
        <v>0.63558300000000001</v>
      </c>
      <c r="F224" s="177">
        <v>0</v>
      </c>
      <c r="G224" s="177">
        <v>1.6232580000000001</v>
      </c>
      <c r="H224" s="177">
        <v>11.545743</v>
      </c>
      <c r="I224" s="177">
        <v>1.7100000000000001E-4</v>
      </c>
      <c r="J224" s="177">
        <v>0</v>
      </c>
      <c r="K224" s="177">
        <v>0.58591300000000002</v>
      </c>
      <c r="L224" s="177">
        <v>1.9970730000000001</v>
      </c>
      <c r="M224" s="177">
        <v>9.9095000000000003E-2</v>
      </c>
      <c r="N224" s="177">
        <v>0.24052000000000001</v>
      </c>
      <c r="O224" s="178">
        <v>24.910879399999999</v>
      </c>
      <c r="P224" s="177">
        <v>-1.270546</v>
      </c>
      <c r="Q224" s="177">
        <v>-4.1211999999999999E-2</v>
      </c>
      <c r="R224" s="177">
        <v>-2.6113010000000001</v>
      </c>
      <c r="S224" s="178">
        <v>20.9878204</v>
      </c>
      <c r="V224" s="198">
        <f t="shared" si="33"/>
        <v>674.89522700814905</v>
      </c>
    </row>
    <row r="225" spans="1:22" ht="14.25">
      <c r="A225" s="311">
        <v>6</v>
      </c>
      <c r="B225" s="177">
        <v>1.8098373999999999</v>
      </c>
      <c r="C225" s="177">
        <v>0.24645868000000001</v>
      </c>
      <c r="D225" s="177">
        <v>6.0444209999999998</v>
      </c>
      <c r="E225" s="177">
        <v>0.63826400000000005</v>
      </c>
      <c r="F225" s="177">
        <v>0</v>
      </c>
      <c r="G225" s="177">
        <v>1.6002769999999999</v>
      </c>
      <c r="H225" s="177">
        <v>12.053539000000001</v>
      </c>
      <c r="I225" s="177">
        <v>2.24E-4</v>
      </c>
      <c r="J225" s="177">
        <v>0</v>
      </c>
      <c r="K225" s="177">
        <v>0.60559300000000005</v>
      </c>
      <c r="L225" s="177">
        <v>1.9791609999999999</v>
      </c>
      <c r="M225" s="177">
        <v>9.4708000000000001E-2</v>
      </c>
      <c r="N225" s="177">
        <v>0.23607300000000001</v>
      </c>
      <c r="O225" s="178">
        <v>25.308556079999999</v>
      </c>
      <c r="P225" s="177">
        <v>-1.273487</v>
      </c>
      <c r="Q225" s="177">
        <v>-4.1256000000000001E-2</v>
      </c>
      <c r="R225" s="177">
        <v>-3.2098460000000002</v>
      </c>
      <c r="S225" s="178">
        <v>20.78396708</v>
      </c>
      <c r="V225" s="198">
        <f t="shared" si="33"/>
        <v>677.87379327580868</v>
      </c>
    </row>
    <row r="226" spans="1:22" ht="14.25">
      <c r="A226" s="311">
        <v>7</v>
      </c>
      <c r="B226" s="177">
        <v>1.8419381500000001</v>
      </c>
      <c r="C226" s="177">
        <v>0.24645325000000001</v>
      </c>
      <c r="D226" s="177">
        <v>6.0443759999999997</v>
      </c>
      <c r="E226" s="177">
        <v>0.64511600000000002</v>
      </c>
      <c r="F226" s="177">
        <v>0</v>
      </c>
      <c r="G226" s="177">
        <v>1.6275440000000001</v>
      </c>
      <c r="H226" s="177">
        <v>12.886839</v>
      </c>
      <c r="I226" s="177">
        <v>3.7300000000000001E-4</v>
      </c>
      <c r="J226" s="177">
        <v>0</v>
      </c>
      <c r="K226" s="177">
        <v>0.58882500000000004</v>
      </c>
      <c r="L226" s="177">
        <v>1.9467779999999999</v>
      </c>
      <c r="M226" s="177">
        <v>9.3237E-2</v>
      </c>
      <c r="N226" s="177">
        <v>0.23610100000000001</v>
      </c>
      <c r="O226" s="178">
        <v>26.157580400000001</v>
      </c>
      <c r="P226" s="177">
        <v>-1.1804239999999999</v>
      </c>
      <c r="Q226" s="177">
        <v>-4.0867000000000001E-2</v>
      </c>
      <c r="R226" s="177">
        <v>-3.8263769999999999</v>
      </c>
      <c r="S226" s="178">
        <v>21.109912399999999</v>
      </c>
      <c r="V226" s="198">
        <f t="shared" si="33"/>
        <v>689.34227301027954</v>
      </c>
    </row>
    <row r="227" spans="1:22" ht="14.25">
      <c r="A227" s="311">
        <v>8</v>
      </c>
      <c r="B227" s="177">
        <v>1.61375486</v>
      </c>
      <c r="C227" s="177">
        <v>0.16088321999999999</v>
      </c>
      <c r="D227" s="177">
        <v>6.0498770000000004</v>
      </c>
      <c r="E227" s="177">
        <v>0.57893399999999995</v>
      </c>
      <c r="F227" s="177">
        <v>0</v>
      </c>
      <c r="G227" s="177">
        <v>1.404911</v>
      </c>
      <c r="H227" s="177">
        <v>13.441901</v>
      </c>
      <c r="I227" s="177">
        <v>4.7098000000000001E-2</v>
      </c>
      <c r="J227" s="177">
        <v>0</v>
      </c>
      <c r="K227" s="177">
        <v>0.58541900000000002</v>
      </c>
      <c r="L227" s="177">
        <v>1.8612059999999999</v>
      </c>
      <c r="M227" s="177">
        <v>9.2934500000000003E-2</v>
      </c>
      <c r="N227" s="177">
        <v>0.23731350000000001</v>
      </c>
      <c r="O227" s="178">
        <v>26.074232080000002</v>
      </c>
      <c r="P227" s="177">
        <v>-0.91354999999999997</v>
      </c>
      <c r="Q227" s="177">
        <v>-4.104E-2</v>
      </c>
      <c r="R227" s="177">
        <v>-3.3355950000000001</v>
      </c>
      <c r="S227" s="178">
        <v>21.784047080000001</v>
      </c>
      <c r="V227" s="198">
        <f t="shared" si="33"/>
        <v>592.00635446361036</v>
      </c>
    </row>
    <row r="228" spans="1:22" ht="14.25">
      <c r="A228" s="311">
        <v>9</v>
      </c>
      <c r="B228" s="177">
        <v>1.6970136</v>
      </c>
      <c r="C228" s="177">
        <v>0.21622472000000001</v>
      </c>
      <c r="D228" s="177">
        <v>6.048915</v>
      </c>
      <c r="E228" s="177">
        <v>0.530891</v>
      </c>
      <c r="F228" s="177">
        <v>0</v>
      </c>
      <c r="G228" s="177">
        <v>1.3880760000000001</v>
      </c>
      <c r="H228" s="177">
        <v>14.288576000000001</v>
      </c>
      <c r="I228" s="177">
        <v>1.450366</v>
      </c>
      <c r="J228" s="177">
        <v>3.0000000000000001E-6</v>
      </c>
      <c r="K228" s="177">
        <v>0.58600399999999997</v>
      </c>
      <c r="L228" s="177">
        <v>1.668919</v>
      </c>
      <c r="M228" s="177">
        <v>8.9350499999999999E-2</v>
      </c>
      <c r="N228" s="177">
        <v>0.22987550000000001</v>
      </c>
      <c r="O228" s="178">
        <v>28.19421432</v>
      </c>
      <c r="P228" s="177">
        <v>-1.2922670000000001</v>
      </c>
      <c r="Q228" s="177">
        <v>-4.1256000000000001E-2</v>
      </c>
      <c r="R228" s="177">
        <v>-3.6939600000000001</v>
      </c>
      <c r="S228" s="178">
        <v>23.16673132</v>
      </c>
      <c r="V228" s="198">
        <f t="shared" si="33"/>
        <v>603.83816457169212</v>
      </c>
    </row>
    <row r="229" spans="1:22" ht="14.25">
      <c r="A229" s="311">
        <v>10</v>
      </c>
      <c r="B229" s="177">
        <v>1.5577328100000001</v>
      </c>
      <c r="C229" s="177">
        <v>0.2020691</v>
      </c>
      <c r="D229" s="177">
        <v>6.0501620000000003</v>
      </c>
      <c r="E229" s="177">
        <v>0.50520200000000004</v>
      </c>
      <c r="F229" s="177">
        <v>0</v>
      </c>
      <c r="G229" s="177">
        <v>0.97631400000000002</v>
      </c>
      <c r="H229" s="177">
        <v>15.104727</v>
      </c>
      <c r="I229" s="177">
        <v>4.7045070000000004</v>
      </c>
      <c r="J229" s="177">
        <v>2.4239999999999999E-3</v>
      </c>
      <c r="K229" s="177">
        <v>0.54679999999999995</v>
      </c>
      <c r="L229" s="177">
        <v>1.613834</v>
      </c>
      <c r="M229" s="177">
        <v>8.8632500000000003E-2</v>
      </c>
      <c r="N229" s="177">
        <v>0.2305295</v>
      </c>
      <c r="O229" s="178">
        <v>31.582933910000001</v>
      </c>
      <c r="P229" s="177">
        <v>-1.789709</v>
      </c>
      <c r="Q229" s="177">
        <v>-4.1818000000000001E-2</v>
      </c>
      <c r="R229" s="177">
        <v>-4.4216959999999998</v>
      </c>
      <c r="S229" s="178">
        <v>25.329710909999999</v>
      </c>
      <c r="V229" s="198">
        <f t="shared" si="33"/>
        <v>423.50935563561285</v>
      </c>
    </row>
    <row r="230" spans="1:22" ht="14.25">
      <c r="A230" s="311">
        <v>11</v>
      </c>
      <c r="B230" s="177">
        <v>1.3037231</v>
      </c>
      <c r="C230" s="177">
        <v>0.37992186</v>
      </c>
      <c r="D230" s="177">
        <v>5.991352</v>
      </c>
      <c r="E230" s="177">
        <v>0.48222999999999999</v>
      </c>
      <c r="F230" s="177">
        <v>0</v>
      </c>
      <c r="G230" s="177">
        <v>1.1035839999999999</v>
      </c>
      <c r="H230" s="177">
        <v>16.611391000000001</v>
      </c>
      <c r="I230" s="177">
        <v>6.6169349999999998</v>
      </c>
      <c r="J230" s="177">
        <v>0.155228</v>
      </c>
      <c r="K230" s="177">
        <v>0.54558399999999996</v>
      </c>
      <c r="L230" s="177">
        <v>1.5229170000000001</v>
      </c>
      <c r="M230" s="177">
        <v>8.9710499999999999E-2</v>
      </c>
      <c r="N230" s="177">
        <v>0.23719850000000001</v>
      </c>
      <c r="O230" s="178">
        <v>35.039774960000003</v>
      </c>
      <c r="P230" s="177">
        <v>-3.1994630000000002</v>
      </c>
      <c r="Q230" s="177">
        <v>-7.3612999999999998E-2</v>
      </c>
      <c r="R230" s="177">
        <v>-5.1093999999999999</v>
      </c>
      <c r="S230" s="178">
        <v>26.657298959999999</v>
      </c>
      <c r="V230" s="198">
        <f t="shared" si="33"/>
        <v>465.25757962213083</v>
      </c>
    </row>
    <row r="231" spans="1:22" ht="14.25">
      <c r="A231" s="311">
        <v>12</v>
      </c>
      <c r="B231" s="177">
        <v>1.1799860799999999</v>
      </c>
      <c r="C231" s="177">
        <v>0.50595999000000003</v>
      </c>
      <c r="D231" s="177">
        <v>5.9844590000000002</v>
      </c>
      <c r="E231" s="177">
        <v>0.48208200000000001</v>
      </c>
      <c r="F231" s="177">
        <v>0</v>
      </c>
      <c r="G231" s="177">
        <v>1.334187</v>
      </c>
      <c r="H231" s="177">
        <v>16.564632</v>
      </c>
      <c r="I231" s="177">
        <v>7.2181329999999999</v>
      </c>
      <c r="J231" s="177">
        <v>0.50170400000000004</v>
      </c>
      <c r="K231" s="177">
        <v>0.53266800000000003</v>
      </c>
      <c r="L231" s="177">
        <v>1.4900709999999999</v>
      </c>
      <c r="M231" s="177">
        <v>8.8943499999999995E-2</v>
      </c>
      <c r="N231" s="177">
        <v>0.2294205</v>
      </c>
      <c r="O231" s="178">
        <v>36.112246069999998</v>
      </c>
      <c r="P231" s="177">
        <v>-3.430628</v>
      </c>
      <c r="Q231" s="177">
        <v>-0.14649100000000001</v>
      </c>
      <c r="R231" s="177">
        <v>-5.4463670000000004</v>
      </c>
      <c r="S231" s="178">
        <v>27.088760069999999</v>
      </c>
      <c r="V231" s="198">
        <f t="shared" si="33"/>
        <v>581.54654880448777</v>
      </c>
    </row>
    <row r="232" spans="1:22" ht="14.25">
      <c r="A232" s="311">
        <v>13</v>
      </c>
      <c r="B232" s="177">
        <v>1.1739058600000001</v>
      </c>
      <c r="C232" s="177">
        <v>0.45856850999999998</v>
      </c>
      <c r="D232" s="177">
        <v>6.0137660000000004</v>
      </c>
      <c r="E232" s="177">
        <v>0.474912</v>
      </c>
      <c r="F232" s="177">
        <v>0</v>
      </c>
      <c r="G232" s="177">
        <v>1.3513109999999999</v>
      </c>
      <c r="H232" s="177">
        <v>16.392966000000001</v>
      </c>
      <c r="I232" s="177">
        <v>7.1288900000000002</v>
      </c>
      <c r="J232" s="177">
        <v>0.57239499999999999</v>
      </c>
      <c r="K232" s="177">
        <v>0.514517</v>
      </c>
      <c r="L232" s="177">
        <v>1.4729779999999999</v>
      </c>
      <c r="M232" s="177">
        <v>8.9246000000000006E-2</v>
      </c>
      <c r="N232" s="177">
        <v>0.22686200000000001</v>
      </c>
      <c r="O232" s="178">
        <v>35.870317370000002</v>
      </c>
      <c r="P232" s="177">
        <v>-2.553204</v>
      </c>
      <c r="Q232" s="177">
        <v>-0.17344899999999999</v>
      </c>
      <c r="R232" s="177">
        <v>-5.7514430000000001</v>
      </c>
      <c r="S232" s="178">
        <v>27.392221370000001</v>
      </c>
      <c r="V232" s="198">
        <f t="shared" si="33"/>
        <v>595.65330465216732</v>
      </c>
    </row>
    <row r="233" spans="1:22" ht="14.25">
      <c r="A233" s="311">
        <v>14</v>
      </c>
      <c r="B233" s="177">
        <v>1.12715706</v>
      </c>
      <c r="C233" s="177">
        <v>0.44951391000000002</v>
      </c>
      <c r="D233" s="177">
        <v>6.0404590000000002</v>
      </c>
      <c r="E233" s="177">
        <v>0.43982900000000003</v>
      </c>
      <c r="F233" s="177">
        <v>0</v>
      </c>
      <c r="G233" s="177">
        <v>1.2601579999999999</v>
      </c>
      <c r="H233" s="177">
        <v>16.248854999999999</v>
      </c>
      <c r="I233" s="177">
        <v>7.4384870000000003</v>
      </c>
      <c r="J233" s="177">
        <v>0.591387</v>
      </c>
      <c r="K233" s="177">
        <v>0.51950600000000002</v>
      </c>
      <c r="L233" s="177">
        <v>1.4757960000000001</v>
      </c>
      <c r="M233" s="177">
        <v>8.9681999999999998E-2</v>
      </c>
      <c r="N233" s="177">
        <v>0.22928200000000001</v>
      </c>
      <c r="O233" s="178">
        <v>35.910111970000003</v>
      </c>
      <c r="P233" s="177">
        <v>-2.6210979999999999</v>
      </c>
      <c r="Q233" s="177">
        <v>-0.19565199999999999</v>
      </c>
      <c r="R233" s="177">
        <v>-5.4351390000000004</v>
      </c>
      <c r="S233" s="178">
        <v>27.658222970000001</v>
      </c>
      <c r="V233" s="198">
        <f t="shared" si="33"/>
        <v>549.61052328573544</v>
      </c>
    </row>
    <row r="234" spans="1:22" ht="14.25">
      <c r="A234" s="311">
        <v>15</v>
      </c>
      <c r="B234" s="177">
        <v>1.0489122</v>
      </c>
      <c r="C234" s="177">
        <v>0.45361330999999999</v>
      </c>
      <c r="D234" s="177">
        <v>6.0506479999999998</v>
      </c>
      <c r="E234" s="177">
        <v>0.42504900000000001</v>
      </c>
      <c r="F234" s="177">
        <v>0</v>
      </c>
      <c r="G234" s="177">
        <v>0.905582</v>
      </c>
      <c r="H234" s="177">
        <v>16.350680000000001</v>
      </c>
      <c r="I234" s="177">
        <v>7.5926980000000004</v>
      </c>
      <c r="J234" s="177">
        <v>0.49008000000000002</v>
      </c>
      <c r="K234" s="177">
        <v>0.50956800000000002</v>
      </c>
      <c r="L234" s="177">
        <v>1.478737</v>
      </c>
      <c r="M234" s="177">
        <v>9.0159500000000004E-2</v>
      </c>
      <c r="N234" s="177">
        <v>0.22433649999999999</v>
      </c>
      <c r="O234" s="178">
        <v>35.620063510000001</v>
      </c>
      <c r="P234" s="177">
        <v>-3.392064</v>
      </c>
      <c r="Q234" s="177">
        <v>-0.200016</v>
      </c>
      <c r="R234" s="177">
        <v>-4.8863519999999996</v>
      </c>
      <c r="S234" s="178">
        <v>27.14163151</v>
      </c>
      <c r="V234" s="198">
        <f t="shared" si="33"/>
        <v>403.6712706135649</v>
      </c>
    </row>
    <row r="235" spans="1:22" ht="14.25">
      <c r="A235" s="311">
        <v>16</v>
      </c>
      <c r="B235" s="177">
        <v>1.2252906100000001</v>
      </c>
      <c r="C235" s="177">
        <v>0.49485788000000003</v>
      </c>
      <c r="D235" s="177">
        <v>6.0500860000000003</v>
      </c>
      <c r="E235" s="177">
        <v>0.42711900000000003</v>
      </c>
      <c r="F235" s="177">
        <v>0</v>
      </c>
      <c r="G235" s="177">
        <v>0.850549</v>
      </c>
      <c r="H235" s="177">
        <v>15.728191000000001</v>
      </c>
      <c r="I235" s="177">
        <v>7.1910100000000003</v>
      </c>
      <c r="J235" s="177">
        <v>0.464277</v>
      </c>
      <c r="K235" s="177">
        <v>0.50588599999999995</v>
      </c>
      <c r="L235" s="177">
        <v>1.4795389999999999</v>
      </c>
      <c r="M235" s="177">
        <v>9.11685E-2</v>
      </c>
      <c r="N235" s="177">
        <v>0.2245095</v>
      </c>
      <c r="O235" s="178">
        <v>34.73248349</v>
      </c>
      <c r="P235" s="177">
        <v>-3.6395520000000001</v>
      </c>
      <c r="Q235" s="177">
        <v>-0.20329900000000001</v>
      </c>
      <c r="R235" s="177">
        <v>-5.0196199999999997</v>
      </c>
      <c r="S235" s="178">
        <v>25.870012490000001</v>
      </c>
      <c r="V235" s="198">
        <f t="shared" si="33"/>
        <v>378.84766568897976</v>
      </c>
    </row>
    <row r="236" spans="1:22" ht="14.25">
      <c r="A236" s="311">
        <v>17</v>
      </c>
      <c r="B236" s="177">
        <v>1.05978683</v>
      </c>
      <c r="C236" s="177">
        <v>0.55314932999999999</v>
      </c>
      <c r="D236" s="177">
        <v>6.0494089999999998</v>
      </c>
      <c r="E236" s="177">
        <v>0.438189</v>
      </c>
      <c r="F236" s="177">
        <v>0</v>
      </c>
      <c r="G236" s="177">
        <v>0.84297900000000003</v>
      </c>
      <c r="H236" s="177">
        <v>15.175727999999999</v>
      </c>
      <c r="I236" s="177">
        <v>6.9526339999999998</v>
      </c>
      <c r="J236" s="177">
        <v>0.45735300000000001</v>
      </c>
      <c r="K236" s="177">
        <v>0.51177300000000003</v>
      </c>
      <c r="L236" s="177">
        <v>1.4735659999999999</v>
      </c>
      <c r="M236" s="177">
        <v>9.0754500000000002E-2</v>
      </c>
      <c r="N236" s="177">
        <v>0.22488349999999999</v>
      </c>
      <c r="O236" s="178">
        <v>33.830205159999998</v>
      </c>
      <c r="P236" s="177">
        <v>-3.7581349999999998</v>
      </c>
      <c r="Q236" s="177">
        <v>-0.179453</v>
      </c>
      <c r="R236" s="177">
        <v>-4.9393510000000003</v>
      </c>
      <c r="S236" s="178">
        <v>24.953266159999998</v>
      </c>
      <c r="V236" s="198">
        <f t="shared" si="33"/>
        <v>374.85142307016747</v>
      </c>
    </row>
    <row r="237" spans="1:22" ht="14.25">
      <c r="A237" s="311">
        <v>18</v>
      </c>
      <c r="B237" s="177">
        <v>0.97242046000000004</v>
      </c>
      <c r="C237" s="177">
        <v>0.55273671000000002</v>
      </c>
      <c r="D237" s="177">
        <v>6.048845</v>
      </c>
      <c r="E237" s="177">
        <v>0.44302200000000003</v>
      </c>
      <c r="F237" s="177">
        <v>0</v>
      </c>
      <c r="G237" s="177">
        <v>0.97081799999999996</v>
      </c>
      <c r="H237" s="177">
        <v>15.333766000000001</v>
      </c>
      <c r="I237" s="177">
        <v>6.0175900000000002</v>
      </c>
      <c r="J237" s="177">
        <v>0.58511400000000002</v>
      </c>
      <c r="K237" s="177">
        <v>0.51450799999999997</v>
      </c>
      <c r="L237" s="177">
        <v>1.4728749999999999</v>
      </c>
      <c r="M237" s="177">
        <v>9.0634500000000007E-2</v>
      </c>
      <c r="N237" s="177">
        <v>0.2265085</v>
      </c>
      <c r="O237" s="178">
        <v>33.228838170000003</v>
      </c>
      <c r="P237" s="177">
        <v>-3.6405850000000002</v>
      </c>
      <c r="Q237" s="177">
        <v>-0.17841599999999999</v>
      </c>
      <c r="R237" s="177">
        <v>-4.9783299999999997</v>
      </c>
      <c r="S237" s="178">
        <v>24.43150717</v>
      </c>
      <c r="V237" s="198">
        <f t="shared" si="33"/>
        <v>428.60113417377272</v>
      </c>
    </row>
    <row r="238" spans="1:22" ht="14.25">
      <c r="A238" s="311">
        <v>19</v>
      </c>
      <c r="B238" s="177">
        <v>1.29656733</v>
      </c>
      <c r="C238" s="177">
        <v>0.55267838000000002</v>
      </c>
      <c r="D238" s="177">
        <v>6.0476020000000004</v>
      </c>
      <c r="E238" s="177">
        <v>0.447272</v>
      </c>
      <c r="F238" s="177">
        <v>0</v>
      </c>
      <c r="G238" s="177">
        <v>0.895957</v>
      </c>
      <c r="H238" s="177">
        <v>16.740487000000002</v>
      </c>
      <c r="I238" s="177">
        <v>4.6974390000000001</v>
      </c>
      <c r="J238" s="177">
        <v>0.62255099999999997</v>
      </c>
      <c r="K238" s="177">
        <v>0.52600800000000003</v>
      </c>
      <c r="L238" s="177">
        <v>1.47923</v>
      </c>
      <c r="M238" s="177">
        <v>9.1031500000000001E-2</v>
      </c>
      <c r="N238" s="177">
        <v>0.22645850000000001</v>
      </c>
      <c r="O238" s="178">
        <v>33.623281710000001</v>
      </c>
      <c r="P238" s="177">
        <v>-3.6804290000000002</v>
      </c>
      <c r="Q238" s="177">
        <v>-0.15228</v>
      </c>
      <c r="R238" s="177">
        <v>-5.3239989999999997</v>
      </c>
      <c r="S238" s="178">
        <v>24.466573709999999</v>
      </c>
      <c r="V238" s="198">
        <f t="shared" si="33"/>
        <v>395.63849447028923</v>
      </c>
    </row>
    <row r="239" spans="1:22" ht="14.25">
      <c r="A239" s="311">
        <v>20</v>
      </c>
      <c r="B239" s="177">
        <v>1.8392843999999999</v>
      </c>
      <c r="C239" s="177">
        <v>0.52728757000000004</v>
      </c>
      <c r="D239" s="177">
        <v>6.0466170000000004</v>
      </c>
      <c r="E239" s="177">
        <v>0.462758</v>
      </c>
      <c r="F239" s="177">
        <v>0</v>
      </c>
      <c r="G239" s="177">
        <v>1.0115639999999999</v>
      </c>
      <c r="H239" s="177">
        <v>18.032775000000001</v>
      </c>
      <c r="I239" s="177">
        <v>2.7812079999999999</v>
      </c>
      <c r="J239" s="177">
        <v>0.56041700000000005</v>
      </c>
      <c r="K239" s="177">
        <v>0.56296800000000002</v>
      </c>
      <c r="L239" s="177">
        <v>1.518338</v>
      </c>
      <c r="M239" s="177">
        <v>9.1038999999999995E-2</v>
      </c>
      <c r="N239" s="177">
        <v>0.22699800000000001</v>
      </c>
      <c r="O239" s="178">
        <v>33.661253969999997</v>
      </c>
      <c r="P239" s="177">
        <v>-2.8683670000000001</v>
      </c>
      <c r="Q239" s="177">
        <v>-0.102686</v>
      </c>
      <c r="R239" s="177">
        <v>-5.5420639999999999</v>
      </c>
      <c r="S239" s="178">
        <v>25.148136969999999</v>
      </c>
      <c r="V239" s="198">
        <f t="shared" si="33"/>
        <v>445.62683371659659</v>
      </c>
    </row>
    <row r="240" spans="1:22" ht="14.25">
      <c r="A240" s="311">
        <v>21</v>
      </c>
      <c r="B240" s="177">
        <v>2.4970925199999998</v>
      </c>
      <c r="C240" s="177">
        <v>0.57774135999999998</v>
      </c>
      <c r="D240" s="177">
        <v>6.0467370000000003</v>
      </c>
      <c r="E240" s="177">
        <v>0.49133599999999999</v>
      </c>
      <c r="F240" s="177">
        <v>0</v>
      </c>
      <c r="G240" s="177">
        <v>1.1841459999999999</v>
      </c>
      <c r="H240" s="177">
        <v>17.534355999999999</v>
      </c>
      <c r="I240" s="177">
        <v>0.61694300000000002</v>
      </c>
      <c r="J240" s="177">
        <v>0.52082399999999995</v>
      </c>
      <c r="K240" s="177">
        <v>0.57796700000000001</v>
      </c>
      <c r="L240" s="177">
        <v>1.713166</v>
      </c>
      <c r="M240" s="177">
        <v>9.2829999999999996E-2</v>
      </c>
      <c r="N240" s="177">
        <v>0.23103599999999999</v>
      </c>
      <c r="O240" s="178">
        <v>32.084174879999999</v>
      </c>
      <c r="P240" s="177">
        <v>-0.90739899999999996</v>
      </c>
      <c r="Q240" s="177">
        <v>-5.2358000000000002E-2</v>
      </c>
      <c r="R240" s="177">
        <v>-4.9283469999999996</v>
      </c>
      <c r="S240" s="178">
        <v>26.196070880000001</v>
      </c>
      <c r="V240" s="198">
        <f t="shared" si="33"/>
        <v>512.53744005263252</v>
      </c>
    </row>
    <row r="241" spans="1:22" ht="14.25">
      <c r="A241" s="311">
        <v>22</v>
      </c>
      <c r="B241" s="177">
        <v>3.5768708999999999</v>
      </c>
      <c r="C241" s="177">
        <v>1.2267455</v>
      </c>
      <c r="D241" s="177">
        <v>6.0502830000000003</v>
      </c>
      <c r="E241" s="177">
        <v>0.56790300000000005</v>
      </c>
      <c r="F241" s="177">
        <v>0</v>
      </c>
      <c r="G241" s="177">
        <v>1.677127</v>
      </c>
      <c r="H241" s="177">
        <v>15.935454</v>
      </c>
      <c r="I241" s="177">
        <v>2.1970000000000002E-3</v>
      </c>
      <c r="J241" s="177">
        <v>0.320077</v>
      </c>
      <c r="K241" s="177">
        <v>0.59502500000000003</v>
      </c>
      <c r="L241" s="177">
        <v>1.795075</v>
      </c>
      <c r="M241" s="177">
        <v>9.4478999999999994E-2</v>
      </c>
      <c r="N241" s="177">
        <v>0.216227</v>
      </c>
      <c r="O241" s="178">
        <v>32.057463400000003</v>
      </c>
      <c r="P241" s="177">
        <v>-0.20308899999999999</v>
      </c>
      <c r="Q241" s="177">
        <v>-4.1861000000000002E-2</v>
      </c>
      <c r="R241" s="177">
        <v>-4.1064429999999996</v>
      </c>
      <c r="S241" s="178">
        <v>27.706070400000002</v>
      </c>
      <c r="V241" s="198">
        <f t="shared" si="33"/>
        <v>775.63255282642785</v>
      </c>
    </row>
    <row r="242" spans="1:22" ht="14.25">
      <c r="A242" s="311">
        <v>23</v>
      </c>
      <c r="B242" s="177">
        <v>3.27108708</v>
      </c>
      <c r="C242" s="177">
        <v>0.93957599999999997</v>
      </c>
      <c r="D242" s="177">
        <v>6.0522600000000004</v>
      </c>
      <c r="E242" s="177">
        <v>0.56344300000000003</v>
      </c>
      <c r="F242" s="177">
        <v>0</v>
      </c>
      <c r="G242" s="177">
        <v>1.4762930000000001</v>
      </c>
      <c r="H242" s="177">
        <v>15.6792</v>
      </c>
      <c r="I242" s="177">
        <v>6.8000000000000005E-4</v>
      </c>
      <c r="J242" s="177">
        <v>0.21890599999999999</v>
      </c>
      <c r="K242" s="177">
        <v>0.61872300000000002</v>
      </c>
      <c r="L242" s="177">
        <v>1.814805</v>
      </c>
      <c r="M242" s="177">
        <v>9.4006500000000007E-2</v>
      </c>
      <c r="N242" s="177">
        <v>0.21867349999999999</v>
      </c>
      <c r="O242" s="178">
        <v>30.947653079999998</v>
      </c>
      <c r="P242" s="177">
        <v>-0.203428</v>
      </c>
      <c r="Q242" s="177">
        <v>-4.1903999999999997E-2</v>
      </c>
      <c r="R242" s="177">
        <v>-4.3363880000000004</v>
      </c>
      <c r="S242" s="178">
        <v>26.365933080000001</v>
      </c>
      <c r="V242" s="198">
        <f t="shared" si="33"/>
        <v>675.11289662441959</v>
      </c>
    </row>
    <row r="243" spans="1:22" ht="14.25">
      <c r="A243" s="311">
        <v>24</v>
      </c>
      <c r="B243" s="177">
        <v>2.6431078000000001</v>
      </c>
      <c r="C243" s="177">
        <v>0.86701459999999997</v>
      </c>
      <c r="D243" s="177">
        <v>6.0514570000000001</v>
      </c>
      <c r="E243" s="177">
        <v>0.518706</v>
      </c>
      <c r="F243" s="177">
        <v>0</v>
      </c>
      <c r="G243" s="177">
        <v>1.628009</v>
      </c>
      <c r="H243" s="177">
        <v>15.776842</v>
      </c>
      <c r="I243" s="177">
        <v>6.78E-4</v>
      </c>
      <c r="J243" s="177">
        <v>0.14588999999999999</v>
      </c>
      <c r="K243" s="177">
        <v>0.61978800000000001</v>
      </c>
      <c r="L243" s="177">
        <v>1.822867</v>
      </c>
      <c r="M243" s="177">
        <v>9.2033500000000004E-2</v>
      </c>
      <c r="N243" s="177">
        <v>0.23187050000000001</v>
      </c>
      <c r="O243" s="178">
        <v>30.398263400000001</v>
      </c>
      <c r="P243" s="177">
        <v>-0.219692</v>
      </c>
      <c r="Q243" s="177">
        <v>-4.1818000000000001E-2</v>
      </c>
      <c r="R243" s="177">
        <v>-5.5042410000000004</v>
      </c>
      <c r="S243" s="178">
        <v>24.6325124</v>
      </c>
      <c r="V243" s="198">
        <f t="shared" si="33"/>
        <v>702.11993332485156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197</v>
      </c>
      <c r="D248" s="263" t="s">
        <v>203</v>
      </c>
      <c r="E248" s="263" t="s">
        <v>205</v>
      </c>
      <c r="F248" s="263" t="s">
        <v>210</v>
      </c>
      <c r="G248" s="263" t="s">
        <v>211</v>
      </c>
      <c r="H248" s="263" t="s">
        <v>213</v>
      </c>
      <c r="I248" s="263" t="s">
        <v>214</v>
      </c>
      <c r="J248" s="263" t="s">
        <v>215</v>
      </c>
      <c r="K248" s="263" t="s">
        <v>216</v>
      </c>
      <c r="L248" s="263" t="s">
        <v>219</v>
      </c>
      <c r="M248" s="263" t="s">
        <v>228</v>
      </c>
      <c r="N248" s="263" t="s">
        <v>229</v>
      </c>
      <c r="O248" s="263" t="s">
        <v>230</v>
      </c>
    </row>
    <row r="249" spans="1:22">
      <c r="A249" s="262"/>
      <c r="B249" s="262" t="s">
        <v>106</v>
      </c>
      <c r="C249" s="263" t="s">
        <v>180</v>
      </c>
      <c r="D249" s="263" t="s">
        <v>180</v>
      </c>
      <c r="E249" s="263" t="s">
        <v>180</v>
      </c>
      <c r="F249" s="263" t="s">
        <v>180</v>
      </c>
      <c r="G249" s="263" t="s">
        <v>180</v>
      </c>
      <c r="H249" s="263" t="s">
        <v>180</v>
      </c>
      <c r="I249" s="263" t="s">
        <v>180</v>
      </c>
      <c r="J249" s="263" t="s">
        <v>180</v>
      </c>
      <c r="K249" s="263" t="s">
        <v>180</v>
      </c>
      <c r="L249" s="263" t="s">
        <v>180</v>
      </c>
      <c r="M249" s="263" t="s">
        <v>180</v>
      </c>
      <c r="N249" s="263" t="s">
        <v>180</v>
      </c>
      <c r="O249" s="263" t="s">
        <v>180</v>
      </c>
    </row>
    <row r="250" spans="1:22">
      <c r="A250" s="262" t="s">
        <v>168</v>
      </c>
      <c r="B250" s="262" t="s">
        <v>169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40" t="s">
        <v>4</v>
      </c>
      <c r="B251" s="265" t="s">
        <v>159</v>
      </c>
      <c r="C251" s="270"/>
      <c r="D251" s="270">
        <v>59755.459199999998</v>
      </c>
      <c r="E251" s="270">
        <v>102841.992</v>
      </c>
      <c r="F251" s="270">
        <v>15271.65984</v>
      </c>
      <c r="G251" s="270"/>
      <c r="H251" s="270"/>
      <c r="I251" s="270">
        <v>98976.334080000001</v>
      </c>
      <c r="J251" s="270">
        <v>53701.114560000002</v>
      </c>
      <c r="K251" s="270">
        <v>141364.62912</v>
      </c>
      <c r="L251" s="270">
        <v>159278.31072000001</v>
      </c>
      <c r="M251" s="270">
        <v>97138.038719999997</v>
      </c>
      <c r="N251" s="270">
        <v>201365.1648</v>
      </c>
      <c r="O251" s="270">
        <v>271183.12224</v>
      </c>
    </row>
    <row r="252" spans="1:22">
      <c r="A252" s="341"/>
      <c r="B252" s="265" t="s">
        <v>160</v>
      </c>
      <c r="C252" s="270">
        <v>267481.91807999997</v>
      </c>
      <c r="D252" s="270">
        <v>263988.39072000002</v>
      </c>
      <c r="E252" s="270">
        <v>312672.93792</v>
      </c>
      <c r="F252" s="270">
        <v>282114.43776</v>
      </c>
      <c r="G252" s="270">
        <v>315216.2352</v>
      </c>
      <c r="H252" s="270">
        <v>466130.6544</v>
      </c>
      <c r="I252" s="270">
        <v>412591.42463999998</v>
      </c>
      <c r="J252" s="270">
        <v>506232.15263999999</v>
      </c>
      <c r="K252" s="270">
        <v>553201.79327999998</v>
      </c>
      <c r="L252" s="270">
        <v>523698.93887999997</v>
      </c>
      <c r="M252" s="270">
        <v>452816.6544</v>
      </c>
      <c r="N252" s="270">
        <v>479396.57568000001</v>
      </c>
      <c r="O252" s="270">
        <v>393904.57631999999</v>
      </c>
    </row>
    <row r="253" spans="1:22">
      <c r="A253" s="265" t="s">
        <v>95</v>
      </c>
      <c r="B253" s="265" t="s">
        <v>176</v>
      </c>
      <c r="C253" s="270"/>
      <c r="D253" s="270"/>
      <c r="E253" s="270"/>
      <c r="F253" s="270"/>
      <c r="G253" s="270">
        <v>7.6999999999999996E-4</v>
      </c>
      <c r="H253" s="270">
        <v>7.6999999999999996E-4</v>
      </c>
      <c r="I253" s="270"/>
      <c r="J253" s="270"/>
      <c r="K253" s="270"/>
      <c r="L253" s="270"/>
      <c r="M253" s="270"/>
      <c r="N253" s="270"/>
      <c r="O253" s="270"/>
    </row>
    <row r="254" spans="1:22">
      <c r="A254" s="265" t="s">
        <v>11</v>
      </c>
      <c r="B254" s="265" t="s">
        <v>161</v>
      </c>
      <c r="C254" s="270">
        <v>1059950.38231</v>
      </c>
      <c r="D254" s="270">
        <v>741767.23580999998</v>
      </c>
      <c r="E254" s="270">
        <v>1160411.56908</v>
      </c>
      <c r="F254" s="270">
        <v>1119151.5504000001</v>
      </c>
      <c r="G254" s="270">
        <v>1230307.58495</v>
      </c>
      <c r="H254" s="270">
        <v>1589884.42484</v>
      </c>
      <c r="I254" s="270">
        <v>1408320.4109700001</v>
      </c>
      <c r="J254" s="270">
        <v>2108118.1198</v>
      </c>
      <c r="K254" s="270">
        <v>1664901.3476400001</v>
      </c>
      <c r="L254" s="270">
        <v>1923036.45673</v>
      </c>
      <c r="M254" s="270">
        <v>1512135.84014</v>
      </c>
      <c r="N254" s="270">
        <v>1203780.71208</v>
      </c>
      <c r="O254" s="270">
        <v>952298.71247999999</v>
      </c>
    </row>
    <row r="255" spans="1:22">
      <c r="A255" s="342" t="s">
        <v>9</v>
      </c>
      <c r="B255" s="265" t="s">
        <v>162</v>
      </c>
      <c r="C255" s="270">
        <v>71768.882500000007</v>
      </c>
      <c r="D255" s="270">
        <v>76634.22</v>
      </c>
      <c r="E255" s="270">
        <v>84865.786500000002</v>
      </c>
      <c r="F255" s="270">
        <v>89868.745999999999</v>
      </c>
      <c r="G255" s="270">
        <v>88774.373000000007</v>
      </c>
      <c r="H255" s="270">
        <v>99322.657500000001</v>
      </c>
      <c r="I255" s="270">
        <v>106439.45</v>
      </c>
      <c r="J255" s="270">
        <v>109370.1205</v>
      </c>
      <c r="K255" s="270">
        <v>109681.478</v>
      </c>
      <c r="L255" s="270">
        <v>109089.4225</v>
      </c>
      <c r="M255" s="270">
        <v>100874.47199999999</v>
      </c>
      <c r="N255" s="270">
        <v>104860.71649999999</v>
      </c>
      <c r="O255" s="270">
        <v>89627.987500000003</v>
      </c>
    </row>
    <row r="256" spans="1:22">
      <c r="A256" s="343"/>
      <c r="B256" s="265" t="s">
        <v>163</v>
      </c>
      <c r="C256" s="270">
        <v>736319.30868000002</v>
      </c>
      <c r="D256" s="270">
        <v>737537.40972</v>
      </c>
      <c r="E256" s="270">
        <v>724576.64292000001</v>
      </c>
      <c r="F256" s="270">
        <v>740532.08808000002</v>
      </c>
      <c r="G256" s="270">
        <v>691488.24263999995</v>
      </c>
      <c r="H256" s="270">
        <v>704840.28191999998</v>
      </c>
      <c r="I256" s="270">
        <v>691501.74803999998</v>
      </c>
      <c r="J256" s="270">
        <v>700354.41084000003</v>
      </c>
      <c r="K256" s="270">
        <v>699574.03092000005</v>
      </c>
      <c r="L256" s="270">
        <v>691194.02148</v>
      </c>
      <c r="M256" s="270">
        <v>683055.45252000005</v>
      </c>
      <c r="N256" s="270">
        <v>715785.87312</v>
      </c>
      <c r="O256" s="270">
        <v>549667.08215999999</v>
      </c>
    </row>
    <row r="257" spans="1:17">
      <c r="A257" s="343"/>
      <c r="B257" s="265" t="s">
        <v>164</v>
      </c>
      <c r="C257" s="270">
        <v>454.15548000000001</v>
      </c>
      <c r="D257" s="270">
        <v>674.04931999999997</v>
      </c>
      <c r="E257" s="270">
        <v>455.12562000000003</v>
      </c>
      <c r="F257" s="270">
        <v>761.31745999999998</v>
      </c>
      <c r="G257" s="270">
        <v>736.51941999999997</v>
      </c>
      <c r="H257" s="270">
        <v>971.72194000000002</v>
      </c>
      <c r="I257" s="270">
        <v>1046.9121600000001</v>
      </c>
      <c r="J257" s="270">
        <v>1830.8510200000001</v>
      </c>
      <c r="K257" s="270">
        <v>2029.67614</v>
      </c>
      <c r="L257" s="270">
        <v>1022.9372</v>
      </c>
      <c r="M257" s="270">
        <v>955.02739999999994</v>
      </c>
      <c r="N257" s="270">
        <v>757.89441999999997</v>
      </c>
      <c r="O257" s="270">
        <v>457.78980000000001</v>
      </c>
    </row>
    <row r="258" spans="1:17">
      <c r="A258" s="341"/>
      <c r="B258" s="265" t="s">
        <v>212</v>
      </c>
      <c r="C258" s="270"/>
      <c r="D258" s="270"/>
      <c r="E258" s="270"/>
      <c r="F258" s="270"/>
      <c r="G258" s="270">
        <v>730.62865999999997</v>
      </c>
      <c r="H258" s="270"/>
      <c r="I258" s="270"/>
      <c r="J258" s="270"/>
      <c r="K258" s="270"/>
      <c r="L258" s="270"/>
      <c r="M258" s="270"/>
      <c r="N258" s="270"/>
      <c r="O258" s="270"/>
    </row>
    <row r="259" spans="1:17">
      <c r="A259" s="342" t="s">
        <v>70</v>
      </c>
      <c r="B259" s="265" t="s">
        <v>165</v>
      </c>
      <c r="C259" s="270">
        <v>14883.509400000001</v>
      </c>
      <c r="D259" s="270">
        <v>27951.797750000002</v>
      </c>
      <c r="E259" s="270">
        <v>27003.805100000001</v>
      </c>
      <c r="F259" s="270">
        <v>32066.770250000001</v>
      </c>
      <c r="G259" s="270">
        <v>31906.170849999999</v>
      </c>
      <c r="H259" s="270">
        <v>30814.013800000001</v>
      </c>
      <c r="I259" s="270">
        <v>26297.769850000001</v>
      </c>
      <c r="J259" s="270">
        <v>30990.911400000001</v>
      </c>
      <c r="K259" s="270">
        <v>17788.532449999999</v>
      </c>
      <c r="L259" s="270">
        <v>4806.1402500000004</v>
      </c>
      <c r="M259" s="270">
        <v>9.3100000000000002E-2</v>
      </c>
      <c r="N259" s="270">
        <v>12359.732749999999</v>
      </c>
      <c r="O259" s="270">
        <v>21941.247500000001</v>
      </c>
    </row>
    <row r="260" spans="1:17">
      <c r="A260" s="343"/>
      <c r="B260" s="265" t="s">
        <v>166</v>
      </c>
      <c r="C260" s="270">
        <v>15917.4162</v>
      </c>
      <c r="D260" s="270">
        <v>12722.256719999999</v>
      </c>
      <c r="E260" s="270">
        <v>15727.94124</v>
      </c>
      <c r="F260" s="270">
        <v>16816.606919999998</v>
      </c>
      <c r="G260" s="270">
        <v>16308.46572</v>
      </c>
      <c r="H260" s="270">
        <v>13353.574199999999</v>
      </c>
      <c r="I260" s="270">
        <v>14841.053760000001</v>
      </c>
      <c r="J260" s="270">
        <v>15816.303239999999</v>
      </c>
      <c r="K260" s="270">
        <v>17473.879199999999</v>
      </c>
      <c r="L260" s="270">
        <v>16554.03096</v>
      </c>
      <c r="M260" s="270">
        <v>16057.650960000001</v>
      </c>
      <c r="N260" s="270">
        <v>17274.822960000001</v>
      </c>
      <c r="O260" s="270">
        <v>15531.057360000001</v>
      </c>
    </row>
    <row r="261" spans="1:17">
      <c r="A261" s="341"/>
      <c r="B261" s="265" t="s">
        <v>167</v>
      </c>
      <c r="C261" s="270">
        <v>21136.709279999999</v>
      </c>
      <c r="D261" s="270">
        <v>21195.614399999999</v>
      </c>
      <c r="E261" s="270">
        <v>21682.6908</v>
      </c>
      <c r="F261" s="270">
        <v>21442.695599999999</v>
      </c>
      <c r="G261" s="270">
        <v>23247.599040000001</v>
      </c>
      <c r="H261" s="270">
        <v>19033.27968</v>
      </c>
      <c r="I261" s="270">
        <v>21588.358800000002</v>
      </c>
      <c r="J261" s="270">
        <v>15908.03832</v>
      </c>
      <c r="K261" s="270">
        <v>19269.097440000001</v>
      </c>
      <c r="L261" s="270">
        <v>20525.410080000001</v>
      </c>
      <c r="M261" s="270">
        <v>17187.792000000001</v>
      </c>
      <c r="N261" s="270">
        <v>21339.754079999999</v>
      </c>
      <c r="O261" s="270">
        <v>18235.557359999999</v>
      </c>
    </row>
    <row r="262" spans="1:17">
      <c r="A262" s="266" t="s">
        <v>15</v>
      </c>
      <c r="B262" s="267"/>
      <c r="C262" s="271">
        <v>2187912.2819300001</v>
      </c>
      <c r="D262" s="271">
        <v>1942226.4336399999</v>
      </c>
      <c r="E262" s="271">
        <v>2450238.4911799999</v>
      </c>
      <c r="F262" s="271">
        <v>2318025.87231</v>
      </c>
      <c r="G262" s="271">
        <v>2398715.8202499999</v>
      </c>
      <c r="H262" s="271">
        <v>2924350.6090500001</v>
      </c>
      <c r="I262" s="271">
        <v>2781603.4622999998</v>
      </c>
      <c r="J262" s="271">
        <v>3542322.02232</v>
      </c>
      <c r="K262" s="271">
        <v>3225284.4641900002</v>
      </c>
      <c r="L262" s="271">
        <v>3449205.6688000001</v>
      </c>
      <c r="M262" s="271">
        <v>2880221.0212400001</v>
      </c>
      <c r="N262" s="271">
        <v>2756921.24639</v>
      </c>
      <c r="O262" s="271">
        <v>2312847.1327200001</v>
      </c>
      <c r="Q262" s="44">
        <f>(O262-C262)/C262*100</f>
        <v>5.7102312474699666</v>
      </c>
    </row>
  </sheetData>
  <sortState xmlns:xlrd2="http://schemas.microsoft.com/office/spreadsheetml/2017/richdata2" ref="H50:J61">
    <sortCondition descending="1" ref="J50:J61"/>
  </sortState>
  <mergeCells count="13">
    <mergeCell ref="B176:S176"/>
    <mergeCell ref="B177:S177"/>
    <mergeCell ref="A251:A252"/>
    <mergeCell ref="A259:A261"/>
    <mergeCell ref="A255:A258"/>
    <mergeCell ref="B215:S215"/>
    <mergeCell ref="B216:S216"/>
    <mergeCell ref="B217:S217"/>
    <mergeCell ref="B4:J4"/>
    <mergeCell ref="B5:J5"/>
    <mergeCell ref="B115:Z115"/>
    <mergeCell ref="B116:Z116"/>
    <mergeCell ref="B175:S175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72" workbookViewId="0">
      <selection activeCell="G383" sqref="G383:G397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44" t="s">
        <v>126</v>
      </c>
      <c r="D2" s="345"/>
      <c r="E2" s="345"/>
    </row>
    <row r="3" spans="1:6">
      <c r="A3">
        <v>0</v>
      </c>
      <c r="B3" s="46">
        <v>44287</v>
      </c>
      <c r="C3" s="269">
        <v>63.758717450480532</v>
      </c>
      <c r="D3" s="269">
        <v>128.52573371940508</v>
      </c>
      <c r="E3" s="177">
        <f>IF(C3&lt;D3,C3,D3)</f>
        <v>63.758717450480532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44288</v>
      </c>
      <c r="C4" s="269">
        <v>65.475719810482389</v>
      </c>
      <c r="D4" s="269">
        <v>128.52573371940508</v>
      </c>
      <c r="E4" s="177">
        <f t="shared" ref="E4:E67" si="0">IF(C4&lt;D4,C4,D4)</f>
        <v>65.475719810482389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44289</v>
      </c>
      <c r="C5" s="269">
        <v>42.401664066480528</v>
      </c>
      <c r="D5" s="269">
        <v>128.52573371940508</v>
      </c>
      <c r="E5" s="177">
        <f t="shared" si="0"/>
        <v>42.401664066480528</v>
      </c>
      <c r="F5" s="199" t="str">
        <f t="shared" si="1"/>
        <v/>
      </c>
    </row>
    <row r="6" spans="1:6">
      <c r="A6">
        <v>3</v>
      </c>
      <c r="B6" s="46">
        <v>44290</v>
      </c>
      <c r="C6" s="269">
        <v>41.92707230247867</v>
      </c>
      <c r="D6" s="269">
        <v>128.52573371940508</v>
      </c>
      <c r="E6" s="177">
        <f t="shared" si="0"/>
        <v>41.92707230247867</v>
      </c>
      <c r="F6" s="199" t="str">
        <f t="shared" si="1"/>
        <v/>
      </c>
    </row>
    <row r="7" spans="1:6">
      <c r="A7">
        <v>4</v>
      </c>
      <c r="B7" s="46">
        <v>44291</v>
      </c>
      <c r="C7" s="269">
        <v>57.362259402480532</v>
      </c>
      <c r="D7" s="269">
        <v>128.52573371940508</v>
      </c>
      <c r="E7" s="177">
        <f t="shared" si="0"/>
        <v>57.362259402480532</v>
      </c>
      <c r="F7" s="199" t="str">
        <f t="shared" si="1"/>
        <v/>
      </c>
    </row>
    <row r="8" spans="1:6">
      <c r="A8">
        <v>5</v>
      </c>
      <c r="B8" s="46">
        <v>44292</v>
      </c>
      <c r="C8" s="269">
        <v>72.658767494480529</v>
      </c>
      <c r="D8" s="269">
        <v>128.52573371940508</v>
      </c>
      <c r="E8" s="177">
        <f t="shared" si="0"/>
        <v>72.658767494480529</v>
      </c>
      <c r="F8" s="199" t="str">
        <f t="shared" si="1"/>
        <v/>
      </c>
    </row>
    <row r="9" spans="1:6">
      <c r="A9">
        <v>6</v>
      </c>
      <c r="B9" s="46">
        <v>44293</v>
      </c>
      <c r="C9" s="269">
        <v>73.095539716146561</v>
      </c>
      <c r="D9" s="269">
        <v>128.52573371940508</v>
      </c>
      <c r="E9" s="177">
        <f t="shared" si="0"/>
        <v>73.095539716146561</v>
      </c>
      <c r="F9" s="199" t="str">
        <f t="shared" si="1"/>
        <v/>
      </c>
    </row>
    <row r="10" spans="1:6">
      <c r="A10">
        <v>7</v>
      </c>
      <c r="B10" s="46">
        <v>44294</v>
      </c>
      <c r="C10" s="269">
        <v>97.092477200148423</v>
      </c>
      <c r="D10" s="269">
        <v>128.52573371940508</v>
      </c>
      <c r="E10" s="177">
        <f t="shared" si="0"/>
        <v>97.092477200148423</v>
      </c>
      <c r="F10" s="199" t="str">
        <f t="shared" si="1"/>
        <v/>
      </c>
    </row>
    <row r="11" spans="1:6">
      <c r="A11">
        <v>8</v>
      </c>
      <c r="B11" s="46">
        <v>44295</v>
      </c>
      <c r="C11" s="269">
        <v>89.228058520142852</v>
      </c>
      <c r="D11" s="269">
        <v>128.52573371940508</v>
      </c>
      <c r="E11" s="177">
        <f t="shared" si="0"/>
        <v>89.228058520142852</v>
      </c>
      <c r="F11" s="199" t="str">
        <f t="shared" si="1"/>
        <v/>
      </c>
    </row>
    <row r="12" spans="1:6">
      <c r="A12">
        <v>9</v>
      </c>
      <c r="B12" s="46">
        <v>44296</v>
      </c>
      <c r="C12" s="269">
        <v>59.780380168146571</v>
      </c>
      <c r="D12" s="269">
        <v>128.52573371940508</v>
      </c>
      <c r="E12" s="177">
        <f t="shared" si="0"/>
        <v>59.780380168146571</v>
      </c>
      <c r="F12" s="199" t="str">
        <f t="shared" si="1"/>
        <v/>
      </c>
    </row>
    <row r="13" spans="1:6">
      <c r="A13">
        <v>10</v>
      </c>
      <c r="B13" s="46">
        <v>44297</v>
      </c>
      <c r="C13" s="269">
        <v>36.121726652150308</v>
      </c>
      <c r="D13" s="269">
        <v>128.52573371940508</v>
      </c>
      <c r="E13" s="177">
        <f t="shared" si="0"/>
        <v>36.121726652150308</v>
      </c>
      <c r="F13" s="199" t="str">
        <f t="shared" si="1"/>
        <v/>
      </c>
    </row>
    <row r="14" spans="1:6">
      <c r="A14">
        <v>11</v>
      </c>
      <c r="B14" s="46">
        <v>44298</v>
      </c>
      <c r="C14" s="269">
        <v>72.075104904144709</v>
      </c>
      <c r="D14" s="269">
        <v>128.52573371940508</v>
      </c>
      <c r="E14" s="177">
        <f t="shared" si="0"/>
        <v>72.075104904144709</v>
      </c>
      <c r="F14" s="199" t="str">
        <f t="shared" si="1"/>
        <v/>
      </c>
    </row>
    <row r="15" spans="1:6">
      <c r="A15">
        <v>12</v>
      </c>
      <c r="B15" s="46">
        <v>44299</v>
      </c>
      <c r="C15" s="269">
        <v>87.965396396146573</v>
      </c>
      <c r="D15" s="269">
        <v>128.52573371940508</v>
      </c>
      <c r="E15" s="177">
        <f t="shared" si="0"/>
        <v>87.965396396146573</v>
      </c>
      <c r="F15" s="199" t="str">
        <f t="shared" si="1"/>
        <v/>
      </c>
    </row>
    <row r="16" spans="1:6">
      <c r="A16">
        <v>13</v>
      </c>
      <c r="B16" s="46">
        <v>44300</v>
      </c>
      <c r="C16" s="269">
        <v>74.125054859665497</v>
      </c>
      <c r="D16" s="269">
        <v>128.52573371940508</v>
      </c>
      <c r="E16" s="177">
        <f t="shared" si="0"/>
        <v>74.125054859665497</v>
      </c>
      <c r="F16" s="199" t="str">
        <f t="shared" si="1"/>
        <v/>
      </c>
    </row>
    <row r="17" spans="1:7">
      <c r="A17">
        <v>14</v>
      </c>
      <c r="B17" s="46">
        <v>44301</v>
      </c>
      <c r="C17" s="269">
        <v>65.712165103665498</v>
      </c>
      <c r="D17" s="269">
        <v>128.52573371940508</v>
      </c>
      <c r="E17" s="177">
        <f t="shared" si="0"/>
        <v>65.712165103665498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A</v>
      </c>
      <c r="G17" s="200">
        <f>IF(DAY(B17)=15,D17,"")</f>
        <v>128.52573371940508</v>
      </c>
    </row>
    <row r="18" spans="1:7">
      <c r="A18">
        <v>15</v>
      </c>
      <c r="B18" s="46">
        <v>44302</v>
      </c>
      <c r="C18" s="269">
        <v>52.813819831667352</v>
      </c>
      <c r="D18" s="269">
        <v>128.52573371940508</v>
      </c>
      <c r="E18" s="177">
        <f t="shared" si="0"/>
        <v>52.813819831667352</v>
      </c>
      <c r="F18" s="199" t="str">
        <f t="shared" si="1"/>
        <v/>
      </c>
    </row>
    <row r="19" spans="1:7">
      <c r="A19">
        <v>16</v>
      </c>
      <c r="B19" s="46">
        <v>44303</v>
      </c>
      <c r="C19" s="269">
        <v>28.149758551661769</v>
      </c>
      <c r="D19" s="269">
        <v>128.52573371940508</v>
      </c>
      <c r="E19" s="177">
        <f t="shared" si="0"/>
        <v>28.149758551661769</v>
      </c>
      <c r="F19" s="199" t="str">
        <f t="shared" si="1"/>
        <v/>
      </c>
    </row>
    <row r="20" spans="1:7">
      <c r="A20">
        <v>17</v>
      </c>
      <c r="B20" s="46">
        <v>44304</v>
      </c>
      <c r="C20" s="269">
        <v>25.726585475665495</v>
      </c>
      <c r="D20" s="269">
        <v>128.52573371940508</v>
      </c>
      <c r="E20" s="177">
        <f t="shared" si="0"/>
        <v>25.726585475665495</v>
      </c>
      <c r="F20" s="199" t="str">
        <f t="shared" si="1"/>
        <v/>
      </c>
    </row>
    <row r="21" spans="1:7">
      <c r="A21">
        <v>18</v>
      </c>
      <c r="B21" s="46">
        <v>44305</v>
      </c>
      <c r="C21" s="269">
        <v>67.815809807665502</v>
      </c>
      <c r="D21" s="269">
        <v>128.52573371940508</v>
      </c>
      <c r="E21" s="177">
        <f t="shared" si="0"/>
        <v>67.815809807665502</v>
      </c>
      <c r="F21" s="199" t="str">
        <f t="shared" si="1"/>
        <v/>
      </c>
    </row>
    <row r="22" spans="1:7">
      <c r="A22">
        <v>19</v>
      </c>
      <c r="B22" s="46">
        <v>44306</v>
      </c>
      <c r="C22" s="269">
        <v>64.452200755665501</v>
      </c>
      <c r="D22" s="269">
        <v>128.52573371940508</v>
      </c>
      <c r="E22" s="177">
        <f t="shared" si="0"/>
        <v>64.452200755665501</v>
      </c>
      <c r="F22" s="199" t="str">
        <f t="shared" si="1"/>
        <v/>
      </c>
    </row>
    <row r="23" spans="1:7">
      <c r="A23">
        <v>20</v>
      </c>
      <c r="B23" s="46">
        <v>44307</v>
      </c>
      <c r="C23" s="269">
        <v>77.42513781851595</v>
      </c>
      <c r="D23" s="269">
        <v>128.52573371940508</v>
      </c>
      <c r="E23" s="177">
        <f t="shared" si="0"/>
        <v>77.42513781851595</v>
      </c>
      <c r="F23" s="199" t="str">
        <f t="shared" si="1"/>
        <v/>
      </c>
    </row>
    <row r="24" spans="1:7">
      <c r="A24">
        <v>21</v>
      </c>
      <c r="B24" s="46">
        <v>44308</v>
      </c>
      <c r="C24" s="269">
        <v>70.548939162521549</v>
      </c>
      <c r="D24" s="269">
        <v>128.52573371940508</v>
      </c>
      <c r="E24" s="177">
        <f t="shared" si="0"/>
        <v>70.548939162521549</v>
      </c>
      <c r="F24" s="199" t="str">
        <f t="shared" si="1"/>
        <v/>
      </c>
    </row>
    <row r="25" spans="1:7">
      <c r="A25">
        <v>22</v>
      </c>
      <c r="B25" s="46">
        <v>44309</v>
      </c>
      <c r="C25" s="269">
        <v>33.423748286519682</v>
      </c>
      <c r="D25" s="269">
        <v>128.52573371940508</v>
      </c>
      <c r="E25" s="177">
        <f t="shared" si="0"/>
        <v>33.423748286519682</v>
      </c>
      <c r="F25" s="199" t="str">
        <f t="shared" si="1"/>
        <v/>
      </c>
    </row>
    <row r="26" spans="1:7">
      <c r="A26">
        <v>23</v>
      </c>
      <c r="B26" s="46">
        <v>44310</v>
      </c>
      <c r="C26" s="269">
        <v>21.019840170515955</v>
      </c>
      <c r="D26" s="269">
        <v>128.52573371940508</v>
      </c>
      <c r="E26" s="177">
        <f t="shared" si="0"/>
        <v>21.019840170515955</v>
      </c>
      <c r="F26" s="199" t="str">
        <f t="shared" si="1"/>
        <v/>
      </c>
    </row>
    <row r="27" spans="1:7">
      <c r="A27">
        <v>24</v>
      </c>
      <c r="B27" s="46">
        <v>44311</v>
      </c>
      <c r="C27" s="269">
        <v>30.011643190521543</v>
      </c>
      <c r="D27" s="269">
        <v>128.52573371940508</v>
      </c>
      <c r="E27" s="177">
        <f t="shared" si="0"/>
        <v>30.011643190521543</v>
      </c>
      <c r="F27" s="199" t="str">
        <f t="shared" si="1"/>
        <v/>
      </c>
    </row>
    <row r="28" spans="1:7">
      <c r="A28">
        <v>25</v>
      </c>
      <c r="B28" s="46">
        <v>44312</v>
      </c>
      <c r="C28" s="269">
        <v>70.152131902517823</v>
      </c>
      <c r="D28" s="269">
        <v>128.52573371940508</v>
      </c>
      <c r="E28" s="177">
        <f t="shared" si="0"/>
        <v>70.152131902517823</v>
      </c>
      <c r="F28" s="199" t="str">
        <f t="shared" si="1"/>
        <v/>
      </c>
    </row>
    <row r="29" spans="1:7">
      <c r="A29">
        <v>26</v>
      </c>
      <c r="B29" s="46">
        <v>44313</v>
      </c>
      <c r="C29" s="269">
        <v>69.739671770521539</v>
      </c>
      <c r="D29" s="269">
        <v>128.52573371940508</v>
      </c>
      <c r="E29" s="177">
        <f t="shared" si="0"/>
        <v>69.739671770521539</v>
      </c>
      <c r="F29" s="199" t="str">
        <f t="shared" si="1"/>
        <v/>
      </c>
    </row>
    <row r="30" spans="1:7">
      <c r="A30">
        <v>27</v>
      </c>
      <c r="B30" s="46">
        <v>44314</v>
      </c>
      <c r="C30" s="269">
        <v>94.891897895477399</v>
      </c>
      <c r="D30" s="269">
        <v>128.52573371940508</v>
      </c>
      <c r="E30" s="177">
        <f t="shared" si="0"/>
        <v>94.891897895477399</v>
      </c>
      <c r="F30" s="199" t="str">
        <f t="shared" si="1"/>
        <v/>
      </c>
    </row>
    <row r="31" spans="1:7">
      <c r="A31">
        <v>28</v>
      </c>
      <c r="B31" s="46">
        <v>44315</v>
      </c>
      <c r="C31" s="269">
        <v>98.647746667479254</v>
      </c>
      <c r="D31" s="269">
        <v>128.52573371940508</v>
      </c>
      <c r="E31" s="177">
        <f t="shared" si="0"/>
        <v>98.647746667479254</v>
      </c>
      <c r="F31" s="199" t="str">
        <f t="shared" si="1"/>
        <v/>
      </c>
    </row>
    <row r="32" spans="1:7">
      <c r="A32">
        <v>29</v>
      </c>
      <c r="B32" s="46">
        <v>44316</v>
      </c>
      <c r="C32" s="269">
        <v>95.54463594747925</v>
      </c>
      <c r="D32" s="269">
        <v>128.52573371940508</v>
      </c>
      <c r="E32" s="177">
        <f t="shared" si="0"/>
        <v>95.54463594747925</v>
      </c>
      <c r="F32" s="199" t="str">
        <f t="shared" si="1"/>
        <v/>
      </c>
    </row>
    <row r="33" spans="1:7">
      <c r="A33">
        <v>30</v>
      </c>
      <c r="B33" s="46">
        <v>44317</v>
      </c>
      <c r="C33" s="269">
        <v>42.317540663479249</v>
      </c>
      <c r="D33" s="269">
        <v>101.55332277089387</v>
      </c>
      <c r="E33" s="177">
        <f t="shared" si="0"/>
        <v>42.317540663479249</v>
      </c>
      <c r="F33" s="199" t="str">
        <f t="shared" si="1"/>
        <v/>
      </c>
    </row>
    <row r="34" spans="1:7">
      <c r="A34">
        <v>31</v>
      </c>
      <c r="B34" s="46">
        <v>44318</v>
      </c>
      <c r="C34" s="269">
        <v>37.599351619477389</v>
      </c>
      <c r="D34" s="269">
        <v>101.55332277089387</v>
      </c>
      <c r="E34" s="177">
        <f t="shared" si="0"/>
        <v>37.599351619477389</v>
      </c>
      <c r="F34" s="199" t="str">
        <f t="shared" si="1"/>
        <v/>
      </c>
    </row>
    <row r="35" spans="1:7">
      <c r="A35">
        <v>32</v>
      </c>
      <c r="B35" s="46">
        <v>44319</v>
      </c>
      <c r="C35" s="269">
        <v>62.325435219481122</v>
      </c>
      <c r="D35" s="269">
        <v>101.55332277089387</v>
      </c>
      <c r="E35" s="177">
        <f t="shared" si="0"/>
        <v>62.325435219481122</v>
      </c>
      <c r="F35" s="199" t="str">
        <f t="shared" si="1"/>
        <v/>
      </c>
    </row>
    <row r="36" spans="1:7">
      <c r="A36">
        <v>33</v>
      </c>
      <c r="B36" s="46">
        <v>44320</v>
      </c>
      <c r="C36" s="269">
        <v>72.170788443477392</v>
      </c>
      <c r="D36" s="269">
        <v>101.55332277089387</v>
      </c>
      <c r="E36" s="177">
        <f t="shared" si="0"/>
        <v>72.170788443477392</v>
      </c>
      <c r="F36" s="199" t="str">
        <f t="shared" si="1"/>
        <v/>
      </c>
    </row>
    <row r="37" spans="1:7">
      <c r="A37">
        <v>34</v>
      </c>
      <c r="B37" s="46">
        <v>44321</v>
      </c>
      <c r="C37" s="269">
        <v>65.01715479181297</v>
      </c>
      <c r="D37" s="269">
        <v>101.55332277089387</v>
      </c>
      <c r="E37" s="177">
        <f t="shared" si="0"/>
        <v>65.01715479181297</v>
      </c>
      <c r="F37" s="199" t="str">
        <f t="shared" si="1"/>
        <v/>
      </c>
    </row>
    <row r="38" spans="1:7">
      <c r="A38">
        <v>35</v>
      </c>
      <c r="B38" s="46">
        <v>44322</v>
      </c>
      <c r="C38" s="269">
        <v>61.090652771811101</v>
      </c>
      <c r="D38" s="269">
        <v>101.55332277089387</v>
      </c>
      <c r="E38" s="177">
        <f t="shared" si="0"/>
        <v>61.090652771811101</v>
      </c>
      <c r="F38" s="199" t="str">
        <f t="shared" si="1"/>
        <v/>
      </c>
    </row>
    <row r="39" spans="1:7">
      <c r="A39">
        <v>36</v>
      </c>
      <c r="B39" s="46">
        <v>44323</v>
      </c>
      <c r="C39" s="269">
        <v>70.627706851807375</v>
      </c>
      <c r="D39" s="269">
        <v>101.55332277089387</v>
      </c>
      <c r="E39" s="177">
        <f t="shared" si="0"/>
        <v>70.627706851807375</v>
      </c>
      <c r="F39" s="199" t="str">
        <f t="shared" si="1"/>
        <v/>
      </c>
    </row>
    <row r="40" spans="1:7">
      <c r="A40">
        <v>37</v>
      </c>
      <c r="B40" s="46">
        <v>44324</v>
      </c>
      <c r="C40" s="269">
        <v>41.499977935811103</v>
      </c>
      <c r="D40" s="269">
        <v>101.55332277089387</v>
      </c>
      <c r="E40" s="177">
        <f t="shared" si="0"/>
        <v>41.499977935811103</v>
      </c>
      <c r="F40" s="199" t="str">
        <f t="shared" si="1"/>
        <v/>
      </c>
    </row>
    <row r="41" spans="1:7">
      <c r="A41">
        <v>38</v>
      </c>
      <c r="B41" s="46">
        <v>44325</v>
      </c>
      <c r="C41" s="269">
        <v>41.427987751809248</v>
      </c>
      <c r="D41" s="269">
        <v>101.55332277089387</v>
      </c>
      <c r="E41" s="177">
        <f t="shared" si="0"/>
        <v>41.427987751809248</v>
      </c>
      <c r="F41" s="199" t="str">
        <f t="shared" si="1"/>
        <v/>
      </c>
    </row>
    <row r="42" spans="1:7">
      <c r="A42">
        <v>39</v>
      </c>
      <c r="B42" s="46">
        <v>44326</v>
      </c>
      <c r="C42" s="269">
        <v>60.37740137980925</v>
      </c>
      <c r="D42" s="269">
        <v>101.55332277089387</v>
      </c>
      <c r="E42" s="177">
        <f t="shared" si="0"/>
        <v>60.37740137980925</v>
      </c>
      <c r="F42" s="199" t="str">
        <f t="shared" si="1"/>
        <v/>
      </c>
    </row>
    <row r="43" spans="1:7">
      <c r="A43">
        <v>40</v>
      </c>
      <c r="B43" s="46">
        <v>44327</v>
      </c>
      <c r="C43" s="269">
        <v>56.289525323812967</v>
      </c>
      <c r="D43" s="269">
        <v>101.55332277089387</v>
      </c>
      <c r="E43" s="177">
        <f t="shared" si="0"/>
        <v>56.289525323812967</v>
      </c>
      <c r="F43" s="199" t="str">
        <f t="shared" si="1"/>
        <v/>
      </c>
    </row>
    <row r="44" spans="1:7">
      <c r="A44">
        <v>41</v>
      </c>
      <c r="B44" s="46">
        <v>44328</v>
      </c>
      <c r="C44" s="269">
        <v>65.030452773205397</v>
      </c>
      <c r="D44" s="269">
        <v>101.55332277089387</v>
      </c>
      <c r="E44" s="177">
        <f t="shared" si="0"/>
        <v>65.030452773205397</v>
      </c>
      <c r="F44" s="199" t="str">
        <f t="shared" si="1"/>
        <v/>
      </c>
    </row>
    <row r="45" spans="1:7">
      <c r="A45">
        <v>42</v>
      </c>
      <c r="B45" s="46">
        <v>44329</v>
      </c>
      <c r="C45" s="269">
        <v>70.339536309207261</v>
      </c>
      <c r="D45" s="269">
        <v>101.55332277089387</v>
      </c>
      <c r="E45" s="177">
        <f t="shared" si="0"/>
        <v>70.339536309207261</v>
      </c>
      <c r="F45" s="199" t="str">
        <f t="shared" si="1"/>
        <v/>
      </c>
    </row>
    <row r="46" spans="1:7">
      <c r="A46">
        <v>43</v>
      </c>
      <c r="B46" s="46">
        <v>44330</v>
      </c>
      <c r="C46" s="269">
        <v>73.472742457207261</v>
      </c>
      <c r="D46" s="269">
        <v>101.55332277089387</v>
      </c>
      <c r="E46" s="177">
        <f t="shared" si="0"/>
        <v>73.472742457207261</v>
      </c>
      <c r="F46" s="199" t="str">
        <f t="shared" si="1"/>
        <v/>
      </c>
    </row>
    <row r="47" spans="1:7">
      <c r="A47">
        <v>44</v>
      </c>
      <c r="B47" s="46">
        <v>44331</v>
      </c>
      <c r="C47" s="269">
        <v>61.432024237210989</v>
      </c>
      <c r="D47" s="269">
        <v>101.55332277089387</v>
      </c>
      <c r="E47" s="177">
        <f t="shared" si="0"/>
        <v>61.432024237210989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M</v>
      </c>
      <c r="G47" s="200">
        <f>IF(DAY(B47)=15,D47,"")</f>
        <v>101.55332277089387</v>
      </c>
    </row>
    <row r="48" spans="1:7">
      <c r="A48">
        <v>45</v>
      </c>
      <c r="B48" s="46">
        <v>44332</v>
      </c>
      <c r="C48" s="269">
        <v>63.0199917972054</v>
      </c>
      <c r="D48" s="269">
        <v>101.55332277089387</v>
      </c>
      <c r="E48" s="177">
        <f t="shared" si="0"/>
        <v>63.0199917972054</v>
      </c>
      <c r="F48" s="199" t="str">
        <f t="shared" si="1"/>
        <v/>
      </c>
    </row>
    <row r="49" spans="1:6">
      <c r="A49">
        <v>46</v>
      </c>
      <c r="B49" s="46">
        <v>44333</v>
      </c>
      <c r="C49" s="269">
        <v>84.853373105210991</v>
      </c>
      <c r="D49" s="269">
        <v>101.55332277089387</v>
      </c>
      <c r="E49" s="177">
        <f t="shared" si="0"/>
        <v>84.853373105210991</v>
      </c>
      <c r="F49" s="199" t="str">
        <f t="shared" si="1"/>
        <v/>
      </c>
    </row>
    <row r="50" spans="1:6">
      <c r="A50">
        <v>47</v>
      </c>
      <c r="B50" s="46">
        <v>44334</v>
      </c>
      <c r="C50" s="269">
        <v>83.112247585209133</v>
      </c>
      <c r="D50" s="269">
        <v>101.55332277089387</v>
      </c>
      <c r="E50" s="177">
        <f t="shared" si="0"/>
        <v>83.112247585209133</v>
      </c>
      <c r="F50" s="199" t="str">
        <f t="shared" si="1"/>
        <v/>
      </c>
    </row>
    <row r="51" spans="1:6">
      <c r="A51">
        <v>48</v>
      </c>
      <c r="B51" s="46">
        <v>44335</v>
      </c>
      <c r="C51" s="269">
        <v>88.561247961818538</v>
      </c>
      <c r="D51" s="269">
        <v>101.55332277089387</v>
      </c>
      <c r="E51" s="177">
        <f t="shared" si="0"/>
        <v>88.561247961818538</v>
      </c>
      <c r="F51" s="199" t="str">
        <f t="shared" si="1"/>
        <v/>
      </c>
    </row>
    <row r="52" spans="1:6">
      <c r="A52">
        <v>49</v>
      </c>
      <c r="B52" s="46">
        <v>44336</v>
      </c>
      <c r="C52" s="269">
        <v>87.578146521816677</v>
      </c>
      <c r="D52" s="269">
        <v>101.55332277089387</v>
      </c>
      <c r="E52" s="177">
        <f t="shared" si="0"/>
        <v>87.578146521816677</v>
      </c>
      <c r="F52" s="199" t="str">
        <f t="shared" si="1"/>
        <v/>
      </c>
    </row>
    <row r="53" spans="1:6">
      <c r="A53">
        <v>50</v>
      </c>
      <c r="B53" s="46">
        <v>44337</v>
      </c>
      <c r="C53" s="269">
        <v>81.931180337818532</v>
      </c>
      <c r="D53" s="269">
        <v>101.55332277089387</v>
      </c>
      <c r="E53" s="177">
        <f t="shared" si="0"/>
        <v>81.931180337818532</v>
      </c>
      <c r="F53" s="199" t="str">
        <f t="shared" si="1"/>
        <v/>
      </c>
    </row>
    <row r="54" spans="1:6">
      <c r="A54">
        <v>51</v>
      </c>
      <c r="B54" s="46">
        <v>44338</v>
      </c>
      <c r="C54" s="269">
        <v>85.491071121820397</v>
      </c>
      <c r="D54" s="269">
        <v>101.55332277089387</v>
      </c>
      <c r="E54" s="177">
        <f t="shared" si="0"/>
        <v>85.491071121820397</v>
      </c>
      <c r="F54" s="199" t="str">
        <f t="shared" si="1"/>
        <v/>
      </c>
    </row>
    <row r="55" spans="1:6">
      <c r="A55">
        <v>52</v>
      </c>
      <c r="B55" s="46">
        <v>44339</v>
      </c>
      <c r="C55" s="269">
        <v>63.778950921816673</v>
      </c>
      <c r="D55" s="269">
        <v>101.55332277089387</v>
      </c>
      <c r="E55" s="177">
        <f t="shared" si="0"/>
        <v>63.778950921816673</v>
      </c>
      <c r="F55" s="199" t="str">
        <f t="shared" si="1"/>
        <v/>
      </c>
    </row>
    <row r="56" spans="1:6">
      <c r="A56">
        <v>53</v>
      </c>
      <c r="B56" s="46">
        <v>44340</v>
      </c>
      <c r="C56" s="269">
        <v>71.950054133820402</v>
      </c>
      <c r="D56" s="269">
        <v>101.55332277089387</v>
      </c>
      <c r="E56" s="177">
        <f t="shared" si="0"/>
        <v>71.950054133820402</v>
      </c>
      <c r="F56" s="199" t="str">
        <f t="shared" si="1"/>
        <v/>
      </c>
    </row>
    <row r="57" spans="1:6">
      <c r="A57">
        <v>54</v>
      </c>
      <c r="B57" s="46">
        <v>44341</v>
      </c>
      <c r="C57" s="269">
        <v>76.787076453822252</v>
      </c>
      <c r="D57" s="269">
        <v>101.55332277089387</v>
      </c>
      <c r="E57" s="177">
        <f t="shared" si="0"/>
        <v>76.787076453822252</v>
      </c>
      <c r="F57" s="199" t="str">
        <f t="shared" si="1"/>
        <v/>
      </c>
    </row>
    <row r="58" spans="1:6">
      <c r="A58">
        <v>55</v>
      </c>
      <c r="B58" s="46">
        <v>44342</v>
      </c>
      <c r="C58" s="269">
        <v>45.036094361653767</v>
      </c>
      <c r="D58" s="269">
        <v>101.55332277089387</v>
      </c>
      <c r="E58" s="177">
        <f t="shared" si="0"/>
        <v>45.036094361653767</v>
      </c>
      <c r="F58" s="199" t="str">
        <f t="shared" si="1"/>
        <v/>
      </c>
    </row>
    <row r="59" spans="1:6">
      <c r="A59">
        <v>56</v>
      </c>
      <c r="B59" s="46">
        <v>44343</v>
      </c>
      <c r="C59" s="269">
        <v>84.634084257655644</v>
      </c>
      <c r="D59" s="269">
        <v>101.55332277089387</v>
      </c>
      <c r="E59" s="177">
        <f t="shared" si="0"/>
        <v>84.634084257655644</v>
      </c>
      <c r="F59" s="199" t="str">
        <f t="shared" si="1"/>
        <v/>
      </c>
    </row>
    <row r="60" spans="1:6">
      <c r="A60">
        <v>57</v>
      </c>
      <c r="B60" s="46">
        <v>44344</v>
      </c>
      <c r="C60" s="269">
        <v>51.411297629655643</v>
      </c>
      <c r="D60" s="269">
        <v>101.55332277089387</v>
      </c>
      <c r="E60" s="177">
        <f t="shared" si="0"/>
        <v>51.411297629655643</v>
      </c>
      <c r="F60" s="199" t="str">
        <f t="shared" si="1"/>
        <v/>
      </c>
    </row>
    <row r="61" spans="1:6">
      <c r="A61">
        <v>58</v>
      </c>
      <c r="B61" s="46">
        <v>44345</v>
      </c>
      <c r="C61" s="269">
        <v>47.267614169655644</v>
      </c>
      <c r="D61" s="269">
        <v>101.55332277089387</v>
      </c>
      <c r="E61" s="177">
        <f t="shared" si="0"/>
        <v>47.267614169655644</v>
      </c>
      <c r="F61" s="199" t="str">
        <f t="shared" si="1"/>
        <v/>
      </c>
    </row>
    <row r="62" spans="1:6">
      <c r="A62">
        <v>59</v>
      </c>
      <c r="B62" s="46">
        <v>44346</v>
      </c>
      <c r="C62" s="269">
        <v>31.001360121657505</v>
      </c>
      <c r="D62" s="269">
        <v>101.55332277089387</v>
      </c>
      <c r="E62" s="177">
        <f t="shared" si="0"/>
        <v>31.001360121657505</v>
      </c>
      <c r="F62" s="199" t="str">
        <f t="shared" si="1"/>
        <v/>
      </c>
    </row>
    <row r="63" spans="1:6">
      <c r="A63">
        <v>60</v>
      </c>
      <c r="B63" s="46">
        <v>44347</v>
      </c>
      <c r="C63" s="269">
        <v>46.43987483365192</v>
      </c>
      <c r="D63" s="269">
        <v>101.55332277089387</v>
      </c>
      <c r="E63" s="177">
        <f t="shared" si="0"/>
        <v>46.43987483365192</v>
      </c>
      <c r="F63" s="199" t="str">
        <f t="shared" si="1"/>
        <v/>
      </c>
    </row>
    <row r="64" spans="1:6">
      <c r="A64">
        <v>61</v>
      </c>
      <c r="B64" s="46">
        <v>44348</v>
      </c>
      <c r="C64" s="269">
        <v>49.740938881657506</v>
      </c>
      <c r="D64" s="269">
        <v>64.00894044961241</v>
      </c>
      <c r="E64" s="177">
        <f t="shared" si="0"/>
        <v>49.740938881657506</v>
      </c>
      <c r="F64" s="199" t="str">
        <f t="shared" si="1"/>
        <v/>
      </c>
    </row>
    <row r="65" spans="1:7">
      <c r="A65">
        <v>62</v>
      </c>
      <c r="B65" s="46">
        <v>44349</v>
      </c>
      <c r="C65" s="269">
        <v>59.626562735076746</v>
      </c>
      <c r="D65" s="269">
        <v>64.00894044961241</v>
      </c>
      <c r="E65" s="177">
        <f t="shared" si="0"/>
        <v>59.626562735076746</v>
      </c>
      <c r="F65" s="199" t="str">
        <f t="shared" si="1"/>
        <v/>
      </c>
    </row>
    <row r="66" spans="1:7">
      <c r="A66">
        <v>63</v>
      </c>
      <c r="B66" s="46">
        <v>44350</v>
      </c>
      <c r="C66" s="269">
        <v>43.384016879082331</v>
      </c>
      <c r="D66" s="269">
        <v>64.00894044961241</v>
      </c>
      <c r="E66" s="177">
        <f t="shared" si="0"/>
        <v>43.384016879082331</v>
      </c>
      <c r="F66" s="199" t="str">
        <f t="shared" si="1"/>
        <v/>
      </c>
    </row>
    <row r="67" spans="1:7">
      <c r="A67">
        <v>64</v>
      </c>
      <c r="B67" s="46">
        <v>44351</v>
      </c>
      <c r="C67" s="269">
        <v>51.379159187080468</v>
      </c>
      <c r="D67" s="269">
        <v>64.00894044961241</v>
      </c>
      <c r="E67" s="177">
        <f t="shared" si="0"/>
        <v>51.379159187080468</v>
      </c>
      <c r="F67" s="199" t="str">
        <f t="shared" si="1"/>
        <v/>
      </c>
    </row>
    <row r="68" spans="1:7">
      <c r="A68">
        <v>65</v>
      </c>
      <c r="B68" s="46">
        <v>44352</v>
      </c>
      <c r="C68" s="269">
        <v>46.980016771082333</v>
      </c>
      <c r="D68" s="269">
        <v>64.00894044961241</v>
      </c>
      <c r="E68" s="177">
        <f t="shared" ref="E68:E131" si="2">IF(C68&lt;D68,C68,D68)</f>
        <v>46.980016771082333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44353</v>
      </c>
      <c r="C69" s="269">
        <v>38.850407715080465</v>
      </c>
      <c r="D69" s="269">
        <v>64.00894044961241</v>
      </c>
      <c r="E69" s="177">
        <f t="shared" si="2"/>
        <v>38.850407715080465</v>
      </c>
      <c r="F69" s="199" t="str">
        <f t="shared" si="3"/>
        <v/>
      </c>
    </row>
    <row r="70" spans="1:7">
      <c r="A70">
        <v>67</v>
      </c>
      <c r="B70" s="46">
        <v>44354</v>
      </c>
      <c r="C70" s="269">
        <v>42.253056895078601</v>
      </c>
      <c r="D70" s="269">
        <v>64.00894044961241</v>
      </c>
      <c r="E70" s="177">
        <f t="shared" si="2"/>
        <v>42.253056895078601</v>
      </c>
      <c r="F70" s="199" t="str">
        <f t="shared" si="3"/>
        <v/>
      </c>
    </row>
    <row r="71" spans="1:7">
      <c r="A71">
        <v>68</v>
      </c>
      <c r="B71" s="46">
        <v>44355</v>
      </c>
      <c r="C71" s="269">
        <v>48.83241618308233</v>
      </c>
      <c r="D71" s="269">
        <v>64.00894044961241</v>
      </c>
      <c r="E71" s="177">
        <f t="shared" si="2"/>
        <v>48.83241618308233</v>
      </c>
      <c r="F71" s="199" t="str">
        <f t="shared" si="3"/>
        <v/>
      </c>
    </row>
    <row r="72" spans="1:7">
      <c r="A72">
        <v>69</v>
      </c>
      <c r="B72" s="46">
        <v>44356</v>
      </c>
      <c r="C72" s="269">
        <v>39.656640428078113</v>
      </c>
      <c r="D72" s="269">
        <v>64.00894044961241</v>
      </c>
      <c r="E72" s="177">
        <f t="shared" si="2"/>
        <v>39.656640428078113</v>
      </c>
      <c r="F72" s="199" t="str">
        <f t="shared" si="3"/>
        <v/>
      </c>
    </row>
    <row r="73" spans="1:7">
      <c r="A73">
        <v>70</v>
      </c>
      <c r="B73" s="46">
        <v>44357</v>
      </c>
      <c r="C73" s="269">
        <v>56.535118168078114</v>
      </c>
      <c r="D73" s="269">
        <v>64.00894044961241</v>
      </c>
      <c r="E73" s="177">
        <f t="shared" si="2"/>
        <v>56.535118168078114</v>
      </c>
      <c r="F73" s="199" t="str">
        <f t="shared" si="3"/>
        <v/>
      </c>
    </row>
    <row r="74" spans="1:7">
      <c r="A74">
        <v>71</v>
      </c>
      <c r="B74" s="46">
        <v>44358</v>
      </c>
      <c r="C74" s="269">
        <v>35.849534328079969</v>
      </c>
      <c r="D74" s="269">
        <v>64.00894044961241</v>
      </c>
      <c r="E74" s="177">
        <f t="shared" si="2"/>
        <v>35.849534328079969</v>
      </c>
      <c r="F74" s="199" t="str">
        <f t="shared" si="3"/>
        <v/>
      </c>
    </row>
    <row r="75" spans="1:7">
      <c r="A75">
        <v>72</v>
      </c>
      <c r="B75" s="46">
        <v>44359</v>
      </c>
      <c r="C75" s="269">
        <v>39.188961216074382</v>
      </c>
      <c r="D75" s="269">
        <v>64.00894044961241</v>
      </c>
      <c r="E75" s="177">
        <f t="shared" si="2"/>
        <v>39.188961216074382</v>
      </c>
      <c r="F75" s="199" t="str">
        <f t="shared" si="3"/>
        <v/>
      </c>
    </row>
    <row r="76" spans="1:7">
      <c r="A76">
        <v>73</v>
      </c>
      <c r="B76" s="46">
        <v>44360</v>
      </c>
      <c r="C76" s="269">
        <v>34.75959014007811</v>
      </c>
      <c r="D76" s="269">
        <v>64.00894044961241</v>
      </c>
      <c r="E76" s="177">
        <f t="shared" si="2"/>
        <v>34.75959014007811</v>
      </c>
      <c r="F76" s="199" t="str">
        <f t="shared" si="3"/>
        <v/>
      </c>
    </row>
    <row r="77" spans="1:7">
      <c r="A77">
        <v>74</v>
      </c>
      <c r="B77" s="46">
        <v>44361</v>
      </c>
      <c r="C77" s="269">
        <v>71.69865695207811</v>
      </c>
      <c r="D77" s="269">
        <v>64.00894044961241</v>
      </c>
      <c r="E77" s="177">
        <f t="shared" si="2"/>
        <v>64.00894044961241</v>
      </c>
      <c r="F77" s="199" t="str">
        <f t="shared" si="3"/>
        <v/>
      </c>
    </row>
    <row r="78" spans="1:7">
      <c r="A78">
        <v>75</v>
      </c>
      <c r="B78" s="46">
        <v>44362</v>
      </c>
      <c r="C78" s="269">
        <v>67.651463800076243</v>
      </c>
      <c r="D78" s="269">
        <v>64.00894044961241</v>
      </c>
      <c r="E78" s="177">
        <f t="shared" si="2"/>
        <v>64.00894044961241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J</v>
      </c>
      <c r="G78" s="200">
        <f>IF(DAY(B78)=15,D78,"")</f>
        <v>64.00894044961241</v>
      </c>
    </row>
    <row r="79" spans="1:7">
      <c r="A79">
        <v>76</v>
      </c>
      <c r="B79" s="46">
        <v>44363</v>
      </c>
      <c r="C79" s="269">
        <v>62.761168339110462</v>
      </c>
      <c r="D79" s="269">
        <v>64.00894044961241</v>
      </c>
      <c r="E79" s="177">
        <f t="shared" si="2"/>
        <v>62.761168339110462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44364</v>
      </c>
      <c r="C80" s="269">
        <v>64.331895743110465</v>
      </c>
      <c r="D80" s="269">
        <v>64.00894044961241</v>
      </c>
      <c r="E80" s="177">
        <f t="shared" si="2"/>
        <v>64.00894044961241</v>
      </c>
      <c r="F80" s="199" t="str">
        <f t="shared" si="3"/>
        <v/>
      </c>
    </row>
    <row r="81" spans="1:6">
      <c r="A81">
        <v>78</v>
      </c>
      <c r="B81" s="46">
        <v>44365</v>
      </c>
      <c r="C81" s="269">
        <v>51.750105331110461</v>
      </c>
      <c r="D81" s="269">
        <v>64.00894044961241</v>
      </c>
      <c r="E81" s="177">
        <f t="shared" si="2"/>
        <v>51.750105331110461</v>
      </c>
      <c r="F81" s="199" t="str">
        <f t="shared" si="3"/>
        <v/>
      </c>
    </row>
    <row r="82" spans="1:6">
      <c r="A82">
        <v>79</v>
      </c>
      <c r="B82" s="46">
        <v>44366</v>
      </c>
      <c r="C82" s="269">
        <v>42.611285635112317</v>
      </c>
      <c r="D82" s="269">
        <v>64.00894044961241</v>
      </c>
      <c r="E82" s="177">
        <f t="shared" si="2"/>
        <v>42.611285635112317</v>
      </c>
      <c r="F82" s="199" t="str">
        <f t="shared" si="3"/>
        <v/>
      </c>
    </row>
    <row r="83" spans="1:6">
      <c r="A83">
        <v>80</v>
      </c>
      <c r="B83" s="46">
        <v>44367</v>
      </c>
      <c r="C83" s="269">
        <v>30.118779127108596</v>
      </c>
      <c r="D83" s="269">
        <v>64.00894044961241</v>
      </c>
      <c r="E83" s="177">
        <f t="shared" si="2"/>
        <v>30.118779127108596</v>
      </c>
      <c r="F83" s="199" t="str">
        <f t="shared" si="3"/>
        <v/>
      </c>
    </row>
    <row r="84" spans="1:6">
      <c r="A84">
        <v>81</v>
      </c>
      <c r="B84" s="46">
        <v>44368</v>
      </c>
      <c r="C84" s="269">
        <v>41.493578483112316</v>
      </c>
      <c r="D84" s="269">
        <v>64.00894044961241</v>
      </c>
      <c r="E84" s="177">
        <f t="shared" si="2"/>
        <v>41.493578483112316</v>
      </c>
      <c r="F84" s="199" t="str">
        <f t="shared" si="3"/>
        <v/>
      </c>
    </row>
    <row r="85" spans="1:6">
      <c r="A85">
        <v>82</v>
      </c>
      <c r="B85" s="46">
        <v>44369</v>
      </c>
      <c r="C85" s="269">
        <v>51.606623843110455</v>
      </c>
      <c r="D85" s="269">
        <v>64.00894044961241</v>
      </c>
      <c r="E85" s="177">
        <f t="shared" si="2"/>
        <v>51.606623843110455</v>
      </c>
      <c r="F85" s="199" t="str">
        <f t="shared" si="3"/>
        <v/>
      </c>
    </row>
    <row r="86" spans="1:6">
      <c r="A86">
        <v>83</v>
      </c>
      <c r="B86" s="46">
        <v>44370</v>
      </c>
      <c r="C86" s="269">
        <v>56.153062707417426</v>
      </c>
      <c r="D86" s="269">
        <v>64.00894044961241</v>
      </c>
      <c r="E86" s="177">
        <f t="shared" si="2"/>
        <v>56.153062707417426</v>
      </c>
      <c r="F86" s="199" t="str">
        <f t="shared" si="3"/>
        <v/>
      </c>
    </row>
    <row r="87" spans="1:6">
      <c r="A87">
        <v>84</v>
      </c>
      <c r="B87" s="46">
        <v>44371</v>
      </c>
      <c r="C87" s="269">
        <v>62.08737866341928</v>
      </c>
      <c r="D87" s="269">
        <v>64.00894044961241</v>
      </c>
      <c r="E87" s="177">
        <f t="shared" si="2"/>
        <v>62.08737866341928</v>
      </c>
      <c r="F87" s="199" t="str">
        <f t="shared" si="3"/>
        <v/>
      </c>
    </row>
    <row r="88" spans="1:6">
      <c r="A88">
        <v>85</v>
      </c>
      <c r="B88" s="46">
        <v>44372</v>
      </c>
      <c r="C88" s="269">
        <v>59.582867003419288</v>
      </c>
      <c r="D88" s="269">
        <v>64.00894044961241</v>
      </c>
      <c r="E88" s="177">
        <f t="shared" si="2"/>
        <v>59.582867003419288</v>
      </c>
      <c r="F88" s="199" t="str">
        <f t="shared" si="3"/>
        <v/>
      </c>
    </row>
    <row r="89" spans="1:6">
      <c r="A89">
        <v>86</v>
      </c>
      <c r="B89" s="46">
        <v>44373</v>
      </c>
      <c r="C89" s="269">
        <v>44.03432207541929</v>
      </c>
      <c r="D89" s="269">
        <v>64.00894044961241</v>
      </c>
      <c r="E89" s="177">
        <f t="shared" si="2"/>
        <v>44.03432207541929</v>
      </c>
      <c r="F89" s="199" t="str">
        <f t="shared" si="3"/>
        <v/>
      </c>
    </row>
    <row r="90" spans="1:6">
      <c r="A90">
        <v>87</v>
      </c>
      <c r="B90" s="46">
        <v>44374</v>
      </c>
      <c r="C90" s="269">
        <v>35.423002939419291</v>
      </c>
      <c r="D90" s="269">
        <v>64.00894044961241</v>
      </c>
      <c r="E90" s="177">
        <f t="shared" si="2"/>
        <v>35.423002939419291</v>
      </c>
      <c r="F90" s="199" t="str">
        <f t="shared" si="3"/>
        <v/>
      </c>
    </row>
    <row r="91" spans="1:6">
      <c r="A91">
        <v>88</v>
      </c>
      <c r="B91" s="46">
        <v>44375</v>
      </c>
      <c r="C91" s="269">
        <v>57.752474875419281</v>
      </c>
      <c r="D91" s="269">
        <v>64.00894044961241</v>
      </c>
      <c r="E91" s="177">
        <f t="shared" si="2"/>
        <v>57.752474875419281</v>
      </c>
      <c r="F91" s="199" t="str">
        <f t="shared" si="3"/>
        <v/>
      </c>
    </row>
    <row r="92" spans="1:6">
      <c r="A92">
        <v>89</v>
      </c>
      <c r="B92" s="46">
        <v>44376</v>
      </c>
      <c r="C92" s="269">
        <v>56.62067234341928</v>
      </c>
      <c r="D92" s="269">
        <v>64.00894044961241</v>
      </c>
      <c r="E92" s="177">
        <f t="shared" si="2"/>
        <v>56.62067234341928</v>
      </c>
      <c r="F92" s="199" t="str">
        <f t="shared" si="3"/>
        <v/>
      </c>
    </row>
    <row r="93" spans="1:6">
      <c r="A93">
        <v>90</v>
      </c>
      <c r="B93" s="46">
        <v>44377</v>
      </c>
      <c r="C93" s="269">
        <v>38.6761881303024</v>
      </c>
      <c r="D93" s="269">
        <v>64.00894044961241</v>
      </c>
      <c r="E93" s="177">
        <f t="shared" si="2"/>
        <v>38.6761881303024</v>
      </c>
      <c r="F93" s="199" t="str">
        <f t="shared" si="3"/>
        <v/>
      </c>
    </row>
    <row r="94" spans="1:6">
      <c r="A94">
        <v>91</v>
      </c>
      <c r="B94" s="46">
        <v>44378</v>
      </c>
      <c r="C94" s="269">
        <v>44.62471131430425</v>
      </c>
      <c r="D94" s="269">
        <v>28.26541708637771</v>
      </c>
      <c r="E94" s="177">
        <f t="shared" si="2"/>
        <v>28.26541708637771</v>
      </c>
      <c r="F94" s="199" t="str">
        <f t="shared" si="3"/>
        <v/>
      </c>
    </row>
    <row r="95" spans="1:6">
      <c r="A95">
        <v>92</v>
      </c>
      <c r="B95" s="46">
        <v>44379</v>
      </c>
      <c r="C95" s="269">
        <v>42.429424178304252</v>
      </c>
      <c r="D95" s="269">
        <v>28.26541708637771</v>
      </c>
      <c r="E95" s="177">
        <f t="shared" si="2"/>
        <v>28.26541708637771</v>
      </c>
      <c r="F95" s="199" t="str">
        <f t="shared" si="3"/>
        <v/>
      </c>
    </row>
    <row r="96" spans="1:6">
      <c r="A96">
        <v>93</v>
      </c>
      <c r="B96" s="46">
        <v>44380</v>
      </c>
      <c r="C96" s="269">
        <v>38.563100278302386</v>
      </c>
      <c r="D96" s="269">
        <v>28.26541708637771</v>
      </c>
      <c r="E96" s="177">
        <f t="shared" si="2"/>
        <v>28.26541708637771</v>
      </c>
      <c r="F96" s="199" t="str">
        <f t="shared" si="3"/>
        <v/>
      </c>
    </row>
    <row r="97" spans="1:7">
      <c r="A97">
        <v>94</v>
      </c>
      <c r="B97" s="46">
        <v>44381</v>
      </c>
      <c r="C97" s="269">
        <v>4.5934732943023917</v>
      </c>
      <c r="D97" s="269">
        <v>28.26541708637771</v>
      </c>
      <c r="E97" s="177">
        <f t="shared" si="2"/>
        <v>4.5934732943023917</v>
      </c>
      <c r="F97" s="199" t="str">
        <f t="shared" si="3"/>
        <v/>
      </c>
    </row>
    <row r="98" spans="1:7">
      <c r="A98">
        <v>95</v>
      </c>
      <c r="B98" s="46">
        <v>44382</v>
      </c>
      <c r="C98" s="269">
        <v>37.484665742304266</v>
      </c>
      <c r="D98" s="269">
        <v>28.26541708637771</v>
      </c>
      <c r="E98" s="177">
        <f t="shared" si="2"/>
        <v>28.26541708637771</v>
      </c>
      <c r="F98" s="199" t="str">
        <f t="shared" si="3"/>
        <v/>
      </c>
    </row>
    <row r="99" spans="1:7">
      <c r="A99">
        <v>96</v>
      </c>
      <c r="B99" s="46">
        <v>44383</v>
      </c>
      <c r="C99" s="269">
        <v>40.497175394304257</v>
      </c>
      <c r="D99" s="269">
        <v>28.26541708637771</v>
      </c>
      <c r="E99" s="177">
        <f t="shared" si="2"/>
        <v>28.26541708637771</v>
      </c>
      <c r="F99" s="199" t="str">
        <f t="shared" si="3"/>
        <v/>
      </c>
    </row>
    <row r="100" spans="1:7">
      <c r="A100">
        <v>97</v>
      </c>
      <c r="B100" s="46">
        <v>44384</v>
      </c>
      <c r="C100" s="269">
        <v>37.492404876303219</v>
      </c>
      <c r="D100" s="269">
        <v>28.26541708637771</v>
      </c>
      <c r="E100" s="177">
        <f t="shared" si="2"/>
        <v>28.26541708637771</v>
      </c>
      <c r="F100" s="199" t="str">
        <f t="shared" si="3"/>
        <v/>
      </c>
    </row>
    <row r="101" spans="1:7">
      <c r="A101">
        <v>98</v>
      </c>
      <c r="B101" s="46">
        <v>44385</v>
      </c>
      <c r="C101" s="269">
        <v>25.250259888306942</v>
      </c>
      <c r="D101" s="269">
        <v>28.26541708637771</v>
      </c>
      <c r="E101" s="177">
        <f t="shared" si="2"/>
        <v>25.250259888306942</v>
      </c>
      <c r="F101" s="199" t="str">
        <f t="shared" si="3"/>
        <v/>
      </c>
    </row>
    <row r="102" spans="1:7">
      <c r="A102">
        <v>99</v>
      </c>
      <c r="B102" s="46">
        <v>44386</v>
      </c>
      <c r="C102" s="269">
        <v>24.846315244305078</v>
      </c>
      <c r="D102" s="269">
        <v>28.26541708637771</v>
      </c>
      <c r="E102" s="177">
        <f t="shared" si="2"/>
        <v>24.846315244305078</v>
      </c>
      <c r="F102" s="199" t="str">
        <f t="shared" si="3"/>
        <v/>
      </c>
    </row>
    <row r="103" spans="1:7">
      <c r="A103">
        <v>100</v>
      </c>
      <c r="B103" s="46">
        <v>44387</v>
      </c>
      <c r="C103" s="269">
        <v>24.875425528305072</v>
      </c>
      <c r="D103" s="269">
        <v>28.26541708637771</v>
      </c>
      <c r="E103" s="177">
        <f t="shared" si="2"/>
        <v>24.875425528305072</v>
      </c>
      <c r="F103" s="199" t="str">
        <f t="shared" si="3"/>
        <v/>
      </c>
    </row>
    <row r="104" spans="1:7">
      <c r="A104">
        <v>101</v>
      </c>
      <c r="B104" s="46">
        <v>44388</v>
      </c>
      <c r="C104" s="269">
        <v>24.555974760305077</v>
      </c>
      <c r="D104" s="269">
        <v>28.26541708637771</v>
      </c>
      <c r="E104" s="177">
        <f t="shared" si="2"/>
        <v>24.555974760305077</v>
      </c>
      <c r="F104" s="199" t="str">
        <f t="shared" si="3"/>
        <v/>
      </c>
    </row>
    <row r="105" spans="1:7">
      <c r="A105">
        <v>102</v>
      </c>
      <c r="B105" s="46">
        <v>44389</v>
      </c>
      <c r="C105" s="269">
        <v>14.567424316305084</v>
      </c>
      <c r="D105" s="269">
        <v>28.26541708637771</v>
      </c>
      <c r="E105" s="177">
        <f t="shared" si="2"/>
        <v>14.567424316305084</v>
      </c>
      <c r="F105" s="199" t="str">
        <f t="shared" si="3"/>
        <v/>
      </c>
    </row>
    <row r="106" spans="1:7">
      <c r="A106">
        <v>103</v>
      </c>
      <c r="B106" s="46">
        <v>44390</v>
      </c>
      <c r="C106" s="269">
        <v>17.458720352305086</v>
      </c>
      <c r="D106" s="269">
        <v>28.26541708637771</v>
      </c>
      <c r="E106" s="177">
        <f t="shared" si="2"/>
        <v>17.458720352305086</v>
      </c>
      <c r="F106" s="199" t="str">
        <f t="shared" si="3"/>
        <v/>
      </c>
    </row>
    <row r="107" spans="1:7">
      <c r="A107">
        <v>104</v>
      </c>
      <c r="B107" s="46">
        <v>44391</v>
      </c>
      <c r="C107" s="269">
        <v>3.2801613586414167</v>
      </c>
      <c r="D107" s="269">
        <v>28.26541708637771</v>
      </c>
      <c r="E107" s="177">
        <f t="shared" si="2"/>
        <v>3.2801613586414167</v>
      </c>
      <c r="F107" s="199" t="str">
        <f t="shared" si="3"/>
        <v/>
      </c>
    </row>
    <row r="108" spans="1:7">
      <c r="A108">
        <v>105</v>
      </c>
      <c r="B108" s="46">
        <v>44392</v>
      </c>
      <c r="C108" s="269">
        <v>3.7021285986414152</v>
      </c>
      <c r="D108" s="269">
        <v>28.26541708637771</v>
      </c>
      <c r="E108" s="177">
        <f t="shared" si="2"/>
        <v>3.7021285986414152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>J</v>
      </c>
      <c r="G108" s="200">
        <f>IF(DAY(B108)=15,D108,"")</f>
        <v>28.26541708637771</v>
      </c>
    </row>
    <row r="109" spans="1:7">
      <c r="A109">
        <v>106</v>
      </c>
      <c r="B109" s="46">
        <v>44393</v>
      </c>
      <c r="C109" s="269">
        <v>3.4328874426414258</v>
      </c>
      <c r="D109" s="269">
        <v>28.26541708637771</v>
      </c>
      <c r="E109" s="177">
        <f t="shared" si="2"/>
        <v>3.4328874426414258</v>
      </c>
      <c r="F109" s="199" t="str">
        <f t="shared" si="3"/>
        <v/>
      </c>
    </row>
    <row r="110" spans="1:7">
      <c r="A110">
        <v>107</v>
      </c>
      <c r="B110" s="46">
        <v>44394</v>
      </c>
      <c r="C110" s="269">
        <v>6.1905694026414126</v>
      </c>
      <c r="D110" s="269">
        <v>28.26541708637771</v>
      </c>
      <c r="E110" s="177">
        <f t="shared" si="2"/>
        <v>6.1905694026414126</v>
      </c>
      <c r="F110" s="199" t="str">
        <f t="shared" si="3"/>
        <v/>
      </c>
    </row>
    <row r="111" spans="1:7">
      <c r="A111">
        <v>108</v>
      </c>
      <c r="B111" s="46">
        <v>44395</v>
      </c>
      <c r="C111" s="269">
        <v>2.9161338986432819</v>
      </c>
      <c r="D111" s="269">
        <v>28.26541708637771</v>
      </c>
      <c r="E111" s="177">
        <f t="shared" si="2"/>
        <v>2.9161338986432819</v>
      </c>
      <c r="F111" s="199" t="str">
        <f t="shared" si="3"/>
        <v/>
      </c>
    </row>
    <row r="112" spans="1:7">
      <c r="A112">
        <v>109</v>
      </c>
      <c r="B112" s="46">
        <v>44396</v>
      </c>
      <c r="C112" s="269">
        <v>3.8112047226414143</v>
      </c>
      <c r="D112" s="269">
        <v>28.26541708637771</v>
      </c>
      <c r="E112" s="177">
        <f t="shared" si="2"/>
        <v>3.8112047226414143</v>
      </c>
      <c r="F112" s="199" t="str">
        <f t="shared" si="3"/>
        <v/>
      </c>
    </row>
    <row r="113" spans="1:6">
      <c r="A113">
        <v>110</v>
      </c>
      <c r="B113" s="46">
        <v>44397</v>
      </c>
      <c r="C113" s="269">
        <v>0.74533419064328332</v>
      </c>
      <c r="D113" s="269">
        <v>28.26541708637771</v>
      </c>
      <c r="E113" s="177">
        <f t="shared" si="2"/>
        <v>0.74533419064328332</v>
      </c>
      <c r="F113" s="199" t="str">
        <f t="shared" si="3"/>
        <v/>
      </c>
    </row>
    <row r="114" spans="1:6">
      <c r="A114">
        <v>111</v>
      </c>
      <c r="B114" s="46">
        <v>44398</v>
      </c>
      <c r="C114" s="269">
        <v>19.407550297499554</v>
      </c>
      <c r="D114" s="269">
        <v>28.26541708637771</v>
      </c>
      <c r="E114" s="177">
        <f t="shared" si="2"/>
        <v>19.407550297499554</v>
      </c>
      <c r="F114" s="199" t="str">
        <f t="shared" si="3"/>
        <v/>
      </c>
    </row>
    <row r="115" spans="1:6">
      <c r="A115">
        <v>112</v>
      </c>
      <c r="B115" s="46">
        <v>44399</v>
      </c>
      <c r="C115" s="269">
        <v>16.555754301501416</v>
      </c>
      <c r="D115" s="269">
        <v>28.26541708637771</v>
      </c>
      <c r="E115" s="177">
        <f t="shared" si="2"/>
        <v>16.555754301501416</v>
      </c>
      <c r="F115" s="199" t="str">
        <f t="shared" si="3"/>
        <v/>
      </c>
    </row>
    <row r="116" spans="1:6">
      <c r="A116">
        <v>113</v>
      </c>
      <c r="B116" s="46">
        <v>44400</v>
      </c>
      <c r="C116" s="269">
        <v>13.259645153499557</v>
      </c>
      <c r="D116" s="269">
        <v>28.26541708637771</v>
      </c>
      <c r="E116" s="177">
        <f t="shared" si="2"/>
        <v>13.259645153499557</v>
      </c>
      <c r="F116" s="199" t="str">
        <f t="shared" si="3"/>
        <v/>
      </c>
    </row>
    <row r="117" spans="1:6">
      <c r="A117">
        <v>114</v>
      </c>
      <c r="B117" s="46">
        <v>44401</v>
      </c>
      <c r="C117" s="269">
        <v>11.605605877501418</v>
      </c>
      <c r="D117" s="269">
        <v>28.26541708637771</v>
      </c>
      <c r="E117" s="177">
        <f t="shared" si="2"/>
        <v>11.605605877501418</v>
      </c>
      <c r="F117" s="199" t="str">
        <f t="shared" si="3"/>
        <v/>
      </c>
    </row>
    <row r="118" spans="1:6">
      <c r="A118">
        <v>115</v>
      </c>
      <c r="B118" s="46">
        <v>44402</v>
      </c>
      <c r="C118" s="269">
        <v>7.0987854214995529</v>
      </c>
      <c r="D118" s="269">
        <v>28.26541708637771</v>
      </c>
      <c r="E118" s="177">
        <f t="shared" si="2"/>
        <v>7.0987854214995529</v>
      </c>
      <c r="F118" s="199" t="str">
        <f t="shared" si="3"/>
        <v/>
      </c>
    </row>
    <row r="119" spans="1:6">
      <c r="A119">
        <v>116</v>
      </c>
      <c r="B119" s="46">
        <v>44403</v>
      </c>
      <c r="C119" s="269">
        <v>10.141006933501419</v>
      </c>
      <c r="D119" s="269">
        <v>28.26541708637771</v>
      </c>
      <c r="E119" s="177">
        <f t="shared" si="2"/>
        <v>10.141006933501419</v>
      </c>
      <c r="F119" s="199" t="str">
        <f t="shared" si="3"/>
        <v/>
      </c>
    </row>
    <row r="120" spans="1:6">
      <c r="A120">
        <v>117</v>
      </c>
      <c r="B120" s="46">
        <v>44404</v>
      </c>
      <c r="C120" s="269">
        <v>9.3542710974995575</v>
      </c>
      <c r="D120" s="269">
        <v>28.26541708637771</v>
      </c>
      <c r="E120" s="177">
        <f t="shared" si="2"/>
        <v>9.3542710974995575</v>
      </c>
      <c r="F120" s="199" t="str">
        <f t="shared" si="3"/>
        <v/>
      </c>
    </row>
    <row r="121" spans="1:6">
      <c r="A121">
        <v>118</v>
      </c>
      <c r="B121" s="46">
        <v>44405</v>
      </c>
      <c r="C121" s="269">
        <v>6.3809409010995806</v>
      </c>
      <c r="D121" s="269">
        <v>28.26541708637771</v>
      </c>
      <c r="E121" s="177">
        <f t="shared" si="2"/>
        <v>6.3809409010995806</v>
      </c>
      <c r="F121" s="199" t="str">
        <f t="shared" si="3"/>
        <v/>
      </c>
    </row>
    <row r="122" spans="1:6">
      <c r="A122">
        <v>119</v>
      </c>
      <c r="B122" s="46">
        <v>44406</v>
      </c>
      <c r="C122" s="269">
        <v>18.61382452909772</v>
      </c>
      <c r="D122" s="269">
        <v>28.26541708637771</v>
      </c>
      <c r="E122" s="177">
        <f t="shared" si="2"/>
        <v>18.61382452909772</v>
      </c>
      <c r="F122" s="199" t="str">
        <f t="shared" si="3"/>
        <v/>
      </c>
    </row>
    <row r="123" spans="1:6">
      <c r="A123">
        <v>120</v>
      </c>
      <c r="B123" s="46">
        <v>44407</v>
      </c>
      <c r="C123" s="269">
        <v>20.12006257709772</v>
      </c>
      <c r="D123" s="269">
        <v>28.26541708637771</v>
      </c>
      <c r="E123" s="177">
        <f t="shared" si="2"/>
        <v>20.12006257709772</v>
      </c>
      <c r="F123" s="199" t="str">
        <f t="shared" si="3"/>
        <v/>
      </c>
    </row>
    <row r="124" spans="1:6">
      <c r="A124">
        <v>121</v>
      </c>
      <c r="B124" s="46">
        <v>44408</v>
      </c>
      <c r="C124" s="269">
        <v>1.8893583750977123</v>
      </c>
      <c r="D124" s="269">
        <v>28.26541708637771</v>
      </c>
      <c r="E124" s="177">
        <f t="shared" si="2"/>
        <v>1.8893583750977123</v>
      </c>
      <c r="F124" s="199" t="str">
        <f t="shared" si="3"/>
        <v/>
      </c>
    </row>
    <row r="125" spans="1:6">
      <c r="A125">
        <v>122</v>
      </c>
      <c r="B125" s="46">
        <v>44409</v>
      </c>
      <c r="C125" s="269">
        <v>4.5655955870995752</v>
      </c>
      <c r="D125" s="269">
        <v>17.065966880459293</v>
      </c>
      <c r="E125" s="177">
        <f t="shared" si="2"/>
        <v>4.5655955870995752</v>
      </c>
      <c r="F125" s="199" t="str">
        <f t="shared" si="3"/>
        <v/>
      </c>
    </row>
    <row r="126" spans="1:6">
      <c r="A126">
        <v>123</v>
      </c>
      <c r="B126" s="46">
        <v>44410</v>
      </c>
      <c r="C126" s="269">
        <v>24.369447137101439</v>
      </c>
      <c r="D126" s="269">
        <v>17.065966880459293</v>
      </c>
      <c r="E126" s="177">
        <f t="shared" si="2"/>
        <v>17.065966880459293</v>
      </c>
      <c r="F126" s="199" t="str">
        <f t="shared" si="3"/>
        <v/>
      </c>
    </row>
    <row r="127" spans="1:6">
      <c r="A127">
        <v>124</v>
      </c>
      <c r="B127" s="46">
        <v>44411</v>
      </c>
      <c r="C127" s="269">
        <v>22.849233373095849</v>
      </c>
      <c r="D127" s="269">
        <v>17.065966880459293</v>
      </c>
      <c r="E127" s="177">
        <f t="shared" si="2"/>
        <v>17.065966880459293</v>
      </c>
      <c r="F127" s="199" t="str">
        <f t="shared" si="3"/>
        <v/>
      </c>
    </row>
    <row r="128" spans="1:6">
      <c r="A128">
        <v>125</v>
      </c>
      <c r="B128" s="46">
        <v>44412</v>
      </c>
      <c r="C128" s="269">
        <v>20.851566048340771</v>
      </c>
      <c r="D128" s="269">
        <v>17.065966880459293</v>
      </c>
      <c r="E128" s="177">
        <f t="shared" si="2"/>
        <v>17.065966880459293</v>
      </c>
      <c r="F128" s="199" t="str">
        <f t="shared" si="3"/>
        <v/>
      </c>
    </row>
    <row r="129" spans="1:7">
      <c r="A129">
        <v>126</v>
      </c>
      <c r="B129" s="46">
        <v>44413</v>
      </c>
      <c r="C129" s="269">
        <v>20.527216116342636</v>
      </c>
      <c r="D129" s="269">
        <v>17.065966880459293</v>
      </c>
      <c r="E129" s="177">
        <f t="shared" si="2"/>
        <v>17.065966880459293</v>
      </c>
      <c r="F129" s="199" t="str">
        <f t="shared" si="3"/>
        <v/>
      </c>
    </row>
    <row r="130" spans="1:7">
      <c r="A130">
        <v>127</v>
      </c>
      <c r="B130" s="46">
        <v>44414</v>
      </c>
      <c r="C130" s="269">
        <v>8.4270759103407684</v>
      </c>
      <c r="D130" s="269">
        <v>17.065966880459293</v>
      </c>
      <c r="E130" s="177">
        <f t="shared" si="2"/>
        <v>8.4270759103407684</v>
      </c>
      <c r="F130" s="199" t="str">
        <f t="shared" si="3"/>
        <v/>
      </c>
    </row>
    <row r="131" spans="1:7">
      <c r="A131">
        <v>128</v>
      </c>
      <c r="B131" s="46">
        <v>44415</v>
      </c>
      <c r="C131" s="269">
        <v>3.1181593463426327</v>
      </c>
      <c r="D131" s="269">
        <v>17.065966880459293</v>
      </c>
      <c r="E131" s="177">
        <f t="shared" si="2"/>
        <v>3.1181593463426327</v>
      </c>
      <c r="F131" s="199" t="str">
        <f t="shared" si="3"/>
        <v/>
      </c>
    </row>
    <row r="132" spans="1:7">
      <c r="A132">
        <v>129</v>
      </c>
      <c r="B132" s="46">
        <v>44416</v>
      </c>
      <c r="C132" s="269">
        <v>0.97960024234076992</v>
      </c>
      <c r="D132" s="269">
        <v>17.065966880459293</v>
      </c>
      <c r="E132" s="177">
        <f t="shared" ref="E132:E195" si="4">IF(C132&lt;D132,C132,D132)</f>
        <v>0.97960024234076992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44417</v>
      </c>
      <c r="C133" s="269">
        <v>14.443968728340769</v>
      </c>
      <c r="D133" s="269">
        <v>17.065966880459293</v>
      </c>
      <c r="E133" s="177">
        <f t="shared" si="4"/>
        <v>14.443968728340769</v>
      </c>
      <c r="F133" s="199" t="str">
        <f t="shared" si="5"/>
        <v/>
      </c>
    </row>
    <row r="134" spans="1:7">
      <c r="A134">
        <v>131</v>
      </c>
      <c r="B134" s="46">
        <v>44418</v>
      </c>
      <c r="C134" s="269">
        <v>12.368461616340777</v>
      </c>
      <c r="D134" s="269">
        <v>17.065966880459293</v>
      </c>
      <c r="E134" s="177">
        <f t="shared" si="4"/>
        <v>12.368461616340777</v>
      </c>
      <c r="F134" s="199" t="str">
        <f t="shared" si="5"/>
        <v/>
      </c>
    </row>
    <row r="135" spans="1:7">
      <c r="A135">
        <v>132</v>
      </c>
      <c r="B135" s="46">
        <v>44419</v>
      </c>
      <c r="C135" s="269">
        <v>12.890011353729017</v>
      </c>
      <c r="D135" s="269">
        <v>17.065966880459293</v>
      </c>
      <c r="E135" s="177">
        <f t="shared" si="4"/>
        <v>12.890011353729017</v>
      </c>
      <c r="F135" s="199" t="str">
        <f t="shared" si="5"/>
        <v/>
      </c>
    </row>
    <row r="136" spans="1:7">
      <c r="A136">
        <v>133</v>
      </c>
      <c r="B136" s="46">
        <v>44420</v>
      </c>
      <c r="C136" s="269">
        <v>11.795801197727153</v>
      </c>
      <c r="D136" s="269">
        <v>17.065966880459293</v>
      </c>
      <c r="E136" s="177">
        <f t="shared" si="4"/>
        <v>11.795801197727153</v>
      </c>
      <c r="F136" s="199" t="str">
        <f t="shared" si="5"/>
        <v/>
      </c>
    </row>
    <row r="137" spans="1:7">
      <c r="A137">
        <v>134</v>
      </c>
      <c r="B137" s="46">
        <v>44421</v>
      </c>
      <c r="C137" s="269">
        <v>10.709613341727149</v>
      </c>
      <c r="D137" s="269">
        <v>17.065966880459293</v>
      </c>
      <c r="E137" s="177">
        <f t="shared" si="4"/>
        <v>10.709613341727149</v>
      </c>
      <c r="F137" s="199" t="str">
        <f t="shared" si="5"/>
        <v/>
      </c>
    </row>
    <row r="138" spans="1:7">
      <c r="A138">
        <v>135</v>
      </c>
      <c r="B138" s="46">
        <v>44422</v>
      </c>
      <c r="C138" s="269">
        <v>8.390193413727145</v>
      </c>
      <c r="D138" s="269">
        <v>17.065966880459293</v>
      </c>
      <c r="E138" s="177">
        <f t="shared" si="4"/>
        <v>8.390193413727145</v>
      </c>
      <c r="F138" s="199" t="str">
        <f t="shared" si="5"/>
        <v/>
      </c>
    </row>
    <row r="139" spans="1:7">
      <c r="A139">
        <v>136</v>
      </c>
      <c r="B139" s="46">
        <v>44423</v>
      </c>
      <c r="C139" s="269">
        <v>3.8323451297280844</v>
      </c>
      <c r="D139" s="269">
        <v>17.065966880459293</v>
      </c>
      <c r="E139" s="177">
        <f t="shared" si="4"/>
        <v>3.8323451297280844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A</v>
      </c>
      <c r="G139" s="200">
        <f>IF(DAY(B139)=15,D139,"")</f>
        <v>17.065966880459293</v>
      </c>
    </row>
    <row r="140" spans="1:7">
      <c r="A140">
        <v>137</v>
      </c>
      <c r="B140" s="46">
        <v>44424</v>
      </c>
      <c r="C140" s="269">
        <v>1.5208754617262239</v>
      </c>
      <c r="D140" s="269">
        <v>17.065966880459293</v>
      </c>
      <c r="E140" s="177">
        <f t="shared" si="4"/>
        <v>1.5208754617262239</v>
      </c>
      <c r="F140" s="199" t="str">
        <f t="shared" si="5"/>
        <v/>
      </c>
    </row>
    <row r="141" spans="1:7">
      <c r="A141">
        <v>138</v>
      </c>
      <c r="B141" s="46">
        <v>44425</v>
      </c>
      <c r="C141" s="269">
        <v>1.6454641217280805</v>
      </c>
      <c r="D141" s="269">
        <v>17.065966880459293</v>
      </c>
      <c r="E141" s="177">
        <f t="shared" si="4"/>
        <v>1.6454641217280805</v>
      </c>
      <c r="F141" s="199" t="str">
        <f t="shared" si="5"/>
        <v/>
      </c>
    </row>
    <row r="142" spans="1:7">
      <c r="A142">
        <v>139</v>
      </c>
      <c r="B142" s="46">
        <v>44426</v>
      </c>
      <c r="C142" s="269">
        <v>1.1239345109318819</v>
      </c>
      <c r="D142" s="269">
        <v>17.065966880459293</v>
      </c>
      <c r="E142" s="177">
        <f t="shared" si="4"/>
        <v>1.1239345109318819</v>
      </c>
      <c r="F142" s="199" t="str">
        <f t="shared" si="5"/>
        <v/>
      </c>
    </row>
    <row r="143" spans="1:7">
      <c r="A143">
        <v>140</v>
      </c>
      <c r="B143" s="46">
        <v>44427</v>
      </c>
      <c r="C143" s="269">
        <v>12.31830282093188</v>
      </c>
      <c r="D143" s="269">
        <v>17.065966880459293</v>
      </c>
      <c r="E143" s="177">
        <f t="shared" si="4"/>
        <v>12.31830282093188</v>
      </c>
      <c r="F143" s="199" t="str">
        <f t="shared" si="5"/>
        <v/>
      </c>
    </row>
    <row r="144" spans="1:7">
      <c r="A144">
        <v>141</v>
      </c>
      <c r="B144" s="46">
        <v>44428</v>
      </c>
      <c r="C144" s="269">
        <v>10.13184883293188</v>
      </c>
      <c r="D144" s="269">
        <v>17.065966880459293</v>
      </c>
      <c r="E144" s="177">
        <f t="shared" si="4"/>
        <v>10.13184883293188</v>
      </c>
      <c r="F144" s="199" t="str">
        <f t="shared" si="5"/>
        <v/>
      </c>
    </row>
    <row r="145" spans="1:6">
      <c r="A145">
        <v>142</v>
      </c>
      <c r="B145" s="46">
        <v>44429</v>
      </c>
      <c r="C145" s="269">
        <v>3.855074796932815</v>
      </c>
      <c r="D145" s="269">
        <v>17.065966880459293</v>
      </c>
      <c r="E145" s="177">
        <f t="shared" si="4"/>
        <v>3.855074796932815</v>
      </c>
      <c r="F145" s="199" t="str">
        <f t="shared" si="5"/>
        <v/>
      </c>
    </row>
    <row r="146" spans="1:6">
      <c r="A146">
        <v>143</v>
      </c>
      <c r="B146" s="46">
        <v>44430</v>
      </c>
      <c r="C146" s="269">
        <v>0.51473324493095429</v>
      </c>
      <c r="D146" s="269">
        <v>17.065966880459293</v>
      </c>
      <c r="E146" s="177">
        <f t="shared" si="4"/>
        <v>0.51473324493095429</v>
      </c>
      <c r="F146" s="199" t="str">
        <f t="shared" si="5"/>
        <v/>
      </c>
    </row>
    <row r="147" spans="1:6">
      <c r="A147">
        <v>144</v>
      </c>
      <c r="B147" s="46">
        <v>44431</v>
      </c>
      <c r="C147" s="269">
        <v>1.0608810569318812</v>
      </c>
      <c r="D147" s="269">
        <v>17.065966880459293</v>
      </c>
      <c r="E147" s="177">
        <f t="shared" si="4"/>
        <v>1.0608810569318812</v>
      </c>
      <c r="F147" s="199" t="str">
        <f t="shared" si="5"/>
        <v/>
      </c>
    </row>
    <row r="148" spans="1:6">
      <c r="A148">
        <v>145</v>
      </c>
      <c r="B148" s="46">
        <v>44432</v>
      </c>
      <c r="C148" s="269">
        <v>0.95651898293281556</v>
      </c>
      <c r="D148" s="269">
        <v>17.065966880459293</v>
      </c>
      <c r="E148" s="177">
        <f t="shared" si="4"/>
        <v>0.95651898293281556</v>
      </c>
      <c r="F148" s="199" t="str">
        <f t="shared" si="5"/>
        <v/>
      </c>
    </row>
    <row r="149" spans="1:6">
      <c r="A149">
        <v>146</v>
      </c>
      <c r="B149" s="46">
        <v>44433</v>
      </c>
      <c r="C149" s="269">
        <v>7.1533921176681394</v>
      </c>
      <c r="D149" s="269">
        <v>17.065966880459293</v>
      </c>
      <c r="E149" s="177">
        <f t="shared" si="4"/>
        <v>7.1533921176681394</v>
      </c>
      <c r="F149" s="199" t="str">
        <f t="shared" si="5"/>
        <v/>
      </c>
    </row>
    <row r="150" spans="1:6">
      <c r="A150">
        <v>147</v>
      </c>
      <c r="B150" s="46">
        <v>44434</v>
      </c>
      <c r="C150" s="269">
        <v>9.1958073616690665</v>
      </c>
      <c r="D150" s="269">
        <v>17.065966880459293</v>
      </c>
      <c r="E150" s="177">
        <f t="shared" si="4"/>
        <v>9.1958073616690665</v>
      </c>
      <c r="F150" s="199" t="str">
        <f t="shared" si="5"/>
        <v/>
      </c>
    </row>
    <row r="151" spans="1:6">
      <c r="A151">
        <v>148</v>
      </c>
      <c r="B151" s="46">
        <v>44435</v>
      </c>
      <c r="C151" s="269">
        <v>4.1350082336709315</v>
      </c>
      <c r="D151" s="269">
        <v>17.065966880459293</v>
      </c>
      <c r="E151" s="177">
        <f t="shared" si="4"/>
        <v>4.1350082336709315</v>
      </c>
      <c r="F151" s="199" t="str">
        <f t="shared" si="5"/>
        <v/>
      </c>
    </row>
    <row r="152" spans="1:6">
      <c r="A152">
        <v>149</v>
      </c>
      <c r="B152" s="46">
        <v>44436</v>
      </c>
      <c r="C152" s="269">
        <v>0.77185449366814285</v>
      </c>
      <c r="D152" s="269">
        <v>17.065966880459293</v>
      </c>
      <c r="E152" s="177">
        <f t="shared" si="4"/>
        <v>0.77185449366814285</v>
      </c>
      <c r="F152" s="199" t="str">
        <f t="shared" si="5"/>
        <v/>
      </c>
    </row>
    <row r="153" spans="1:6">
      <c r="A153">
        <v>150</v>
      </c>
      <c r="B153" s="46">
        <v>44437</v>
      </c>
      <c r="C153" s="269">
        <v>1.0640044536700006</v>
      </c>
      <c r="D153" s="269">
        <v>17.065966880459293</v>
      </c>
      <c r="E153" s="177">
        <f t="shared" si="4"/>
        <v>1.0640044536700006</v>
      </c>
      <c r="F153" s="199" t="str">
        <f t="shared" si="5"/>
        <v/>
      </c>
    </row>
    <row r="154" spans="1:6">
      <c r="A154">
        <v>151</v>
      </c>
      <c r="B154" s="46">
        <v>44438</v>
      </c>
      <c r="C154" s="269">
        <v>10.140573249667206</v>
      </c>
      <c r="D154" s="269">
        <v>17.065966880459293</v>
      </c>
      <c r="E154" s="177">
        <f t="shared" si="4"/>
        <v>10.140573249667206</v>
      </c>
      <c r="F154" s="199" t="str">
        <f t="shared" si="5"/>
        <v/>
      </c>
    </row>
    <row r="155" spans="1:6">
      <c r="A155">
        <v>152</v>
      </c>
      <c r="B155" s="46">
        <v>44439</v>
      </c>
      <c r="C155" s="269">
        <v>13.94423220567093</v>
      </c>
      <c r="D155" s="269">
        <v>17.065966880459293</v>
      </c>
      <c r="E155" s="177">
        <f t="shared" si="4"/>
        <v>13.94423220567093</v>
      </c>
      <c r="F155" s="199" t="str">
        <f t="shared" si="5"/>
        <v/>
      </c>
    </row>
    <row r="156" spans="1:6">
      <c r="A156">
        <v>153</v>
      </c>
      <c r="B156" s="46">
        <v>44440</v>
      </c>
      <c r="C156" s="269">
        <v>24.232942552924062</v>
      </c>
      <c r="D156" s="269">
        <v>21.014323006984561</v>
      </c>
      <c r="E156" s="177">
        <f t="shared" si="4"/>
        <v>21.014323006984561</v>
      </c>
      <c r="F156" s="199" t="str">
        <f t="shared" si="5"/>
        <v/>
      </c>
    </row>
    <row r="157" spans="1:6">
      <c r="A157">
        <v>154</v>
      </c>
      <c r="B157" s="46">
        <v>44441</v>
      </c>
      <c r="C157" s="269">
        <v>23.923948540925927</v>
      </c>
      <c r="D157" s="269">
        <v>21.014323006984561</v>
      </c>
      <c r="E157" s="177">
        <f t="shared" si="4"/>
        <v>21.014323006984561</v>
      </c>
      <c r="F157" s="199" t="str">
        <f t="shared" si="5"/>
        <v/>
      </c>
    </row>
    <row r="158" spans="1:6">
      <c r="A158">
        <v>155</v>
      </c>
      <c r="B158" s="46">
        <v>44442</v>
      </c>
      <c r="C158" s="269">
        <v>22.820461948923132</v>
      </c>
      <c r="D158" s="269">
        <v>21.014323006984561</v>
      </c>
      <c r="E158" s="177">
        <f t="shared" si="4"/>
        <v>21.014323006984561</v>
      </c>
      <c r="F158" s="199" t="str">
        <f t="shared" si="5"/>
        <v/>
      </c>
    </row>
    <row r="159" spans="1:6">
      <c r="A159">
        <v>156</v>
      </c>
      <c r="B159" s="46">
        <v>44443</v>
      </c>
      <c r="C159" s="269">
        <v>16.785473316926858</v>
      </c>
      <c r="D159" s="269">
        <v>21.014323006984561</v>
      </c>
      <c r="E159" s="177">
        <f t="shared" si="4"/>
        <v>16.785473316926858</v>
      </c>
      <c r="F159" s="199" t="str">
        <f t="shared" si="5"/>
        <v/>
      </c>
    </row>
    <row r="160" spans="1:6">
      <c r="A160">
        <v>157</v>
      </c>
      <c r="B160" s="46">
        <v>44444</v>
      </c>
      <c r="C160" s="269">
        <v>10.244637292924068</v>
      </c>
      <c r="D160" s="269">
        <v>21.014323006984561</v>
      </c>
      <c r="E160" s="177">
        <f t="shared" si="4"/>
        <v>10.244637292924068</v>
      </c>
      <c r="F160" s="199" t="str">
        <f t="shared" si="5"/>
        <v/>
      </c>
    </row>
    <row r="161" spans="1:7">
      <c r="A161">
        <v>158</v>
      </c>
      <c r="B161" s="46">
        <v>44445</v>
      </c>
      <c r="C161" s="269">
        <v>15.825120408925926</v>
      </c>
      <c r="D161" s="269">
        <v>21.014323006984561</v>
      </c>
      <c r="E161" s="177">
        <f t="shared" si="4"/>
        <v>15.825120408925926</v>
      </c>
      <c r="F161" s="199" t="str">
        <f t="shared" si="5"/>
        <v/>
      </c>
    </row>
    <row r="162" spans="1:7">
      <c r="A162">
        <v>159</v>
      </c>
      <c r="B162" s="46">
        <v>44446</v>
      </c>
      <c r="C162" s="269">
        <v>6.2947448249249938</v>
      </c>
      <c r="D162" s="269">
        <v>21.014323006984561</v>
      </c>
      <c r="E162" s="177">
        <f t="shared" si="4"/>
        <v>6.2947448249249938</v>
      </c>
      <c r="F162" s="199" t="str">
        <f t="shared" si="5"/>
        <v/>
      </c>
    </row>
    <row r="163" spans="1:7">
      <c r="A163">
        <v>160</v>
      </c>
      <c r="B163" s="46">
        <v>44447</v>
      </c>
      <c r="C163" s="269">
        <v>20.115420491951163</v>
      </c>
      <c r="D163" s="269">
        <v>21.014323006984561</v>
      </c>
      <c r="E163" s="177">
        <f t="shared" si="4"/>
        <v>20.115420491951163</v>
      </c>
      <c r="F163" s="199" t="str">
        <f t="shared" si="5"/>
        <v/>
      </c>
    </row>
    <row r="164" spans="1:7">
      <c r="A164">
        <v>161</v>
      </c>
      <c r="B164" s="46">
        <v>44448</v>
      </c>
      <c r="C164" s="269">
        <v>20.943244847952091</v>
      </c>
      <c r="D164" s="269">
        <v>21.014323006984561</v>
      </c>
      <c r="E164" s="177">
        <f t="shared" si="4"/>
        <v>20.943244847952091</v>
      </c>
      <c r="F164" s="199" t="str">
        <f t="shared" si="5"/>
        <v/>
      </c>
    </row>
    <row r="165" spans="1:7">
      <c r="A165">
        <v>162</v>
      </c>
      <c r="B165" s="46">
        <v>44449</v>
      </c>
      <c r="C165" s="269">
        <v>20.22736524795209</v>
      </c>
      <c r="D165" s="269">
        <v>21.014323006984561</v>
      </c>
      <c r="E165" s="177">
        <f t="shared" si="4"/>
        <v>20.22736524795209</v>
      </c>
      <c r="F165" s="199" t="str">
        <f t="shared" si="5"/>
        <v/>
      </c>
    </row>
    <row r="166" spans="1:7">
      <c r="A166">
        <v>163</v>
      </c>
      <c r="B166" s="46">
        <v>44450</v>
      </c>
      <c r="C166" s="269">
        <v>15.135667991953021</v>
      </c>
      <c r="D166" s="269">
        <v>21.014323006984561</v>
      </c>
      <c r="E166" s="177">
        <f t="shared" si="4"/>
        <v>15.135667991953021</v>
      </c>
      <c r="F166" s="199" t="str">
        <f t="shared" si="5"/>
        <v/>
      </c>
    </row>
    <row r="167" spans="1:7">
      <c r="A167">
        <v>164</v>
      </c>
      <c r="B167" s="46">
        <v>44451</v>
      </c>
      <c r="C167" s="269">
        <v>20.061154527952095</v>
      </c>
      <c r="D167" s="269">
        <v>21.014323006984561</v>
      </c>
      <c r="E167" s="177">
        <f t="shared" si="4"/>
        <v>20.061154527952095</v>
      </c>
      <c r="F167" s="199" t="str">
        <f t="shared" si="5"/>
        <v/>
      </c>
    </row>
    <row r="168" spans="1:7">
      <c r="A168">
        <v>165</v>
      </c>
      <c r="B168" s="46">
        <v>44452</v>
      </c>
      <c r="C168" s="269">
        <v>12.823799795953025</v>
      </c>
      <c r="D168" s="269">
        <v>21.014323006984561</v>
      </c>
      <c r="E168" s="177">
        <f t="shared" si="4"/>
        <v>12.823799795953025</v>
      </c>
      <c r="F168" s="199" t="str">
        <f t="shared" si="5"/>
        <v/>
      </c>
    </row>
    <row r="169" spans="1:7">
      <c r="A169">
        <v>166</v>
      </c>
      <c r="B169" s="46">
        <v>44453</v>
      </c>
      <c r="C169" s="269">
        <v>25.974186331951163</v>
      </c>
      <c r="D169" s="269">
        <v>21.014323006984561</v>
      </c>
      <c r="E169" s="177">
        <f t="shared" si="4"/>
        <v>21.014323006984561</v>
      </c>
      <c r="F169" s="199" t="str">
        <f t="shared" si="5"/>
        <v/>
      </c>
    </row>
    <row r="170" spans="1:7">
      <c r="A170">
        <v>167</v>
      </c>
      <c r="B170" s="46">
        <v>44454</v>
      </c>
      <c r="C170" s="269">
        <v>38.31835680787313</v>
      </c>
      <c r="D170" s="269">
        <v>21.014323006984561</v>
      </c>
      <c r="E170" s="177">
        <f t="shared" si="4"/>
        <v>21.014323006984561</v>
      </c>
      <c r="F170" s="199" t="str">
        <f t="shared" si="5"/>
        <v>S</v>
      </c>
      <c r="G170" s="200">
        <f>IF(DAY(B170)=15,D170,"")</f>
        <v>21.014323006984561</v>
      </c>
    </row>
    <row r="171" spans="1:7">
      <c r="A171">
        <v>168</v>
      </c>
      <c r="B171" s="46">
        <v>44455</v>
      </c>
      <c r="C171" s="269">
        <v>21.487675855873132</v>
      </c>
      <c r="D171" s="269">
        <v>21.014323006984561</v>
      </c>
      <c r="E171" s="177">
        <f t="shared" si="4"/>
        <v>21.014323006984561</v>
      </c>
      <c r="F171" s="199" t="str">
        <f t="shared" si="5"/>
        <v/>
      </c>
    </row>
    <row r="172" spans="1:7">
      <c r="A172">
        <v>169</v>
      </c>
      <c r="B172" s="46">
        <v>44456</v>
      </c>
      <c r="C172" s="269">
        <v>16.394569441872203</v>
      </c>
      <c r="D172" s="269">
        <v>21.014323006984561</v>
      </c>
      <c r="E172" s="177">
        <f t="shared" si="4"/>
        <v>16.394569441872203</v>
      </c>
      <c r="F172" s="199" t="str">
        <f t="shared" si="5"/>
        <v/>
      </c>
    </row>
    <row r="173" spans="1:7">
      <c r="A173">
        <v>170</v>
      </c>
      <c r="B173" s="46">
        <v>44457</v>
      </c>
      <c r="C173" s="269">
        <v>11.821708425872202</v>
      </c>
      <c r="D173" s="269">
        <v>21.014323006984561</v>
      </c>
      <c r="E173" s="177">
        <f t="shared" si="4"/>
        <v>11.821708425872202</v>
      </c>
      <c r="F173" s="199" t="str">
        <f t="shared" si="5"/>
        <v/>
      </c>
    </row>
    <row r="174" spans="1:7">
      <c r="A174">
        <v>171</v>
      </c>
      <c r="B174" s="46">
        <v>44458</v>
      </c>
      <c r="C174" s="269">
        <v>11.033212529874065</v>
      </c>
      <c r="D174" s="269">
        <v>21.014323006984561</v>
      </c>
      <c r="E174" s="177">
        <f t="shared" si="4"/>
        <v>11.033212529874065</v>
      </c>
      <c r="F174" s="199" t="str">
        <f t="shared" si="5"/>
        <v/>
      </c>
    </row>
    <row r="175" spans="1:7">
      <c r="A175">
        <v>172</v>
      </c>
      <c r="B175" s="46">
        <v>44459</v>
      </c>
      <c r="C175" s="269">
        <v>12.408188627872201</v>
      </c>
      <c r="D175" s="269">
        <v>21.014323006984561</v>
      </c>
      <c r="E175" s="177">
        <f t="shared" si="4"/>
        <v>12.408188627872201</v>
      </c>
      <c r="F175" s="199" t="str">
        <f t="shared" si="5"/>
        <v/>
      </c>
    </row>
    <row r="176" spans="1:7">
      <c r="A176">
        <v>173</v>
      </c>
      <c r="B176" s="46">
        <v>44460</v>
      </c>
      <c r="C176" s="269">
        <v>11.887315421872204</v>
      </c>
      <c r="D176" s="269">
        <v>21.014323006984561</v>
      </c>
      <c r="E176" s="177">
        <f t="shared" si="4"/>
        <v>11.887315421872204</v>
      </c>
      <c r="F176" s="199" t="str">
        <f t="shared" si="5"/>
        <v/>
      </c>
    </row>
    <row r="177" spans="1:6">
      <c r="A177">
        <v>174</v>
      </c>
      <c r="B177" s="46">
        <v>44461</v>
      </c>
      <c r="C177" s="269">
        <v>24.565719547283638</v>
      </c>
      <c r="D177" s="269">
        <v>21.014323006984561</v>
      </c>
      <c r="E177" s="177">
        <f t="shared" si="4"/>
        <v>21.014323006984561</v>
      </c>
      <c r="F177" s="199" t="str">
        <f t="shared" si="5"/>
        <v/>
      </c>
    </row>
    <row r="178" spans="1:6">
      <c r="A178">
        <v>175</v>
      </c>
      <c r="B178" s="46">
        <v>44462</v>
      </c>
      <c r="C178" s="269">
        <v>18.78037494927991</v>
      </c>
      <c r="D178" s="269">
        <v>21.014323006984561</v>
      </c>
      <c r="E178" s="177">
        <f t="shared" si="4"/>
        <v>18.78037494927991</v>
      </c>
      <c r="F178" s="199" t="str">
        <f t="shared" si="5"/>
        <v/>
      </c>
    </row>
    <row r="179" spans="1:6">
      <c r="A179">
        <v>176</v>
      </c>
      <c r="B179" s="46">
        <v>44463</v>
      </c>
      <c r="C179" s="269">
        <v>28.647999827281776</v>
      </c>
      <c r="D179" s="269">
        <v>21.014323006984561</v>
      </c>
      <c r="E179" s="177">
        <f t="shared" si="4"/>
        <v>21.014323006984561</v>
      </c>
      <c r="F179" s="199" t="str">
        <f t="shared" si="5"/>
        <v/>
      </c>
    </row>
    <row r="180" spans="1:6">
      <c r="A180">
        <v>177</v>
      </c>
      <c r="B180" s="46">
        <v>44464</v>
      </c>
      <c r="C180" s="269">
        <v>21.776072683282706</v>
      </c>
      <c r="D180" s="269">
        <v>21.014323006984561</v>
      </c>
      <c r="E180" s="177">
        <f t="shared" si="4"/>
        <v>21.014323006984561</v>
      </c>
      <c r="F180" s="199" t="str">
        <f t="shared" si="5"/>
        <v/>
      </c>
    </row>
    <row r="181" spans="1:6">
      <c r="A181">
        <v>178</v>
      </c>
      <c r="B181" s="46">
        <v>44465</v>
      </c>
      <c r="C181" s="269">
        <v>15.501655585280846</v>
      </c>
      <c r="D181" s="269">
        <v>21.014323006984561</v>
      </c>
      <c r="E181" s="177">
        <f t="shared" si="4"/>
        <v>15.501655585280846</v>
      </c>
      <c r="F181" s="199" t="str">
        <f t="shared" si="5"/>
        <v/>
      </c>
    </row>
    <row r="182" spans="1:6">
      <c r="A182">
        <v>179</v>
      </c>
      <c r="B182" s="46">
        <v>44466</v>
      </c>
      <c r="C182" s="269">
        <v>22.111520435282706</v>
      </c>
      <c r="D182" s="269">
        <v>21.014323006984561</v>
      </c>
      <c r="E182" s="177">
        <f t="shared" si="4"/>
        <v>21.014323006984561</v>
      </c>
      <c r="F182" s="199" t="str">
        <f t="shared" si="5"/>
        <v/>
      </c>
    </row>
    <row r="183" spans="1:6">
      <c r="A183">
        <v>180</v>
      </c>
      <c r="B183" s="46">
        <v>44467</v>
      </c>
      <c r="C183" s="269">
        <v>31.315857271280844</v>
      </c>
      <c r="D183" s="269">
        <v>21.014323006984561</v>
      </c>
      <c r="E183" s="177">
        <f t="shared" si="4"/>
        <v>21.014323006984561</v>
      </c>
      <c r="F183" s="199" t="str">
        <f t="shared" si="5"/>
        <v/>
      </c>
    </row>
    <row r="184" spans="1:6">
      <c r="A184">
        <v>181</v>
      </c>
      <c r="B184" s="46">
        <v>44468</v>
      </c>
      <c r="C184" s="269">
        <v>21.160280351840992</v>
      </c>
      <c r="D184" s="269">
        <v>21.014323006984561</v>
      </c>
      <c r="E184" s="177">
        <f t="shared" si="4"/>
        <v>21.014323006984561</v>
      </c>
      <c r="F184" s="199" t="str">
        <f t="shared" si="5"/>
        <v/>
      </c>
    </row>
    <row r="185" spans="1:6">
      <c r="A185">
        <v>182</v>
      </c>
      <c r="B185" s="46">
        <v>44469</v>
      </c>
      <c r="C185" s="269">
        <v>20.742861095840059</v>
      </c>
      <c r="D185" s="269">
        <v>21.014323006984561</v>
      </c>
      <c r="E185" s="177">
        <f t="shared" si="4"/>
        <v>20.742861095840059</v>
      </c>
      <c r="F185" s="199" t="str">
        <f t="shared" si="5"/>
        <v/>
      </c>
    </row>
    <row r="186" spans="1:6">
      <c r="A186">
        <v>183</v>
      </c>
      <c r="B186" s="46">
        <v>44470</v>
      </c>
      <c r="C186" s="269">
        <v>26.522195107839128</v>
      </c>
      <c r="D186" s="269">
        <v>42.895784539321873</v>
      </c>
      <c r="E186" s="177">
        <f t="shared" si="4"/>
        <v>26.522195107839128</v>
      </c>
      <c r="F186" s="199" t="str">
        <f t="shared" si="5"/>
        <v/>
      </c>
    </row>
    <row r="187" spans="1:6">
      <c r="A187">
        <v>184</v>
      </c>
      <c r="B187" s="46">
        <v>44471</v>
      </c>
      <c r="C187" s="269">
        <v>11.450506385840995</v>
      </c>
      <c r="D187" s="269">
        <v>42.895784539321873</v>
      </c>
      <c r="E187" s="177">
        <f t="shared" si="4"/>
        <v>11.450506385840995</v>
      </c>
      <c r="F187" s="199" t="str">
        <f t="shared" si="5"/>
        <v/>
      </c>
    </row>
    <row r="188" spans="1:6">
      <c r="A188">
        <v>185</v>
      </c>
      <c r="B188" s="46">
        <v>44472</v>
      </c>
      <c r="C188" s="269">
        <v>7.0336940938400625</v>
      </c>
      <c r="D188" s="269">
        <v>42.895784539321873</v>
      </c>
      <c r="E188" s="177">
        <f t="shared" si="4"/>
        <v>7.0336940938400625</v>
      </c>
      <c r="F188" s="199" t="str">
        <f t="shared" si="5"/>
        <v/>
      </c>
    </row>
    <row r="189" spans="1:6">
      <c r="A189">
        <v>186</v>
      </c>
      <c r="B189" s="46">
        <v>44473</v>
      </c>
      <c r="C189" s="269">
        <v>20.078182471840059</v>
      </c>
      <c r="D189" s="269">
        <v>42.895784539321873</v>
      </c>
      <c r="E189" s="177">
        <f t="shared" si="4"/>
        <v>20.078182471840059</v>
      </c>
      <c r="F189" s="199" t="str">
        <f t="shared" si="5"/>
        <v/>
      </c>
    </row>
    <row r="190" spans="1:6">
      <c r="A190">
        <v>187</v>
      </c>
      <c r="B190" s="46">
        <v>44474</v>
      </c>
      <c r="C190" s="269">
        <v>20.407965117839129</v>
      </c>
      <c r="D190" s="269">
        <v>42.895784539321873</v>
      </c>
      <c r="E190" s="177">
        <f t="shared" si="4"/>
        <v>20.407965117839129</v>
      </c>
      <c r="F190" s="199" t="str">
        <f t="shared" si="5"/>
        <v/>
      </c>
    </row>
    <row r="191" spans="1:6">
      <c r="A191">
        <v>188</v>
      </c>
      <c r="B191" s="46">
        <v>44475</v>
      </c>
      <c r="C191" s="269">
        <v>34.537367477795087</v>
      </c>
      <c r="D191" s="269">
        <v>42.895784539321873</v>
      </c>
      <c r="E191" s="177">
        <f t="shared" si="4"/>
        <v>34.537367477795087</v>
      </c>
      <c r="F191" s="199" t="str">
        <f t="shared" si="5"/>
        <v/>
      </c>
    </row>
    <row r="192" spans="1:6">
      <c r="A192">
        <v>189</v>
      </c>
      <c r="B192" s="46">
        <v>44476</v>
      </c>
      <c r="C192" s="269">
        <v>32.421314555796023</v>
      </c>
      <c r="D192" s="269">
        <v>42.895784539321873</v>
      </c>
      <c r="E192" s="177">
        <f t="shared" si="4"/>
        <v>32.421314555796023</v>
      </c>
      <c r="F192" s="199" t="str">
        <f t="shared" si="5"/>
        <v/>
      </c>
    </row>
    <row r="193" spans="1:7">
      <c r="A193">
        <v>190</v>
      </c>
      <c r="B193" s="46">
        <v>44477</v>
      </c>
      <c r="C193" s="269">
        <v>28.830218095796024</v>
      </c>
      <c r="D193" s="269">
        <v>42.895784539321873</v>
      </c>
      <c r="E193" s="177">
        <f t="shared" si="4"/>
        <v>28.830218095796024</v>
      </c>
      <c r="F193" s="199" t="str">
        <f t="shared" si="5"/>
        <v/>
      </c>
    </row>
    <row r="194" spans="1:7">
      <c r="A194">
        <v>191</v>
      </c>
      <c r="B194" s="46">
        <v>44478</v>
      </c>
      <c r="C194" s="269">
        <v>26.074201315795086</v>
      </c>
      <c r="D194" s="269">
        <v>42.895784539321873</v>
      </c>
      <c r="E194" s="177">
        <f t="shared" si="4"/>
        <v>26.074201315795086</v>
      </c>
      <c r="F194" s="199" t="str">
        <f t="shared" si="5"/>
        <v/>
      </c>
    </row>
    <row r="195" spans="1:7">
      <c r="A195">
        <v>192</v>
      </c>
      <c r="B195" s="46">
        <v>44479</v>
      </c>
      <c r="C195" s="269">
        <v>14.97372190579509</v>
      </c>
      <c r="D195" s="269">
        <v>42.895784539321873</v>
      </c>
      <c r="E195" s="177">
        <f t="shared" si="4"/>
        <v>14.97372190579509</v>
      </c>
      <c r="F195" s="199" t="str">
        <f t="shared" si="5"/>
        <v/>
      </c>
    </row>
    <row r="196" spans="1:7">
      <c r="A196">
        <v>193</v>
      </c>
      <c r="B196" s="46">
        <v>44480</v>
      </c>
      <c r="C196" s="269">
        <v>18.989537715795091</v>
      </c>
      <c r="D196" s="269">
        <v>42.895784539321873</v>
      </c>
      <c r="E196" s="177">
        <f t="shared" ref="E196:E259" si="6">IF(C196&lt;D196,C196,D196)</f>
        <v>18.989537715795091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44481</v>
      </c>
      <c r="C197" s="269">
        <v>16.810403215795091</v>
      </c>
      <c r="D197" s="269">
        <v>42.895784539321873</v>
      </c>
      <c r="E197" s="177">
        <f t="shared" si="6"/>
        <v>16.810403215795091</v>
      </c>
      <c r="F197" s="199" t="str">
        <f t="shared" si="7"/>
        <v/>
      </c>
    </row>
    <row r="198" spans="1:7">
      <c r="A198">
        <v>195</v>
      </c>
      <c r="B198" s="46">
        <v>44482</v>
      </c>
      <c r="C198" s="269">
        <v>9.6915650946646714</v>
      </c>
      <c r="D198" s="269">
        <v>42.895784539321873</v>
      </c>
      <c r="E198" s="177">
        <f t="shared" si="6"/>
        <v>9.6915650946646714</v>
      </c>
      <c r="F198" s="199" t="str">
        <f t="shared" si="7"/>
        <v/>
      </c>
    </row>
    <row r="199" spans="1:7">
      <c r="A199">
        <v>196</v>
      </c>
      <c r="B199" s="46">
        <v>44483</v>
      </c>
      <c r="C199" s="269">
        <v>21.102004324664666</v>
      </c>
      <c r="D199" s="269">
        <v>42.895784539321873</v>
      </c>
      <c r="E199" s="177">
        <f t="shared" si="6"/>
        <v>21.102004324664666</v>
      </c>
      <c r="F199" s="199" t="str">
        <f t="shared" si="7"/>
        <v/>
      </c>
    </row>
    <row r="200" spans="1:7">
      <c r="A200">
        <v>197</v>
      </c>
      <c r="B200" s="46">
        <v>44484</v>
      </c>
      <c r="C200" s="269">
        <v>22.793578934664669</v>
      </c>
      <c r="D200" s="269">
        <v>42.895784539321873</v>
      </c>
      <c r="E200" s="177">
        <f t="shared" si="6"/>
        <v>22.793578934664669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>O</v>
      </c>
      <c r="G200" s="200">
        <f>IF(DAY(B200)=15,D200,"")</f>
        <v>42.895784539321873</v>
      </c>
    </row>
    <row r="201" spans="1:7">
      <c r="A201">
        <v>198</v>
      </c>
      <c r="B201" s="46">
        <v>44485</v>
      </c>
      <c r="C201" s="269">
        <v>22.891749824663741</v>
      </c>
      <c r="D201" s="269">
        <v>42.895784539321873</v>
      </c>
      <c r="E201" s="177">
        <f t="shared" si="6"/>
        <v>22.891749824663741</v>
      </c>
      <c r="F201" s="199" t="str">
        <f t="shared" si="7"/>
        <v/>
      </c>
    </row>
    <row r="202" spans="1:7">
      <c r="A202">
        <v>199</v>
      </c>
      <c r="B202" s="46">
        <v>44486</v>
      </c>
      <c r="C202" s="269">
        <v>20.531404104664666</v>
      </c>
      <c r="D202" s="269">
        <v>42.895784539321873</v>
      </c>
      <c r="E202" s="177">
        <f t="shared" si="6"/>
        <v>20.531404104664666</v>
      </c>
      <c r="F202" s="199" t="str">
        <f t="shared" si="7"/>
        <v/>
      </c>
    </row>
    <row r="203" spans="1:7">
      <c r="A203">
        <v>200</v>
      </c>
      <c r="B203" s="46">
        <v>44487</v>
      </c>
      <c r="C203" s="269">
        <v>20.055615194663741</v>
      </c>
      <c r="D203" s="269">
        <v>42.895784539321873</v>
      </c>
      <c r="E203" s="177">
        <f t="shared" si="6"/>
        <v>20.055615194663741</v>
      </c>
      <c r="F203" s="199" t="str">
        <f t="shared" si="7"/>
        <v/>
      </c>
    </row>
    <row r="204" spans="1:7">
      <c r="A204">
        <v>201</v>
      </c>
      <c r="B204" s="46">
        <v>44488</v>
      </c>
      <c r="C204" s="269">
        <v>13.659925614663738</v>
      </c>
      <c r="D204" s="269">
        <v>42.895784539321873</v>
      </c>
      <c r="E204" s="177">
        <f t="shared" si="6"/>
        <v>13.659925614663738</v>
      </c>
      <c r="F204" s="199" t="str">
        <f t="shared" si="7"/>
        <v/>
      </c>
    </row>
    <row r="205" spans="1:7">
      <c r="A205">
        <v>202</v>
      </c>
      <c r="B205" s="46">
        <v>44489</v>
      </c>
      <c r="C205" s="269">
        <v>15.363624254522176</v>
      </c>
      <c r="D205" s="269">
        <v>42.895784539321873</v>
      </c>
      <c r="E205" s="177">
        <f t="shared" si="6"/>
        <v>15.363624254522176</v>
      </c>
      <c r="F205" s="199" t="str">
        <f t="shared" si="7"/>
        <v/>
      </c>
    </row>
    <row r="206" spans="1:7">
      <c r="A206">
        <v>203</v>
      </c>
      <c r="B206" s="46">
        <v>44490</v>
      </c>
      <c r="C206" s="269">
        <v>22.04892331452125</v>
      </c>
      <c r="D206" s="269">
        <v>42.895784539321873</v>
      </c>
      <c r="E206" s="177">
        <f t="shared" si="6"/>
        <v>22.04892331452125</v>
      </c>
      <c r="F206" s="199" t="str">
        <f t="shared" si="7"/>
        <v/>
      </c>
    </row>
    <row r="207" spans="1:7">
      <c r="A207">
        <v>204</v>
      </c>
      <c r="B207" s="46">
        <v>44491</v>
      </c>
      <c r="C207" s="269">
        <v>15.953329024523107</v>
      </c>
      <c r="D207" s="269">
        <v>42.895784539321873</v>
      </c>
      <c r="E207" s="177">
        <f t="shared" si="6"/>
        <v>15.953329024523107</v>
      </c>
      <c r="F207" s="199" t="str">
        <f t="shared" si="7"/>
        <v/>
      </c>
    </row>
    <row r="208" spans="1:7">
      <c r="A208">
        <v>205</v>
      </c>
      <c r="B208" s="46">
        <v>44492</v>
      </c>
      <c r="C208" s="269">
        <v>16.079614874521244</v>
      </c>
      <c r="D208" s="269">
        <v>42.895784539321873</v>
      </c>
      <c r="E208" s="177">
        <f t="shared" si="6"/>
        <v>16.079614874521244</v>
      </c>
      <c r="F208" s="199" t="str">
        <f t="shared" si="7"/>
        <v/>
      </c>
    </row>
    <row r="209" spans="1:6">
      <c r="A209">
        <v>206</v>
      </c>
      <c r="B209" s="46">
        <v>44493</v>
      </c>
      <c r="C209" s="269">
        <v>16.836174644522178</v>
      </c>
      <c r="D209" s="269">
        <v>42.895784539321873</v>
      </c>
      <c r="E209" s="177">
        <f t="shared" si="6"/>
        <v>16.836174644522178</v>
      </c>
      <c r="F209" s="199" t="str">
        <f t="shared" si="7"/>
        <v/>
      </c>
    </row>
    <row r="210" spans="1:6">
      <c r="A210">
        <v>207</v>
      </c>
      <c r="B210" s="46">
        <v>44494</v>
      </c>
      <c r="C210" s="269">
        <v>28.025825204521244</v>
      </c>
      <c r="D210" s="269">
        <v>42.895784539321873</v>
      </c>
      <c r="E210" s="177">
        <f t="shared" si="6"/>
        <v>28.025825204521244</v>
      </c>
      <c r="F210" s="199" t="str">
        <f t="shared" si="7"/>
        <v/>
      </c>
    </row>
    <row r="211" spans="1:6">
      <c r="A211">
        <v>208</v>
      </c>
      <c r="B211" s="46">
        <v>44495</v>
      </c>
      <c r="C211" s="269">
        <v>20.552402704523111</v>
      </c>
      <c r="D211" s="269">
        <v>42.895784539321873</v>
      </c>
      <c r="E211" s="177">
        <f t="shared" si="6"/>
        <v>20.552402704523111</v>
      </c>
      <c r="F211" s="199" t="str">
        <f t="shared" si="7"/>
        <v/>
      </c>
    </row>
    <row r="212" spans="1:6">
      <c r="A212">
        <v>209</v>
      </c>
      <c r="B212" s="46">
        <v>44496</v>
      </c>
      <c r="C212" s="269">
        <v>38.627298912769433</v>
      </c>
      <c r="D212" s="269">
        <v>42.895784539321873</v>
      </c>
      <c r="E212" s="177">
        <f t="shared" si="6"/>
        <v>38.627298912769433</v>
      </c>
      <c r="F212" s="199" t="str">
        <f t="shared" si="7"/>
        <v/>
      </c>
    </row>
    <row r="213" spans="1:6">
      <c r="A213">
        <v>210</v>
      </c>
      <c r="B213" s="46">
        <v>44497</v>
      </c>
      <c r="C213" s="269">
        <v>29.895004102771292</v>
      </c>
      <c r="D213" s="269">
        <v>42.895784539321873</v>
      </c>
      <c r="E213" s="177">
        <f t="shared" si="6"/>
        <v>29.895004102771292</v>
      </c>
      <c r="F213" s="199" t="str">
        <f t="shared" si="7"/>
        <v/>
      </c>
    </row>
    <row r="214" spans="1:6">
      <c r="A214">
        <v>211</v>
      </c>
      <c r="B214" s="46">
        <v>44498</v>
      </c>
      <c r="C214" s="269">
        <v>25.749818082769426</v>
      </c>
      <c r="D214" s="269">
        <v>42.895784539321873</v>
      </c>
      <c r="E214" s="177">
        <f t="shared" si="6"/>
        <v>25.749818082769426</v>
      </c>
      <c r="F214" s="199" t="str">
        <f t="shared" si="7"/>
        <v/>
      </c>
    </row>
    <row r="215" spans="1:6">
      <c r="A215">
        <v>212</v>
      </c>
      <c r="B215" s="46">
        <v>44499</v>
      </c>
      <c r="C215" s="269">
        <v>27.030004642770361</v>
      </c>
      <c r="D215" s="269">
        <v>42.895784539321873</v>
      </c>
      <c r="E215" s="177">
        <f t="shared" si="6"/>
        <v>27.030004642770361</v>
      </c>
      <c r="F215" s="199" t="str">
        <f t="shared" si="7"/>
        <v/>
      </c>
    </row>
    <row r="216" spans="1:6">
      <c r="A216">
        <v>213</v>
      </c>
      <c r="B216" s="46">
        <v>44500</v>
      </c>
      <c r="C216" s="269">
        <v>14.640549322768496</v>
      </c>
      <c r="D216" s="269">
        <v>42.895784539321873</v>
      </c>
      <c r="E216" s="177">
        <f t="shared" si="6"/>
        <v>14.640549322768496</v>
      </c>
      <c r="F216" s="199" t="str">
        <f t="shared" si="7"/>
        <v/>
      </c>
    </row>
    <row r="217" spans="1:6">
      <c r="A217">
        <v>214</v>
      </c>
      <c r="B217" s="46">
        <v>44501</v>
      </c>
      <c r="C217" s="269">
        <v>22.313917842770358</v>
      </c>
      <c r="D217" s="269">
        <v>83.114057360768328</v>
      </c>
      <c r="E217" s="177">
        <f t="shared" si="6"/>
        <v>22.313917842770358</v>
      </c>
      <c r="F217" s="199" t="str">
        <f t="shared" si="7"/>
        <v/>
      </c>
    </row>
    <row r="218" spans="1:6">
      <c r="A218">
        <v>215</v>
      </c>
      <c r="B218" s="46">
        <v>44502</v>
      </c>
      <c r="C218" s="269">
        <v>28.912959306771292</v>
      </c>
      <c r="D218" s="269">
        <v>83.114057360768328</v>
      </c>
      <c r="E218" s="177">
        <f t="shared" si="6"/>
        <v>28.912959306771292</v>
      </c>
      <c r="F218" s="199" t="str">
        <f t="shared" si="7"/>
        <v/>
      </c>
    </row>
    <row r="219" spans="1:6">
      <c r="A219">
        <v>216</v>
      </c>
      <c r="B219" s="46">
        <v>44503</v>
      </c>
      <c r="C219" s="269">
        <v>55.970923198660778</v>
      </c>
      <c r="D219" s="269">
        <v>83.114057360768328</v>
      </c>
      <c r="E219" s="177">
        <f t="shared" si="6"/>
        <v>55.970923198660778</v>
      </c>
      <c r="F219" s="199" t="str">
        <f t="shared" si="7"/>
        <v/>
      </c>
    </row>
    <row r="220" spans="1:6">
      <c r="A220">
        <v>217</v>
      </c>
      <c r="B220" s="46">
        <v>44504</v>
      </c>
      <c r="C220" s="269">
        <v>53.446203498659841</v>
      </c>
      <c r="D220" s="269">
        <v>83.114057360768328</v>
      </c>
      <c r="E220" s="177">
        <f t="shared" si="6"/>
        <v>53.446203498659841</v>
      </c>
      <c r="F220" s="199" t="str">
        <f t="shared" si="7"/>
        <v/>
      </c>
    </row>
    <row r="221" spans="1:6">
      <c r="A221">
        <v>218</v>
      </c>
      <c r="B221" s="46">
        <v>44505</v>
      </c>
      <c r="C221" s="269">
        <v>54.771741696662637</v>
      </c>
      <c r="D221" s="269">
        <v>83.114057360768328</v>
      </c>
      <c r="E221" s="177">
        <f t="shared" si="6"/>
        <v>54.771741696662637</v>
      </c>
      <c r="F221" s="199" t="str">
        <f t="shared" si="7"/>
        <v/>
      </c>
    </row>
    <row r="222" spans="1:6">
      <c r="A222">
        <v>219</v>
      </c>
      <c r="B222" s="46">
        <v>44506</v>
      </c>
      <c r="C222" s="269">
        <v>51.570235068661717</v>
      </c>
      <c r="D222" s="269">
        <v>83.114057360768328</v>
      </c>
      <c r="E222" s="177">
        <f t="shared" si="6"/>
        <v>51.570235068661717</v>
      </c>
      <c r="F222" s="199" t="str">
        <f t="shared" si="7"/>
        <v/>
      </c>
    </row>
    <row r="223" spans="1:6">
      <c r="A223">
        <v>220</v>
      </c>
      <c r="B223" s="46">
        <v>44507</v>
      </c>
      <c r="C223" s="269">
        <v>44.703382378660784</v>
      </c>
      <c r="D223" s="269">
        <v>83.114057360768328</v>
      </c>
      <c r="E223" s="177">
        <f t="shared" si="6"/>
        <v>44.703382378660784</v>
      </c>
      <c r="F223" s="199" t="str">
        <f t="shared" si="7"/>
        <v/>
      </c>
    </row>
    <row r="224" spans="1:6">
      <c r="A224">
        <v>221</v>
      </c>
      <c r="B224" s="46">
        <v>44508</v>
      </c>
      <c r="C224" s="269">
        <v>58.176928336660779</v>
      </c>
      <c r="D224" s="269">
        <v>83.114057360768328</v>
      </c>
      <c r="E224" s="177">
        <f t="shared" si="6"/>
        <v>58.176928336660779</v>
      </c>
      <c r="F224" s="199" t="str">
        <f t="shared" si="7"/>
        <v/>
      </c>
    </row>
    <row r="225" spans="1:7">
      <c r="A225">
        <v>222</v>
      </c>
      <c r="B225" s="46">
        <v>44509</v>
      </c>
      <c r="C225" s="269">
        <v>60.36964599866171</v>
      </c>
      <c r="D225" s="269">
        <v>83.114057360768328</v>
      </c>
      <c r="E225" s="177">
        <f t="shared" si="6"/>
        <v>60.36964599866171</v>
      </c>
      <c r="F225" s="199" t="str">
        <f t="shared" si="7"/>
        <v/>
      </c>
    </row>
    <row r="226" spans="1:7">
      <c r="A226">
        <v>223</v>
      </c>
      <c r="B226" s="46">
        <v>44510</v>
      </c>
      <c r="C226" s="269">
        <v>40.97435282420534</v>
      </c>
      <c r="D226" s="269">
        <v>83.114057360768328</v>
      </c>
      <c r="E226" s="177">
        <f t="shared" si="6"/>
        <v>40.97435282420534</v>
      </c>
      <c r="F226" s="199" t="str">
        <f t="shared" si="7"/>
        <v/>
      </c>
    </row>
    <row r="227" spans="1:7">
      <c r="A227">
        <v>224</v>
      </c>
      <c r="B227" s="46">
        <v>44511</v>
      </c>
      <c r="C227" s="269">
        <v>42.417581774205345</v>
      </c>
      <c r="D227" s="269">
        <v>83.114057360768328</v>
      </c>
      <c r="E227" s="177">
        <f t="shared" si="6"/>
        <v>42.417581774205345</v>
      </c>
      <c r="F227" s="199" t="str">
        <f t="shared" si="7"/>
        <v/>
      </c>
    </row>
    <row r="228" spans="1:7">
      <c r="A228">
        <v>225</v>
      </c>
      <c r="B228" s="46">
        <v>44512</v>
      </c>
      <c r="C228" s="269">
        <v>41.176484884206282</v>
      </c>
      <c r="D228" s="269">
        <v>83.114057360768328</v>
      </c>
      <c r="E228" s="177">
        <f t="shared" si="6"/>
        <v>41.176484884206282</v>
      </c>
      <c r="F228" s="199" t="str">
        <f t="shared" si="7"/>
        <v/>
      </c>
    </row>
    <row r="229" spans="1:7">
      <c r="A229">
        <v>226</v>
      </c>
      <c r="B229" s="46">
        <v>44513</v>
      </c>
      <c r="C229" s="269">
        <v>23.390989284206277</v>
      </c>
      <c r="D229" s="269">
        <v>83.114057360768328</v>
      </c>
      <c r="E229" s="177">
        <f t="shared" si="6"/>
        <v>23.390989284206277</v>
      </c>
      <c r="F229" s="199" t="str">
        <f t="shared" si="7"/>
        <v/>
      </c>
    </row>
    <row r="230" spans="1:7">
      <c r="A230">
        <v>227</v>
      </c>
      <c r="B230" s="46">
        <v>44514</v>
      </c>
      <c r="C230" s="269">
        <v>24.434203184204414</v>
      </c>
      <c r="D230" s="269">
        <v>83.114057360768328</v>
      </c>
      <c r="E230" s="177">
        <f t="shared" si="6"/>
        <v>24.434203184204414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44515</v>
      </c>
      <c r="C231" s="269">
        <v>34.052250696206279</v>
      </c>
      <c r="D231" s="269">
        <v>83.114057360768328</v>
      </c>
      <c r="E231" s="177">
        <f t="shared" si="6"/>
        <v>34.052250696206279</v>
      </c>
      <c r="F231" s="199" t="str">
        <f t="shared" si="7"/>
        <v>N</v>
      </c>
      <c r="G231" s="200">
        <f>IF(DAY(B231)=15,D231,"")</f>
        <v>83.114057360768328</v>
      </c>
    </row>
    <row r="232" spans="1:7">
      <c r="A232">
        <v>229</v>
      </c>
      <c r="B232" s="46">
        <v>44516</v>
      </c>
      <c r="C232" s="269">
        <v>28.129850584206277</v>
      </c>
      <c r="D232" s="269">
        <v>83.114057360768328</v>
      </c>
      <c r="E232" s="177">
        <f t="shared" si="6"/>
        <v>28.129850584206277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44517</v>
      </c>
      <c r="C233" s="269">
        <v>16.031524459577522</v>
      </c>
      <c r="D233" s="269">
        <v>83.114057360768328</v>
      </c>
      <c r="E233" s="177">
        <f t="shared" si="6"/>
        <v>16.031524459577522</v>
      </c>
      <c r="F233" s="199" t="str">
        <f t="shared" si="7"/>
        <v/>
      </c>
    </row>
    <row r="234" spans="1:7">
      <c r="A234">
        <v>231</v>
      </c>
      <c r="B234" s="46">
        <v>44518</v>
      </c>
      <c r="C234" s="269">
        <v>19.834301079575656</v>
      </c>
      <c r="D234" s="269">
        <v>83.114057360768328</v>
      </c>
      <c r="E234" s="177">
        <f t="shared" si="6"/>
        <v>19.834301079575656</v>
      </c>
      <c r="F234" s="199" t="str">
        <f t="shared" si="7"/>
        <v/>
      </c>
    </row>
    <row r="235" spans="1:7">
      <c r="A235">
        <v>232</v>
      </c>
      <c r="B235" s="46">
        <v>44519</v>
      </c>
      <c r="C235" s="269">
        <v>29.031869949575658</v>
      </c>
      <c r="D235" s="269">
        <v>83.114057360768328</v>
      </c>
      <c r="E235" s="177">
        <f t="shared" si="6"/>
        <v>29.031869949575658</v>
      </c>
      <c r="F235" s="199" t="str">
        <f t="shared" si="7"/>
        <v/>
      </c>
    </row>
    <row r="236" spans="1:7">
      <c r="A236">
        <v>233</v>
      </c>
      <c r="B236" s="46">
        <v>44520</v>
      </c>
      <c r="C236" s="269">
        <v>25.204199631577517</v>
      </c>
      <c r="D236" s="269">
        <v>83.114057360768328</v>
      </c>
      <c r="E236" s="177">
        <f t="shared" si="6"/>
        <v>25.204199631577517</v>
      </c>
      <c r="F236" s="199" t="str">
        <f t="shared" si="7"/>
        <v/>
      </c>
    </row>
    <row r="237" spans="1:7">
      <c r="A237">
        <v>234</v>
      </c>
      <c r="B237" s="46">
        <v>44521</v>
      </c>
      <c r="C237" s="269">
        <v>27.474410815575656</v>
      </c>
      <c r="D237" s="269">
        <v>83.114057360768328</v>
      </c>
      <c r="E237" s="177">
        <f t="shared" si="6"/>
        <v>27.474410815575656</v>
      </c>
      <c r="F237" s="199" t="str">
        <f t="shared" si="7"/>
        <v/>
      </c>
    </row>
    <row r="238" spans="1:7">
      <c r="A238">
        <v>235</v>
      </c>
      <c r="B238" s="46">
        <v>44522</v>
      </c>
      <c r="C238" s="269">
        <v>27.98157283157752</v>
      </c>
      <c r="D238" s="269">
        <v>83.114057360768328</v>
      </c>
      <c r="E238" s="177">
        <f t="shared" si="6"/>
        <v>27.98157283157752</v>
      </c>
      <c r="F238" s="199" t="str">
        <f t="shared" si="7"/>
        <v/>
      </c>
    </row>
    <row r="239" spans="1:7">
      <c r="A239">
        <v>236</v>
      </c>
      <c r="B239" s="46">
        <v>44523</v>
      </c>
      <c r="C239" s="269">
        <v>26.741202983576585</v>
      </c>
      <c r="D239" s="269">
        <v>83.114057360768328</v>
      </c>
      <c r="E239" s="177">
        <f t="shared" si="6"/>
        <v>26.741202983576585</v>
      </c>
      <c r="F239" s="199" t="str">
        <f t="shared" si="7"/>
        <v/>
      </c>
    </row>
    <row r="240" spans="1:7">
      <c r="A240">
        <v>237</v>
      </c>
      <c r="B240" s="46">
        <v>44524</v>
      </c>
      <c r="C240" s="269">
        <v>45.54969271737734</v>
      </c>
      <c r="D240" s="269">
        <v>83.114057360768328</v>
      </c>
      <c r="E240" s="177">
        <f t="shared" si="6"/>
        <v>45.54969271737734</v>
      </c>
      <c r="F240" s="199" t="str">
        <f t="shared" si="7"/>
        <v/>
      </c>
    </row>
    <row r="241" spans="1:6">
      <c r="A241">
        <v>238</v>
      </c>
      <c r="B241" s="46">
        <v>44525</v>
      </c>
      <c r="C241" s="269">
        <v>47.647484435378267</v>
      </c>
      <c r="D241" s="269">
        <v>83.114057360768328</v>
      </c>
      <c r="E241" s="177">
        <f t="shared" si="6"/>
        <v>47.647484435378267</v>
      </c>
      <c r="F241" s="199" t="str">
        <f t="shared" si="7"/>
        <v/>
      </c>
    </row>
    <row r="242" spans="1:6">
      <c r="A242">
        <v>239</v>
      </c>
      <c r="B242" s="46">
        <v>44526</v>
      </c>
      <c r="C242" s="269">
        <v>47.625536095378266</v>
      </c>
      <c r="D242" s="269">
        <v>83.114057360768328</v>
      </c>
      <c r="E242" s="177">
        <f t="shared" si="6"/>
        <v>47.625536095378266</v>
      </c>
      <c r="F242" s="199" t="str">
        <f t="shared" si="7"/>
        <v/>
      </c>
    </row>
    <row r="243" spans="1:6">
      <c r="A243">
        <v>240</v>
      </c>
      <c r="B243" s="46">
        <v>44527</v>
      </c>
      <c r="C243" s="269">
        <v>51.534761423378264</v>
      </c>
      <c r="D243" s="269">
        <v>83.114057360768328</v>
      </c>
      <c r="E243" s="177">
        <f t="shared" si="6"/>
        <v>51.534761423378264</v>
      </c>
      <c r="F243" s="199" t="str">
        <f t="shared" si="7"/>
        <v/>
      </c>
    </row>
    <row r="244" spans="1:6">
      <c r="A244">
        <v>241</v>
      </c>
      <c r="B244" s="46">
        <v>44528</v>
      </c>
      <c r="C244" s="269">
        <v>44.432550211378263</v>
      </c>
      <c r="D244" s="269">
        <v>83.114057360768328</v>
      </c>
      <c r="E244" s="177">
        <f t="shared" si="6"/>
        <v>44.432550211378263</v>
      </c>
      <c r="F244" s="199" t="str">
        <f t="shared" si="7"/>
        <v/>
      </c>
    </row>
    <row r="245" spans="1:6">
      <c r="A245">
        <v>242</v>
      </c>
      <c r="B245" s="46">
        <v>44529</v>
      </c>
      <c r="C245" s="269">
        <v>53.96349179537733</v>
      </c>
      <c r="D245" s="269">
        <v>83.114057360768328</v>
      </c>
      <c r="E245" s="177">
        <f t="shared" si="6"/>
        <v>53.96349179537733</v>
      </c>
      <c r="F245" s="199" t="str">
        <f t="shared" si="7"/>
        <v/>
      </c>
    </row>
    <row r="246" spans="1:6">
      <c r="A246">
        <v>243</v>
      </c>
      <c r="B246" s="46">
        <v>44530</v>
      </c>
      <c r="C246" s="269">
        <v>68.858192995378261</v>
      </c>
      <c r="D246" s="269">
        <v>83.114057360768328</v>
      </c>
      <c r="E246" s="177">
        <f t="shared" si="6"/>
        <v>68.858192995378261</v>
      </c>
      <c r="F246" s="199" t="str">
        <f t="shared" si="7"/>
        <v/>
      </c>
    </row>
    <row r="247" spans="1:6">
      <c r="A247">
        <v>244</v>
      </c>
      <c r="B247" s="46">
        <v>44531</v>
      </c>
      <c r="C247" s="269">
        <v>67.914082788547205</v>
      </c>
      <c r="D247" s="269">
        <v>104.11073943778104</v>
      </c>
      <c r="E247" s="177">
        <f t="shared" si="6"/>
        <v>67.914082788547205</v>
      </c>
      <c r="F247" s="199" t="str">
        <f t="shared" si="7"/>
        <v/>
      </c>
    </row>
    <row r="248" spans="1:6">
      <c r="A248">
        <v>245</v>
      </c>
      <c r="B248" s="46">
        <v>44532</v>
      </c>
      <c r="C248" s="269">
        <v>67.634317772550943</v>
      </c>
      <c r="D248" s="269">
        <v>104.11073943778104</v>
      </c>
      <c r="E248" s="177">
        <f t="shared" si="6"/>
        <v>67.634317772550943</v>
      </c>
      <c r="F248" s="199" t="str">
        <f t="shared" si="7"/>
        <v/>
      </c>
    </row>
    <row r="249" spans="1:6">
      <c r="A249">
        <v>246</v>
      </c>
      <c r="B249" s="46">
        <v>44533</v>
      </c>
      <c r="C249" s="269">
        <v>79.771890052547207</v>
      </c>
      <c r="D249" s="269">
        <v>104.11073943778104</v>
      </c>
      <c r="E249" s="177">
        <f t="shared" si="6"/>
        <v>79.771890052547207</v>
      </c>
      <c r="F249" s="199" t="str">
        <f t="shared" si="7"/>
        <v/>
      </c>
    </row>
    <row r="250" spans="1:6">
      <c r="A250">
        <v>247</v>
      </c>
      <c r="B250" s="46">
        <v>44534</v>
      </c>
      <c r="C250" s="269">
        <v>73.835649612549076</v>
      </c>
      <c r="D250" s="269">
        <v>104.11073943778104</v>
      </c>
      <c r="E250" s="177">
        <f t="shared" si="6"/>
        <v>73.835649612549076</v>
      </c>
      <c r="F250" s="199" t="str">
        <f t="shared" si="7"/>
        <v/>
      </c>
    </row>
    <row r="251" spans="1:6">
      <c r="A251">
        <v>248</v>
      </c>
      <c r="B251" s="46">
        <v>44535</v>
      </c>
      <c r="C251" s="269">
        <v>67.854101322548146</v>
      </c>
      <c r="D251" s="269">
        <v>104.11073943778104</v>
      </c>
      <c r="E251" s="177">
        <f t="shared" si="6"/>
        <v>67.854101322548146</v>
      </c>
      <c r="F251" s="199" t="str">
        <f t="shared" si="7"/>
        <v/>
      </c>
    </row>
    <row r="252" spans="1:6">
      <c r="A252">
        <v>249</v>
      </c>
      <c r="B252" s="46">
        <v>44536</v>
      </c>
      <c r="C252" s="269">
        <v>75.36825752454908</v>
      </c>
      <c r="D252" s="269">
        <v>104.11073943778104</v>
      </c>
      <c r="E252" s="177">
        <f t="shared" si="6"/>
        <v>75.36825752454908</v>
      </c>
      <c r="F252" s="199" t="str">
        <f t="shared" si="7"/>
        <v/>
      </c>
    </row>
    <row r="253" spans="1:6">
      <c r="A253">
        <v>250</v>
      </c>
      <c r="B253" s="46">
        <v>44537</v>
      </c>
      <c r="C253" s="269">
        <v>75.19998157054907</v>
      </c>
      <c r="D253" s="269">
        <v>104.11073943778104</v>
      </c>
      <c r="E253" s="177">
        <f t="shared" si="6"/>
        <v>75.19998157054907</v>
      </c>
      <c r="F253" s="199" t="str">
        <f t="shared" si="7"/>
        <v/>
      </c>
    </row>
    <row r="254" spans="1:6">
      <c r="A254">
        <v>251</v>
      </c>
      <c r="B254" s="46">
        <v>44538</v>
      </c>
      <c r="C254" s="269">
        <v>134.12053199479683</v>
      </c>
      <c r="D254" s="269">
        <v>104.11073943778104</v>
      </c>
      <c r="E254" s="177">
        <f t="shared" si="6"/>
        <v>104.11073943778104</v>
      </c>
      <c r="F254" s="199" t="str">
        <f t="shared" si="7"/>
        <v/>
      </c>
    </row>
    <row r="255" spans="1:6">
      <c r="A255">
        <v>252</v>
      </c>
      <c r="B255" s="46">
        <v>44539</v>
      </c>
      <c r="C255" s="269">
        <v>149.83404116679773</v>
      </c>
      <c r="D255" s="269">
        <v>104.11073943778104</v>
      </c>
      <c r="E255" s="177">
        <f t="shared" si="6"/>
        <v>104.11073943778104</v>
      </c>
      <c r="F255" s="199" t="str">
        <f t="shared" si="7"/>
        <v/>
      </c>
    </row>
    <row r="256" spans="1:6">
      <c r="A256">
        <v>253</v>
      </c>
      <c r="B256" s="46">
        <v>44540</v>
      </c>
      <c r="C256" s="269">
        <v>150.75707037479683</v>
      </c>
      <c r="D256" s="269">
        <v>104.11073943778104</v>
      </c>
      <c r="E256" s="177">
        <f t="shared" si="6"/>
        <v>104.11073943778104</v>
      </c>
      <c r="F256" s="199" t="str">
        <f t="shared" si="7"/>
        <v/>
      </c>
    </row>
    <row r="257" spans="1:7">
      <c r="A257">
        <v>254</v>
      </c>
      <c r="B257" s="46">
        <v>44541</v>
      </c>
      <c r="C257" s="269">
        <v>155.9076950487987</v>
      </c>
      <c r="D257" s="269">
        <v>104.11073943778104</v>
      </c>
      <c r="E257" s="177">
        <f t="shared" si="6"/>
        <v>104.11073943778104</v>
      </c>
      <c r="F257" s="199" t="str">
        <f t="shared" si="7"/>
        <v/>
      </c>
    </row>
    <row r="258" spans="1:7">
      <c r="A258">
        <v>255</v>
      </c>
      <c r="B258" s="46">
        <v>44542</v>
      </c>
      <c r="C258" s="269">
        <v>165.94317509679775</v>
      </c>
      <c r="D258" s="269">
        <v>104.11073943778104</v>
      </c>
      <c r="E258" s="177">
        <f t="shared" si="6"/>
        <v>104.11073943778104</v>
      </c>
      <c r="F258" s="199" t="str">
        <f t="shared" si="7"/>
        <v/>
      </c>
    </row>
    <row r="259" spans="1:7">
      <c r="A259">
        <v>256</v>
      </c>
      <c r="B259" s="46">
        <v>44543</v>
      </c>
      <c r="C259" s="269">
        <v>168.94623704479682</v>
      </c>
      <c r="D259" s="269">
        <v>104.11073943778104</v>
      </c>
      <c r="E259" s="177">
        <f t="shared" si="6"/>
        <v>104.11073943778104</v>
      </c>
      <c r="F259" s="199" t="str">
        <f t="shared" si="7"/>
        <v/>
      </c>
    </row>
    <row r="260" spans="1:7">
      <c r="A260">
        <v>257</v>
      </c>
      <c r="B260" s="46">
        <v>44544</v>
      </c>
      <c r="C260" s="269">
        <v>163.42586551079776</v>
      </c>
      <c r="D260" s="269">
        <v>104.11073943778104</v>
      </c>
      <c r="E260" s="177">
        <f t="shared" ref="E260:E323" si="8">IF(C260&lt;D260,C260,D260)</f>
        <v>104.11073943778104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44545</v>
      </c>
      <c r="C261" s="269">
        <v>99.20214076305858</v>
      </c>
      <c r="D261" s="269">
        <v>104.11073943778104</v>
      </c>
      <c r="E261" s="177">
        <f t="shared" si="8"/>
        <v>99.20214076305858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>D</v>
      </c>
      <c r="G261" s="200">
        <f>IF(DAY(B261)=15,D261,"")</f>
        <v>104.11073943778104</v>
      </c>
    </row>
    <row r="262" spans="1:7">
      <c r="A262">
        <v>259</v>
      </c>
      <c r="B262" s="46">
        <v>44546</v>
      </c>
      <c r="C262" s="269">
        <v>94.316234811056717</v>
      </c>
      <c r="D262" s="269">
        <v>104.11073943778104</v>
      </c>
      <c r="E262" s="177">
        <f t="shared" si="8"/>
        <v>94.316234811056717</v>
      </c>
      <c r="F262" s="199" t="str">
        <f t="shared" si="9"/>
        <v/>
      </c>
    </row>
    <row r="263" spans="1:7">
      <c r="A263">
        <v>260</v>
      </c>
      <c r="B263" s="46">
        <v>44547</v>
      </c>
      <c r="C263" s="269">
        <v>100.71085091105765</v>
      </c>
      <c r="D263" s="269">
        <v>104.11073943778104</v>
      </c>
      <c r="E263" s="177">
        <f t="shared" si="8"/>
        <v>100.71085091105765</v>
      </c>
      <c r="F263" s="199" t="str">
        <f t="shared" si="9"/>
        <v/>
      </c>
    </row>
    <row r="264" spans="1:7">
      <c r="A264">
        <v>261</v>
      </c>
      <c r="B264" s="46">
        <v>44548</v>
      </c>
      <c r="C264" s="269">
        <v>107.73071106705764</v>
      </c>
      <c r="D264" s="269">
        <v>104.11073943778104</v>
      </c>
      <c r="E264" s="177">
        <f t="shared" si="8"/>
        <v>104.11073943778104</v>
      </c>
      <c r="F264" s="199" t="str">
        <f t="shared" si="9"/>
        <v/>
      </c>
    </row>
    <row r="265" spans="1:7">
      <c r="A265">
        <v>262</v>
      </c>
      <c r="B265" s="46">
        <v>44549</v>
      </c>
      <c r="C265" s="269">
        <v>94.236187843058573</v>
      </c>
      <c r="D265" s="269">
        <v>104.11073943778104</v>
      </c>
      <c r="E265" s="177">
        <f t="shared" si="8"/>
        <v>94.236187843058573</v>
      </c>
      <c r="F265" s="199" t="str">
        <f t="shared" si="9"/>
        <v/>
      </c>
    </row>
    <row r="266" spans="1:7">
      <c r="A266">
        <v>263</v>
      </c>
      <c r="B266" s="46">
        <v>44550</v>
      </c>
      <c r="C266" s="269">
        <v>108.97748723105857</v>
      </c>
      <c r="D266" s="269">
        <v>104.11073943778104</v>
      </c>
      <c r="E266" s="177">
        <f t="shared" si="8"/>
        <v>104.11073943778104</v>
      </c>
      <c r="F266" s="199" t="str">
        <f t="shared" si="9"/>
        <v/>
      </c>
    </row>
    <row r="267" spans="1:7">
      <c r="A267">
        <v>264</v>
      </c>
      <c r="B267" s="46">
        <v>44551</v>
      </c>
      <c r="C267" s="269">
        <v>115.96634227105858</v>
      </c>
      <c r="D267" s="269">
        <v>104.11073943778104</v>
      </c>
      <c r="E267" s="177">
        <f t="shared" si="8"/>
        <v>104.11073943778104</v>
      </c>
      <c r="F267" s="199" t="str">
        <f t="shared" si="9"/>
        <v/>
      </c>
    </row>
    <row r="268" spans="1:7">
      <c r="A268">
        <v>265</v>
      </c>
      <c r="B268" s="46">
        <v>44552</v>
      </c>
      <c r="C268" s="269">
        <v>109.5801564097107</v>
      </c>
      <c r="D268" s="269">
        <v>104.11073943778104</v>
      </c>
      <c r="E268" s="177">
        <f t="shared" si="8"/>
        <v>104.11073943778104</v>
      </c>
      <c r="F268" s="199" t="str">
        <f t="shared" si="9"/>
        <v/>
      </c>
    </row>
    <row r="269" spans="1:7">
      <c r="A269">
        <v>266</v>
      </c>
      <c r="B269" s="46">
        <v>44553</v>
      </c>
      <c r="C269" s="269">
        <v>100.54819594570883</v>
      </c>
      <c r="D269" s="269">
        <v>104.11073943778104</v>
      </c>
      <c r="E269" s="177">
        <f t="shared" si="8"/>
        <v>100.54819594570883</v>
      </c>
      <c r="F269" s="199" t="str">
        <f t="shared" si="9"/>
        <v/>
      </c>
    </row>
    <row r="270" spans="1:7">
      <c r="A270">
        <v>267</v>
      </c>
      <c r="B270" s="46">
        <v>44554</v>
      </c>
      <c r="C270" s="269">
        <v>73.15339101971162</v>
      </c>
      <c r="D270" s="269">
        <v>104.11073943778104</v>
      </c>
      <c r="E270" s="177">
        <f t="shared" si="8"/>
        <v>73.15339101971162</v>
      </c>
      <c r="F270" s="199" t="str">
        <f t="shared" si="9"/>
        <v/>
      </c>
    </row>
    <row r="271" spans="1:7">
      <c r="A271">
        <v>268</v>
      </c>
      <c r="B271" s="46">
        <v>44555</v>
      </c>
      <c r="C271" s="269">
        <v>62.947384397708817</v>
      </c>
      <c r="D271" s="269">
        <v>104.11073943778104</v>
      </c>
      <c r="E271" s="177">
        <f t="shared" si="8"/>
        <v>62.947384397708817</v>
      </c>
      <c r="F271" s="199" t="str">
        <f t="shared" si="9"/>
        <v/>
      </c>
    </row>
    <row r="272" spans="1:7">
      <c r="A272">
        <v>269</v>
      </c>
      <c r="B272" s="46">
        <v>44556</v>
      </c>
      <c r="C272" s="269">
        <v>66.909976297710685</v>
      </c>
      <c r="D272" s="269">
        <v>104.11073943778104</v>
      </c>
      <c r="E272" s="177">
        <f t="shared" si="8"/>
        <v>66.909976297710685</v>
      </c>
      <c r="F272" s="199" t="str">
        <f t="shared" si="9"/>
        <v/>
      </c>
    </row>
    <row r="273" spans="1:6">
      <c r="A273">
        <v>270</v>
      </c>
      <c r="B273" s="46">
        <v>44557</v>
      </c>
      <c r="C273" s="269">
        <v>70.186913739709752</v>
      </c>
      <c r="D273" s="269">
        <v>104.11073943778104</v>
      </c>
      <c r="E273" s="177">
        <f t="shared" si="8"/>
        <v>70.186913739709752</v>
      </c>
      <c r="F273" s="199" t="str">
        <f t="shared" si="9"/>
        <v/>
      </c>
    </row>
    <row r="274" spans="1:6">
      <c r="A274">
        <v>271</v>
      </c>
      <c r="B274" s="46">
        <v>44558</v>
      </c>
      <c r="C274" s="269">
        <v>74.018275097710671</v>
      </c>
      <c r="D274" s="269">
        <v>104.11073943778104</v>
      </c>
      <c r="E274" s="177">
        <f t="shared" si="8"/>
        <v>74.018275097710671</v>
      </c>
      <c r="F274" s="199" t="str">
        <f t="shared" si="9"/>
        <v/>
      </c>
    </row>
    <row r="275" spans="1:6">
      <c r="A275">
        <v>272</v>
      </c>
      <c r="B275" s="46">
        <v>44559</v>
      </c>
      <c r="C275" s="269">
        <v>126.29973371740441</v>
      </c>
      <c r="D275" s="269">
        <v>104.11073943778104</v>
      </c>
      <c r="E275" s="177">
        <f t="shared" si="8"/>
        <v>104.11073943778104</v>
      </c>
      <c r="F275" s="199" t="str">
        <f t="shared" si="9"/>
        <v/>
      </c>
    </row>
    <row r="276" spans="1:6">
      <c r="A276">
        <v>273</v>
      </c>
      <c r="B276" s="46">
        <v>44560</v>
      </c>
      <c r="C276" s="269">
        <v>127.2610685074044</v>
      </c>
      <c r="D276" s="269">
        <v>104.11073943778104</v>
      </c>
      <c r="E276" s="177">
        <f t="shared" si="8"/>
        <v>104.11073943778104</v>
      </c>
      <c r="F276" s="199" t="str">
        <f t="shared" si="9"/>
        <v/>
      </c>
    </row>
    <row r="277" spans="1:6">
      <c r="A277">
        <v>274</v>
      </c>
      <c r="B277" s="46">
        <v>44561</v>
      </c>
      <c r="C277" s="269">
        <v>118.3931635174044</v>
      </c>
      <c r="D277" s="269">
        <v>104.11073943778104</v>
      </c>
      <c r="E277" s="177">
        <f t="shared" si="8"/>
        <v>104.11073943778104</v>
      </c>
      <c r="F277" s="199" t="str">
        <f t="shared" si="9"/>
        <v/>
      </c>
    </row>
    <row r="278" spans="1:6">
      <c r="A278">
        <v>275</v>
      </c>
      <c r="B278" s="46">
        <v>44562</v>
      </c>
      <c r="C278" s="269">
        <v>102.17540151940534</v>
      </c>
      <c r="D278" s="269">
        <v>117.91214619510544</v>
      </c>
      <c r="E278" s="177">
        <f t="shared" si="8"/>
        <v>102.17540151940534</v>
      </c>
      <c r="F278" s="199" t="str">
        <f t="shared" si="9"/>
        <v/>
      </c>
    </row>
    <row r="279" spans="1:6">
      <c r="A279">
        <v>276</v>
      </c>
      <c r="B279" s="46">
        <v>44563</v>
      </c>
      <c r="C279" s="269">
        <v>104.62349681740534</v>
      </c>
      <c r="D279" s="269">
        <v>117.91214619510544</v>
      </c>
      <c r="E279" s="177">
        <f t="shared" si="8"/>
        <v>104.62349681740534</v>
      </c>
      <c r="F279" s="199" t="str">
        <f t="shared" si="9"/>
        <v/>
      </c>
    </row>
    <row r="280" spans="1:6">
      <c r="A280">
        <v>277</v>
      </c>
      <c r="B280" s="46">
        <v>44564</v>
      </c>
      <c r="C280" s="269">
        <v>105.21932554740441</v>
      </c>
      <c r="D280" s="269">
        <v>117.91214619510544</v>
      </c>
      <c r="E280" s="177">
        <f t="shared" si="8"/>
        <v>105.21932554740441</v>
      </c>
      <c r="F280" s="199" t="str">
        <f t="shared" si="9"/>
        <v/>
      </c>
    </row>
    <row r="281" spans="1:6">
      <c r="A281">
        <v>278</v>
      </c>
      <c r="B281" s="46">
        <v>44565</v>
      </c>
      <c r="C281" s="269">
        <v>103.55801551140441</v>
      </c>
      <c r="D281" s="269">
        <v>117.91214619510544</v>
      </c>
      <c r="E281" s="177">
        <f t="shared" si="8"/>
        <v>103.55801551140441</v>
      </c>
      <c r="F281" s="199" t="str">
        <f t="shared" si="9"/>
        <v/>
      </c>
    </row>
    <row r="282" spans="1:6">
      <c r="A282">
        <v>279</v>
      </c>
      <c r="B282" s="46">
        <v>44566</v>
      </c>
      <c r="C282" s="269">
        <v>91.987723495153446</v>
      </c>
      <c r="D282" s="269">
        <v>117.91214619510544</v>
      </c>
      <c r="E282" s="177">
        <f t="shared" si="8"/>
        <v>91.987723495153446</v>
      </c>
      <c r="F282" s="199" t="str">
        <f t="shared" si="9"/>
        <v/>
      </c>
    </row>
    <row r="283" spans="1:6">
      <c r="A283">
        <v>280</v>
      </c>
      <c r="B283" s="46">
        <v>44567</v>
      </c>
      <c r="C283" s="269">
        <v>95.198739353151581</v>
      </c>
      <c r="D283" s="269">
        <v>117.91214619510544</v>
      </c>
      <c r="E283" s="177">
        <f t="shared" si="8"/>
        <v>95.198739353151581</v>
      </c>
      <c r="F283" s="199" t="str">
        <f t="shared" si="9"/>
        <v/>
      </c>
    </row>
    <row r="284" spans="1:6">
      <c r="A284">
        <v>281</v>
      </c>
      <c r="B284" s="46">
        <v>44568</v>
      </c>
      <c r="C284" s="269">
        <v>95.836925759152507</v>
      </c>
      <c r="D284" s="269">
        <v>117.91214619510544</v>
      </c>
      <c r="E284" s="177">
        <f t="shared" si="8"/>
        <v>95.836925759152507</v>
      </c>
      <c r="F284" s="199" t="str">
        <f t="shared" si="9"/>
        <v/>
      </c>
    </row>
    <row r="285" spans="1:6">
      <c r="A285">
        <v>282</v>
      </c>
      <c r="B285" s="46">
        <v>44569</v>
      </c>
      <c r="C285" s="269">
        <v>90.269487789151583</v>
      </c>
      <c r="D285" s="269">
        <v>117.91214619510544</v>
      </c>
      <c r="E285" s="177">
        <f t="shared" si="8"/>
        <v>90.269487789151583</v>
      </c>
      <c r="F285" s="199" t="str">
        <f t="shared" si="9"/>
        <v/>
      </c>
    </row>
    <row r="286" spans="1:6">
      <c r="A286">
        <v>283</v>
      </c>
      <c r="B286" s="46">
        <v>44570</v>
      </c>
      <c r="C286" s="269">
        <v>82.673086073152518</v>
      </c>
      <c r="D286" s="269">
        <v>117.91214619510544</v>
      </c>
      <c r="E286" s="177">
        <f t="shared" si="8"/>
        <v>82.673086073152518</v>
      </c>
      <c r="F286" s="199" t="str">
        <f t="shared" si="9"/>
        <v/>
      </c>
    </row>
    <row r="287" spans="1:6">
      <c r="A287">
        <v>284</v>
      </c>
      <c r="B287" s="46">
        <v>44571</v>
      </c>
      <c r="C287" s="269">
        <v>105.36310315515158</v>
      </c>
      <c r="D287" s="269">
        <v>117.91214619510544</v>
      </c>
      <c r="E287" s="177">
        <f t="shared" si="8"/>
        <v>105.36310315515158</v>
      </c>
      <c r="F287" s="199" t="str">
        <f t="shared" si="9"/>
        <v/>
      </c>
    </row>
    <row r="288" spans="1:6">
      <c r="A288">
        <v>285</v>
      </c>
      <c r="B288" s="46">
        <v>44572</v>
      </c>
      <c r="C288" s="269">
        <v>106.01807528715251</v>
      </c>
      <c r="D288" s="269">
        <v>117.91214619510544</v>
      </c>
      <c r="E288" s="177">
        <f t="shared" si="8"/>
        <v>106.01807528715251</v>
      </c>
      <c r="F288" s="199" t="str">
        <f t="shared" si="9"/>
        <v/>
      </c>
    </row>
    <row r="289" spans="1:7">
      <c r="A289">
        <v>286</v>
      </c>
      <c r="B289" s="46">
        <v>44573</v>
      </c>
      <c r="C289" s="269">
        <v>80.883930473632347</v>
      </c>
      <c r="D289" s="269">
        <v>117.91214619510544</v>
      </c>
      <c r="E289" s="177">
        <f t="shared" si="8"/>
        <v>80.883930473632347</v>
      </c>
      <c r="F289" s="199" t="str">
        <f t="shared" si="9"/>
        <v/>
      </c>
    </row>
    <row r="290" spans="1:7">
      <c r="A290">
        <v>287</v>
      </c>
      <c r="B290" s="46">
        <v>44574</v>
      </c>
      <c r="C290" s="269">
        <v>108.53032502363422</v>
      </c>
      <c r="D290" s="269">
        <v>117.91214619510544</v>
      </c>
      <c r="E290" s="177">
        <f t="shared" si="8"/>
        <v>108.53032502363422</v>
      </c>
      <c r="F290" s="199" t="str">
        <f t="shared" si="9"/>
        <v/>
      </c>
    </row>
    <row r="291" spans="1:7">
      <c r="A291">
        <v>288</v>
      </c>
      <c r="B291" s="46">
        <v>44575</v>
      </c>
      <c r="C291" s="269">
        <v>109.9746273136342</v>
      </c>
      <c r="D291" s="269">
        <v>117.91214619510544</v>
      </c>
      <c r="E291" s="177">
        <f t="shared" si="8"/>
        <v>109.9746273136342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44576</v>
      </c>
      <c r="C292" s="269">
        <v>107.25943700363328</v>
      </c>
      <c r="D292" s="269">
        <v>117.91214619510544</v>
      </c>
      <c r="E292" s="177">
        <f t="shared" si="8"/>
        <v>107.25943700363328</v>
      </c>
      <c r="F292" s="199" t="str">
        <f t="shared" si="9"/>
        <v>E</v>
      </c>
      <c r="G292" s="200">
        <f>IF(DAY(B292)=15,D292,"")</f>
        <v>117.91214619510544</v>
      </c>
    </row>
    <row r="293" spans="1:7">
      <c r="A293">
        <v>290</v>
      </c>
      <c r="B293" s="46">
        <v>44577</v>
      </c>
      <c r="C293" s="269">
        <v>93.148619171634209</v>
      </c>
      <c r="D293" s="269">
        <v>117.91214619510544</v>
      </c>
      <c r="E293" s="177">
        <f t="shared" si="8"/>
        <v>93.148619171634209</v>
      </c>
      <c r="F293" s="199" t="str">
        <f t="shared" si="9"/>
        <v/>
      </c>
    </row>
    <row r="294" spans="1:7">
      <c r="A294">
        <v>291</v>
      </c>
      <c r="B294" s="46">
        <v>44578</v>
      </c>
      <c r="C294" s="269">
        <v>101.72879704363422</v>
      </c>
      <c r="D294" s="269">
        <v>117.91214619510544</v>
      </c>
      <c r="E294" s="177">
        <f t="shared" si="8"/>
        <v>101.72879704363422</v>
      </c>
      <c r="F294" s="199" t="str">
        <f t="shared" si="9"/>
        <v/>
      </c>
    </row>
    <row r="295" spans="1:7">
      <c r="A295">
        <v>292</v>
      </c>
      <c r="B295" s="46">
        <v>44579</v>
      </c>
      <c r="C295" s="269">
        <v>103.87119560363328</v>
      </c>
      <c r="D295" s="269">
        <v>117.91214619510544</v>
      </c>
      <c r="E295" s="177">
        <f t="shared" si="8"/>
        <v>103.87119560363328</v>
      </c>
      <c r="F295" s="199" t="str">
        <f t="shared" si="9"/>
        <v/>
      </c>
    </row>
    <row r="296" spans="1:7">
      <c r="A296">
        <v>293</v>
      </c>
      <c r="B296" s="46">
        <v>44580</v>
      </c>
      <c r="C296" s="269">
        <v>67.409800574516936</v>
      </c>
      <c r="D296" s="269">
        <v>117.91214619510544</v>
      </c>
      <c r="E296" s="177">
        <f t="shared" si="8"/>
        <v>67.409800574516936</v>
      </c>
      <c r="F296" s="199" t="str">
        <f t="shared" si="9"/>
        <v/>
      </c>
    </row>
    <row r="297" spans="1:7">
      <c r="A297">
        <v>294</v>
      </c>
      <c r="B297" s="46">
        <v>44581</v>
      </c>
      <c r="C297" s="269">
        <v>56.526716274517867</v>
      </c>
      <c r="D297" s="269">
        <v>117.91214619510544</v>
      </c>
      <c r="E297" s="177">
        <f t="shared" si="8"/>
        <v>56.526716274517867</v>
      </c>
      <c r="F297" s="199" t="str">
        <f t="shared" si="9"/>
        <v/>
      </c>
    </row>
    <row r="298" spans="1:7">
      <c r="A298">
        <v>295</v>
      </c>
      <c r="B298" s="46">
        <v>44582</v>
      </c>
      <c r="C298" s="269">
        <v>43.579174246515997</v>
      </c>
      <c r="D298" s="269">
        <v>117.91214619510544</v>
      </c>
      <c r="E298" s="177">
        <f t="shared" si="8"/>
        <v>43.579174246515997</v>
      </c>
      <c r="F298" s="199" t="str">
        <f t="shared" si="9"/>
        <v/>
      </c>
    </row>
    <row r="299" spans="1:7">
      <c r="A299">
        <v>296</v>
      </c>
      <c r="B299" s="46">
        <v>44583</v>
      </c>
      <c r="C299" s="269">
        <v>41.629165836516933</v>
      </c>
      <c r="D299" s="269">
        <v>117.91214619510544</v>
      </c>
      <c r="E299" s="177">
        <f t="shared" si="8"/>
        <v>41.629165836516933</v>
      </c>
      <c r="F299" s="199" t="str">
        <f t="shared" si="9"/>
        <v/>
      </c>
    </row>
    <row r="300" spans="1:7">
      <c r="A300">
        <v>297</v>
      </c>
      <c r="B300" s="46">
        <v>44584</v>
      </c>
      <c r="C300" s="269">
        <v>53.975750974516927</v>
      </c>
      <c r="D300" s="269">
        <v>117.91214619510544</v>
      </c>
      <c r="E300" s="177">
        <f t="shared" si="8"/>
        <v>53.975750974516927</v>
      </c>
      <c r="F300" s="199" t="str">
        <f t="shared" si="9"/>
        <v/>
      </c>
    </row>
    <row r="301" spans="1:7">
      <c r="A301">
        <v>298</v>
      </c>
      <c r="B301" s="46">
        <v>44585</v>
      </c>
      <c r="C301" s="269">
        <v>79.832427634515071</v>
      </c>
      <c r="D301" s="269">
        <v>117.91214619510544</v>
      </c>
      <c r="E301" s="177">
        <f t="shared" si="8"/>
        <v>79.832427634515071</v>
      </c>
      <c r="F301" s="199" t="str">
        <f t="shared" si="9"/>
        <v/>
      </c>
    </row>
    <row r="302" spans="1:7">
      <c r="A302">
        <v>299</v>
      </c>
      <c r="B302" s="46">
        <v>44586</v>
      </c>
      <c r="C302" s="269">
        <v>60.620104462519727</v>
      </c>
      <c r="D302" s="269">
        <v>117.91214619510544</v>
      </c>
      <c r="E302" s="177">
        <f t="shared" si="8"/>
        <v>60.620104462519727</v>
      </c>
      <c r="F302" s="199" t="str">
        <f t="shared" si="9"/>
        <v/>
      </c>
    </row>
    <row r="303" spans="1:7">
      <c r="A303">
        <v>300</v>
      </c>
      <c r="B303" s="46">
        <v>44587</v>
      </c>
      <c r="C303" s="269">
        <v>57.039959710062163</v>
      </c>
      <c r="D303" s="269">
        <v>117.91214619510544</v>
      </c>
      <c r="E303" s="177">
        <f t="shared" si="8"/>
        <v>57.039959710062163</v>
      </c>
      <c r="F303" s="199" t="str">
        <f t="shared" si="9"/>
        <v/>
      </c>
    </row>
    <row r="304" spans="1:7">
      <c r="A304">
        <v>301</v>
      </c>
      <c r="B304" s="46">
        <v>44588</v>
      </c>
      <c r="C304" s="269">
        <v>40.904587002061234</v>
      </c>
      <c r="D304" s="269">
        <v>117.91214619510544</v>
      </c>
      <c r="E304" s="177">
        <f t="shared" si="8"/>
        <v>40.904587002061234</v>
      </c>
      <c r="F304" s="199" t="str">
        <f t="shared" si="9"/>
        <v/>
      </c>
    </row>
    <row r="305" spans="1:6">
      <c r="A305">
        <v>302</v>
      </c>
      <c r="B305" s="46">
        <v>44589</v>
      </c>
      <c r="C305" s="269">
        <v>30.755261530062167</v>
      </c>
      <c r="D305" s="269">
        <v>117.91214619510544</v>
      </c>
      <c r="E305" s="177">
        <f t="shared" si="8"/>
        <v>30.755261530062167</v>
      </c>
      <c r="F305" s="199" t="str">
        <f t="shared" si="9"/>
        <v/>
      </c>
    </row>
    <row r="306" spans="1:6">
      <c r="A306">
        <v>303</v>
      </c>
      <c r="B306" s="46">
        <v>44590</v>
      </c>
      <c r="C306" s="269">
        <v>30.089815514064963</v>
      </c>
      <c r="D306" s="269">
        <v>117.91214619510544</v>
      </c>
      <c r="E306" s="177">
        <f t="shared" si="8"/>
        <v>30.089815514064963</v>
      </c>
      <c r="F306" s="199" t="str">
        <f t="shared" si="9"/>
        <v/>
      </c>
    </row>
    <row r="307" spans="1:6">
      <c r="A307">
        <v>304</v>
      </c>
      <c r="B307" s="46">
        <v>44591</v>
      </c>
      <c r="C307" s="269">
        <v>28.242457818062167</v>
      </c>
      <c r="D307" s="269">
        <v>117.91214619510544</v>
      </c>
      <c r="E307" s="177">
        <f t="shared" si="8"/>
        <v>28.242457818062167</v>
      </c>
      <c r="F307" s="199" t="str">
        <f t="shared" si="9"/>
        <v/>
      </c>
    </row>
    <row r="308" spans="1:6">
      <c r="A308">
        <v>305</v>
      </c>
      <c r="B308" s="46">
        <v>44592</v>
      </c>
      <c r="C308" s="269">
        <v>26.349692656061233</v>
      </c>
      <c r="D308" s="269">
        <v>117.91214619510544</v>
      </c>
      <c r="E308" s="177">
        <f t="shared" si="8"/>
        <v>26.349692656061233</v>
      </c>
      <c r="F308" s="199" t="str">
        <f t="shared" si="9"/>
        <v/>
      </c>
    </row>
    <row r="309" spans="1:6">
      <c r="A309">
        <v>306</v>
      </c>
      <c r="B309" s="46">
        <v>44593</v>
      </c>
      <c r="C309" s="269">
        <v>21.684615920064957</v>
      </c>
      <c r="D309" s="269">
        <v>129.94088839596503</v>
      </c>
      <c r="E309" s="177">
        <f t="shared" si="8"/>
        <v>21.684615920064957</v>
      </c>
      <c r="F309" s="199" t="str">
        <f t="shared" si="9"/>
        <v/>
      </c>
    </row>
    <row r="310" spans="1:6">
      <c r="A310">
        <v>307</v>
      </c>
      <c r="B310" s="46">
        <v>44594</v>
      </c>
      <c r="C310" s="269">
        <v>41.337833783846577</v>
      </c>
      <c r="D310" s="269">
        <v>129.94088839596503</v>
      </c>
      <c r="E310" s="177">
        <f t="shared" si="8"/>
        <v>41.337833783846577</v>
      </c>
      <c r="F310" s="199" t="str">
        <f t="shared" si="9"/>
        <v/>
      </c>
    </row>
    <row r="311" spans="1:6">
      <c r="A311">
        <v>308</v>
      </c>
      <c r="B311" s="46">
        <v>44595</v>
      </c>
      <c r="C311" s="269">
        <v>40.189233297848432</v>
      </c>
      <c r="D311" s="269">
        <v>129.94088839596503</v>
      </c>
      <c r="E311" s="177">
        <f t="shared" si="8"/>
        <v>40.189233297848432</v>
      </c>
      <c r="F311" s="199" t="str">
        <f t="shared" si="9"/>
        <v/>
      </c>
    </row>
    <row r="312" spans="1:6">
      <c r="A312">
        <v>309</v>
      </c>
      <c r="B312" s="46">
        <v>44596</v>
      </c>
      <c r="C312" s="269">
        <v>39.609134091848432</v>
      </c>
      <c r="D312" s="269">
        <v>129.94088839596503</v>
      </c>
      <c r="E312" s="177">
        <f t="shared" si="8"/>
        <v>39.609134091848432</v>
      </c>
      <c r="F312" s="199" t="str">
        <f t="shared" si="9"/>
        <v/>
      </c>
    </row>
    <row r="313" spans="1:6">
      <c r="A313">
        <v>310</v>
      </c>
      <c r="B313" s="46">
        <v>44597</v>
      </c>
      <c r="C313" s="269">
        <v>23.807867291847504</v>
      </c>
      <c r="D313" s="269">
        <v>129.94088839596503</v>
      </c>
      <c r="E313" s="177">
        <f t="shared" si="8"/>
        <v>23.807867291847504</v>
      </c>
      <c r="F313" s="199" t="str">
        <f t="shared" si="9"/>
        <v/>
      </c>
    </row>
    <row r="314" spans="1:6">
      <c r="A314">
        <v>311</v>
      </c>
      <c r="B314" s="46">
        <v>44598</v>
      </c>
      <c r="C314" s="269">
        <v>28.158227031847506</v>
      </c>
      <c r="D314" s="269">
        <v>129.94088839596503</v>
      </c>
      <c r="E314" s="177">
        <f t="shared" si="8"/>
        <v>28.158227031847506</v>
      </c>
      <c r="F314" s="199" t="str">
        <f t="shared" si="9"/>
        <v/>
      </c>
    </row>
    <row r="315" spans="1:6">
      <c r="A315">
        <v>312</v>
      </c>
      <c r="B315" s="46">
        <v>44599</v>
      </c>
      <c r="C315" s="269">
        <v>30.078230323848437</v>
      </c>
      <c r="D315" s="269">
        <v>129.94088839596503</v>
      </c>
      <c r="E315" s="177">
        <f t="shared" si="8"/>
        <v>30.078230323848437</v>
      </c>
      <c r="F315" s="199" t="str">
        <f t="shared" si="9"/>
        <v/>
      </c>
    </row>
    <row r="316" spans="1:6">
      <c r="A316">
        <v>313</v>
      </c>
      <c r="B316" s="46">
        <v>44600</v>
      </c>
      <c r="C316" s="269">
        <v>31.240118177848437</v>
      </c>
      <c r="D316" s="269">
        <v>129.94088839596503</v>
      </c>
      <c r="E316" s="177">
        <f t="shared" si="8"/>
        <v>31.240118177848437</v>
      </c>
      <c r="F316" s="199" t="str">
        <f t="shared" si="9"/>
        <v/>
      </c>
    </row>
    <row r="317" spans="1:6">
      <c r="A317">
        <v>314</v>
      </c>
      <c r="B317" s="46">
        <v>44601</v>
      </c>
      <c r="C317" s="269">
        <v>35.959938372648338</v>
      </c>
      <c r="D317" s="269">
        <v>129.94088839596503</v>
      </c>
      <c r="E317" s="177">
        <f t="shared" si="8"/>
        <v>35.959938372648338</v>
      </c>
      <c r="F317" s="199" t="str">
        <f t="shared" si="9"/>
        <v/>
      </c>
    </row>
    <row r="318" spans="1:6">
      <c r="A318">
        <v>315</v>
      </c>
      <c r="B318" s="46">
        <v>44602</v>
      </c>
      <c r="C318" s="269">
        <v>43.979555102650203</v>
      </c>
      <c r="D318" s="269">
        <v>129.94088839596503</v>
      </c>
      <c r="E318" s="177">
        <f t="shared" si="8"/>
        <v>43.979555102650203</v>
      </c>
      <c r="F318" s="199" t="str">
        <f t="shared" si="9"/>
        <v/>
      </c>
    </row>
    <row r="319" spans="1:6">
      <c r="A319">
        <v>316</v>
      </c>
      <c r="B319" s="46">
        <v>44603</v>
      </c>
      <c r="C319" s="269">
        <v>49.056240512649268</v>
      </c>
      <c r="D319" s="269">
        <v>129.94088839596503</v>
      </c>
      <c r="E319" s="177">
        <f t="shared" si="8"/>
        <v>49.056240512649268</v>
      </c>
      <c r="F319" s="199" t="str">
        <f t="shared" si="9"/>
        <v/>
      </c>
    </row>
    <row r="320" spans="1:6">
      <c r="A320">
        <v>317</v>
      </c>
      <c r="B320" s="46">
        <v>44604</v>
      </c>
      <c r="C320" s="269">
        <v>37.819610046651128</v>
      </c>
      <c r="D320" s="269">
        <v>129.94088839596503</v>
      </c>
      <c r="E320" s="177">
        <f t="shared" si="8"/>
        <v>37.819610046651128</v>
      </c>
      <c r="F320" s="199" t="str">
        <f t="shared" si="9"/>
        <v/>
      </c>
    </row>
    <row r="321" spans="1:7">
      <c r="A321">
        <v>318</v>
      </c>
      <c r="B321" s="46">
        <v>44605</v>
      </c>
      <c r="C321" s="269">
        <v>19.811390636649268</v>
      </c>
      <c r="D321" s="269">
        <v>129.94088839596503</v>
      </c>
      <c r="E321" s="177">
        <f t="shared" si="8"/>
        <v>19.811390636649268</v>
      </c>
      <c r="F321" s="199" t="str">
        <f t="shared" si="9"/>
        <v/>
      </c>
    </row>
    <row r="322" spans="1:7">
      <c r="A322">
        <v>319</v>
      </c>
      <c r="B322" s="46">
        <v>44606</v>
      </c>
      <c r="C322" s="269">
        <v>28.144312738649269</v>
      </c>
      <c r="D322" s="269">
        <v>129.94088839596503</v>
      </c>
      <c r="E322" s="177">
        <f t="shared" si="8"/>
        <v>28.144312738649269</v>
      </c>
      <c r="F322" s="199" t="str">
        <f t="shared" si="9"/>
        <v/>
      </c>
    </row>
    <row r="323" spans="1:7">
      <c r="A323">
        <v>320</v>
      </c>
      <c r="B323" s="46">
        <v>44607</v>
      </c>
      <c r="C323" s="269">
        <v>35.179346400651127</v>
      </c>
      <c r="D323" s="269">
        <v>129.94088839596503</v>
      </c>
      <c r="E323" s="177">
        <f t="shared" si="8"/>
        <v>35.179346400651127</v>
      </c>
      <c r="F323" s="199" t="str">
        <f t="shared" si="9"/>
        <v>F</v>
      </c>
      <c r="G323" s="200">
        <f>IF(DAY(B323)=15,D323,"")</f>
        <v>129.94088839596503</v>
      </c>
    </row>
    <row r="324" spans="1:7">
      <c r="A324">
        <v>321</v>
      </c>
      <c r="B324" s="46">
        <v>44608</v>
      </c>
      <c r="C324" s="269">
        <v>29.308234519336924</v>
      </c>
      <c r="D324" s="269">
        <v>129.94088839596503</v>
      </c>
      <c r="E324" s="177">
        <f t="shared" ref="E324:E387" si="10">IF(C324&lt;D324,C324,D324)</f>
        <v>29.308234519336924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44609</v>
      </c>
      <c r="C325" s="269">
        <v>44.300511531335061</v>
      </c>
      <c r="D325" s="269">
        <v>129.94088839596503</v>
      </c>
      <c r="E325" s="177">
        <f t="shared" si="10"/>
        <v>44.300511531335061</v>
      </c>
      <c r="F325" s="199" t="str">
        <f t="shared" si="11"/>
        <v/>
      </c>
    </row>
    <row r="326" spans="1:7">
      <c r="A326">
        <v>323</v>
      </c>
      <c r="B326" s="46">
        <v>44610</v>
      </c>
      <c r="C326" s="269">
        <v>48.990083881335998</v>
      </c>
      <c r="D326" s="269">
        <v>129.94088839596503</v>
      </c>
      <c r="E326" s="177">
        <f t="shared" si="10"/>
        <v>48.990083881335998</v>
      </c>
      <c r="F326" s="199" t="str">
        <f t="shared" si="11"/>
        <v/>
      </c>
    </row>
    <row r="327" spans="1:7">
      <c r="A327">
        <v>324</v>
      </c>
      <c r="B327" s="46">
        <v>44611</v>
      </c>
      <c r="C327" s="269">
        <v>35.150478825336926</v>
      </c>
      <c r="D327" s="269">
        <v>129.94088839596503</v>
      </c>
      <c r="E327" s="177">
        <f t="shared" si="10"/>
        <v>35.150478825336926</v>
      </c>
      <c r="F327" s="199" t="str">
        <f t="shared" si="11"/>
        <v/>
      </c>
    </row>
    <row r="328" spans="1:7">
      <c r="A328">
        <v>325</v>
      </c>
      <c r="B328" s="46">
        <v>44612</v>
      </c>
      <c r="C328" s="269">
        <v>40.915745895335995</v>
      </c>
      <c r="D328" s="269">
        <v>129.94088839596503</v>
      </c>
      <c r="E328" s="177">
        <f t="shared" si="10"/>
        <v>40.915745895335995</v>
      </c>
      <c r="F328" s="199" t="str">
        <f t="shared" si="11"/>
        <v/>
      </c>
    </row>
    <row r="329" spans="1:7">
      <c r="A329">
        <v>326</v>
      </c>
      <c r="B329" s="46">
        <v>44613</v>
      </c>
      <c r="C329" s="269">
        <v>43.225565069337854</v>
      </c>
      <c r="D329" s="269">
        <v>129.94088839596503</v>
      </c>
      <c r="E329" s="177">
        <f t="shared" si="10"/>
        <v>43.225565069337854</v>
      </c>
      <c r="F329" s="199" t="str">
        <f t="shared" si="11"/>
        <v/>
      </c>
    </row>
    <row r="330" spans="1:7">
      <c r="A330">
        <v>327</v>
      </c>
      <c r="B330" s="46">
        <v>44614</v>
      </c>
      <c r="C330" s="269">
        <v>42.697630395335061</v>
      </c>
      <c r="D330" s="269">
        <v>129.94088839596503</v>
      </c>
      <c r="E330" s="177">
        <f t="shared" si="10"/>
        <v>42.697630395335061</v>
      </c>
      <c r="F330" s="199" t="str">
        <f t="shared" si="11"/>
        <v/>
      </c>
    </row>
    <row r="331" spans="1:7">
      <c r="A331">
        <v>328</v>
      </c>
      <c r="B331" s="46">
        <v>44615</v>
      </c>
      <c r="C331" s="269">
        <v>32.78974645699244</v>
      </c>
      <c r="D331" s="269">
        <v>129.94088839596503</v>
      </c>
      <c r="E331" s="177">
        <f t="shared" si="10"/>
        <v>32.78974645699244</v>
      </c>
      <c r="F331" s="199" t="str">
        <f t="shared" si="11"/>
        <v/>
      </c>
    </row>
    <row r="332" spans="1:7">
      <c r="A332">
        <v>329</v>
      </c>
      <c r="B332" s="46">
        <v>44616</v>
      </c>
      <c r="C332" s="269">
        <v>38.519276576992446</v>
      </c>
      <c r="D332" s="269">
        <v>129.94088839596503</v>
      </c>
      <c r="E332" s="177">
        <f t="shared" si="10"/>
        <v>38.519276576992446</v>
      </c>
      <c r="F332" s="199" t="str">
        <f t="shared" si="11"/>
        <v/>
      </c>
    </row>
    <row r="333" spans="1:7">
      <c r="A333">
        <v>330</v>
      </c>
      <c r="B333" s="46">
        <v>44617</v>
      </c>
      <c r="C333" s="269">
        <v>32.902420378992446</v>
      </c>
      <c r="D333" s="269">
        <v>129.94088839596503</v>
      </c>
      <c r="E333" s="177">
        <f t="shared" si="10"/>
        <v>32.902420378992446</v>
      </c>
      <c r="F333" s="199" t="str">
        <f t="shared" si="11"/>
        <v/>
      </c>
    </row>
    <row r="334" spans="1:7">
      <c r="A334">
        <v>331</v>
      </c>
      <c r="B334" s="46">
        <v>44618</v>
      </c>
      <c r="C334" s="269">
        <v>33.690067250991511</v>
      </c>
      <c r="D334" s="269">
        <v>129.94088839596503</v>
      </c>
      <c r="E334" s="177">
        <f t="shared" si="10"/>
        <v>33.690067250991511</v>
      </c>
      <c r="F334" s="199" t="str">
        <f t="shared" si="11"/>
        <v/>
      </c>
    </row>
    <row r="335" spans="1:7">
      <c r="A335">
        <v>332</v>
      </c>
      <c r="B335" s="46">
        <v>44619</v>
      </c>
      <c r="C335" s="269">
        <v>33.604968194992445</v>
      </c>
      <c r="D335" s="269">
        <v>129.94088839596503</v>
      </c>
      <c r="E335" s="177">
        <f t="shared" si="10"/>
        <v>33.604968194992445</v>
      </c>
      <c r="F335" s="199" t="str">
        <f t="shared" si="11"/>
        <v/>
      </c>
    </row>
    <row r="336" spans="1:7">
      <c r="A336">
        <v>333</v>
      </c>
      <c r="B336" s="46">
        <v>44620</v>
      </c>
      <c r="C336" s="269">
        <v>25.36323805299244</v>
      </c>
      <c r="D336" s="269">
        <v>129.94088839596503</v>
      </c>
      <c r="E336" s="177">
        <f t="shared" si="10"/>
        <v>25.36323805299244</v>
      </c>
      <c r="F336" s="199" t="str">
        <f t="shared" si="11"/>
        <v/>
      </c>
    </row>
    <row r="337" spans="1:7">
      <c r="A337">
        <v>334</v>
      </c>
      <c r="B337" s="46">
        <v>44621</v>
      </c>
      <c r="C337" s="269">
        <v>30.564824412993374</v>
      </c>
      <c r="D337" s="269">
        <v>128.70213492494773</v>
      </c>
      <c r="E337" s="177">
        <f t="shared" si="10"/>
        <v>30.564824412993374</v>
      </c>
      <c r="F337" s="199" t="str">
        <f t="shared" si="11"/>
        <v/>
      </c>
    </row>
    <row r="338" spans="1:7">
      <c r="A338">
        <v>335</v>
      </c>
      <c r="B338" s="46">
        <v>44622</v>
      </c>
      <c r="C338" s="269">
        <v>40.530695179673309</v>
      </c>
      <c r="D338" s="269">
        <v>128.70213492494773</v>
      </c>
      <c r="E338" s="177">
        <f t="shared" si="10"/>
        <v>40.530695179673309</v>
      </c>
      <c r="F338" s="199" t="str">
        <f t="shared" si="11"/>
        <v/>
      </c>
    </row>
    <row r="339" spans="1:7">
      <c r="A339">
        <v>336</v>
      </c>
      <c r="B339" s="46">
        <v>44623</v>
      </c>
      <c r="C339" s="269">
        <v>49.14882341967332</v>
      </c>
      <c r="D339" s="269">
        <v>128.70213492494773</v>
      </c>
      <c r="E339" s="177">
        <f t="shared" si="10"/>
        <v>49.14882341967332</v>
      </c>
      <c r="F339" s="199" t="str">
        <f t="shared" si="11"/>
        <v/>
      </c>
    </row>
    <row r="340" spans="1:7">
      <c r="A340">
        <v>337</v>
      </c>
      <c r="B340" s="46">
        <v>44624</v>
      </c>
      <c r="C340" s="269">
        <v>39.083399935674244</v>
      </c>
      <c r="D340" s="269">
        <v>128.70213492494773</v>
      </c>
      <c r="E340" s="177">
        <f t="shared" si="10"/>
        <v>39.083399935674244</v>
      </c>
      <c r="F340" s="199" t="str">
        <f t="shared" si="11"/>
        <v/>
      </c>
    </row>
    <row r="341" spans="1:7">
      <c r="A341">
        <v>338</v>
      </c>
      <c r="B341" s="46">
        <v>44625</v>
      </c>
      <c r="C341" s="269">
        <v>48.772879543674243</v>
      </c>
      <c r="D341" s="269">
        <v>128.70213492494773</v>
      </c>
      <c r="E341" s="177">
        <f t="shared" si="10"/>
        <v>48.772879543674243</v>
      </c>
      <c r="F341" s="199" t="str">
        <f t="shared" si="11"/>
        <v/>
      </c>
    </row>
    <row r="342" spans="1:7">
      <c r="A342">
        <v>339</v>
      </c>
      <c r="B342" s="46">
        <v>44626</v>
      </c>
      <c r="C342" s="269">
        <v>45.452536035673312</v>
      </c>
      <c r="D342" s="269">
        <v>128.70213492494773</v>
      </c>
      <c r="E342" s="177">
        <f t="shared" si="10"/>
        <v>45.452536035673312</v>
      </c>
      <c r="F342" s="199" t="str">
        <f t="shared" si="11"/>
        <v/>
      </c>
    </row>
    <row r="343" spans="1:7">
      <c r="A343">
        <v>340</v>
      </c>
      <c r="B343" s="46">
        <v>44627</v>
      </c>
      <c r="C343" s="269">
        <v>60.45627532367331</v>
      </c>
      <c r="D343" s="269">
        <v>128.70213492494773</v>
      </c>
      <c r="E343" s="177">
        <f t="shared" si="10"/>
        <v>60.45627532367331</v>
      </c>
      <c r="F343" s="199" t="str">
        <f t="shared" si="11"/>
        <v/>
      </c>
    </row>
    <row r="344" spans="1:7">
      <c r="A344">
        <v>341</v>
      </c>
      <c r="B344" s="46">
        <v>44628</v>
      </c>
      <c r="C344" s="269">
        <v>36.779661775673318</v>
      </c>
      <c r="D344" s="269">
        <v>128.70213492494773</v>
      </c>
      <c r="E344" s="177">
        <f t="shared" si="10"/>
        <v>36.779661775673318</v>
      </c>
      <c r="F344" s="199" t="str">
        <f t="shared" si="11"/>
        <v/>
      </c>
    </row>
    <row r="345" spans="1:7">
      <c r="A345">
        <v>342</v>
      </c>
      <c r="B345" s="46">
        <v>44629</v>
      </c>
      <c r="C345" s="269">
        <v>61.948897105205553</v>
      </c>
      <c r="D345" s="269">
        <v>128.70213492494773</v>
      </c>
      <c r="E345" s="177">
        <f t="shared" si="10"/>
        <v>61.948897105205553</v>
      </c>
      <c r="F345" s="199" t="str">
        <f t="shared" si="11"/>
        <v/>
      </c>
    </row>
    <row r="346" spans="1:7">
      <c r="A346">
        <v>343</v>
      </c>
      <c r="B346" s="46">
        <v>44630</v>
      </c>
      <c r="C346" s="269">
        <v>54.524189927205562</v>
      </c>
      <c r="D346" s="269">
        <v>128.70213492494773</v>
      </c>
      <c r="E346" s="177">
        <f t="shared" si="10"/>
        <v>54.524189927205562</v>
      </c>
      <c r="F346" s="199" t="str">
        <f t="shared" si="11"/>
        <v/>
      </c>
    </row>
    <row r="347" spans="1:7">
      <c r="A347">
        <v>344</v>
      </c>
      <c r="B347" s="46">
        <v>44631</v>
      </c>
      <c r="C347" s="269">
        <v>60.358437955205559</v>
      </c>
      <c r="D347" s="269">
        <v>128.70213492494773</v>
      </c>
      <c r="E347" s="177">
        <f t="shared" si="10"/>
        <v>60.358437955205559</v>
      </c>
      <c r="F347" s="199" t="str">
        <f t="shared" si="11"/>
        <v/>
      </c>
    </row>
    <row r="348" spans="1:7">
      <c r="A348">
        <v>345</v>
      </c>
      <c r="B348" s="46">
        <v>44632</v>
      </c>
      <c r="C348" s="269">
        <v>58.907009285206492</v>
      </c>
      <c r="D348" s="269">
        <v>128.70213492494773</v>
      </c>
      <c r="E348" s="177">
        <f t="shared" si="10"/>
        <v>58.907009285206492</v>
      </c>
      <c r="F348" s="199" t="str">
        <f t="shared" si="11"/>
        <v/>
      </c>
    </row>
    <row r="349" spans="1:7">
      <c r="A349">
        <v>346</v>
      </c>
      <c r="B349" s="46">
        <v>44633</v>
      </c>
      <c r="C349" s="269">
        <v>60.282320731206489</v>
      </c>
      <c r="D349" s="269">
        <v>128.70213492494773</v>
      </c>
      <c r="E349" s="177">
        <f t="shared" si="10"/>
        <v>60.282320731206489</v>
      </c>
      <c r="F349" s="199" t="str">
        <f t="shared" si="11"/>
        <v/>
      </c>
    </row>
    <row r="350" spans="1:7">
      <c r="A350">
        <v>347</v>
      </c>
      <c r="B350" s="46">
        <v>44634</v>
      </c>
      <c r="C350" s="269">
        <v>63.400843503205557</v>
      </c>
      <c r="D350" s="269">
        <v>128.70213492494773</v>
      </c>
      <c r="E350" s="177">
        <f t="shared" si="10"/>
        <v>63.400843503205557</v>
      </c>
      <c r="F350" s="199" t="str">
        <f t="shared" si="11"/>
        <v/>
      </c>
    </row>
    <row r="351" spans="1:7">
      <c r="A351">
        <v>348</v>
      </c>
      <c r="B351" s="46">
        <v>44635</v>
      </c>
      <c r="C351" s="269">
        <v>88.450601825206491</v>
      </c>
      <c r="D351" s="269">
        <v>128.70213492494773</v>
      </c>
      <c r="E351" s="177">
        <f t="shared" si="10"/>
        <v>88.450601825206491</v>
      </c>
      <c r="F351" s="199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>M</v>
      </c>
      <c r="G351" s="200">
        <f>IF(DAY(B351)=15,D351,"")</f>
        <v>128.70213492494773</v>
      </c>
    </row>
    <row r="352" spans="1:7">
      <c r="A352">
        <v>349</v>
      </c>
      <c r="B352" s="46">
        <v>44636</v>
      </c>
      <c r="C352" s="269">
        <v>105.66707078317859</v>
      </c>
      <c r="D352" s="269">
        <v>128.70213492494773</v>
      </c>
      <c r="E352" s="177">
        <f t="shared" si="10"/>
        <v>105.66707078317859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6">
      <c r="A353">
        <v>350</v>
      </c>
      <c r="B353" s="46">
        <v>44637</v>
      </c>
      <c r="C353" s="269">
        <v>76.224160777176735</v>
      </c>
      <c r="D353" s="269">
        <v>128.70213492494773</v>
      </c>
      <c r="E353" s="177">
        <f t="shared" si="10"/>
        <v>76.224160777176735</v>
      </c>
      <c r="F353" s="199" t="str">
        <f t="shared" si="11"/>
        <v/>
      </c>
    </row>
    <row r="354" spans="1:6">
      <c r="A354">
        <v>351</v>
      </c>
      <c r="B354" s="46">
        <v>44638</v>
      </c>
      <c r="C354" s="269">
        <v>83.524895599177654</v>
      </c>
      <c r="D354" s="269">
        <v>128.70213492494773</v>
      </c>
      <c r="E354" s="177">
        <f t="shared" si="10"/>
        <v>83.524895599177654</v>
      </c>
      <c r="F354" s="199" t="str">
        <f t="shared" si="11"/>
        <v/>
      </c>
    </row>
    <row r="355" spans="1:6">
      <c r="A355">
        <v>352</v>
      </c>
      <c r="B355" s="46">
        <v>44639</v>
      </c>
      <c r="C355" s="269">
        <v>72.561059351177647</v>
      </c>
      <c r="D355" s="269">
        <v>128.70213492494773</v>
      </c>
      <c r="E355" s="177">
        <f t="shared" si="10"/>
        <v>72.561059351177647</v>
      </c>
      <c r="F355" s="199" t="str">
        <f t="shared" si="11"/>
        <v/>
      </c>
    </row>
    <row r="356" spans="1:6">
      <c r="A356">
        <v>353</v>
      </c>
      <c r="B356" s="46">
        <v>44640</v>
      </c>
      <c r="C356" s="269">
        <v>60.778006783177652</v>
      </c>
      <c r="D356" s="269">
        <v>128.70213492494773</v>
      </c>
      <c r="E356" s="177">
        <f t="shared" si="10"/>
        <v>60.778006783177652</v>
      </c>
      <c r="F356" s="199" t="str">
        <f t="shared" si="11"/>
        <v/>
      </c>
    </row>
    <row r="357" spans="1:6">
      <c r="A357">
        <v>354</v>
      </c>
      <c r="B357" s="46">
        <v>44641</v>
      </c>
      <c r="C357" s="269">
        <v>62.648989147177659</v>
      </c>
      <c r="D357" s="269">
        <v>128.70213492494773</v>
      </c>
      <c r="E357" s="177">
        <f t="shared" si="10"/>
        <v>62.648989147177659</v>
      </c>
      <c r="F357" s="199" t="str">
        <f t="shared" si="11"/>
        <v/>
      </c>
    </row>
    <row r="358" spans="1:6">
      <c r="A358">
        <v>355</v>
      </c>
      <c r="B358" s="46">
        <v>44642</v>
      </c>
      <c r="C358" s="269">
        <v>70.72932556117766</v>
      </c>
      <c r="D358" s="269">
        <v>128.70213492494773</v>
      </c>
      <c r="E358" s="177">
        <f t="shared" si="10"/>
        <v>70.72932556117766</v>
      </c>
      <c r="F358" s="199" t="str">
        <f t="shared" si="11"/>
        <v/>
      </c>
    </row>
    <row r="359" spans="1:6">
      <c r="A359">
        <v>356</v>
      </c>
      <c r="B359" s="46">
        <v>44643</v>
      </c>
      <c r="C359" s="269">
        <v>95.725654922288953</v>
      </c>
      <c r="D359" s="269">
        <v>128.70213492494773</v>
      </c>
      <c r="E359" s="177">
        <f t="shared" si="10"/>
        <v>95.725654922288953</v>
      </c>
      <c r="F359" s="199" t="str">
        <f t="shared" si="11"/>
        <v/>
      </c>
    </row>
    <row r="360" spans="1:6">
      <c r="A360">
        <v>357</v>
      </c>
      <c r="B360" s="46">
        <v>44644</v>
      </c>
      <c r="C360" s="269">
        <v>108.49786118828989</v>
      </c>
      <c r="D360" s="269">
        <v>128.70213492494773</v>
      </c>
      <c r="E360" s="177">
        <f t="shared" si="10"/>
        <v>108.49786118828989</v>
      </c>
      <c r="F360" s="199" t="str">
        <f t="shared" si="11"/>
        <v/>
      </c>
    </row>
    <row r="361" spans="1:6">
      <c r="A361">
        <v>358</v>
      </c>
      <c r="B361" s="46">
        <v>44645</v>
      </c>
      <c r="C361" s="269">
        <v>101.05909937829082</v>
      </c>
      <c r="D361" s="269">
        <v>128.70213492494773</v>
      </c>
      <c r="E361" s="177">
        <f t="shared" si="10"/>
        <v>101.05909937829082</v>
      </c>
      <c r="F361" s="199" t="str">
        <f t="shared" si="11"/>
        <v/>
      </c>
    </row>
    <row r="362" spans="1:6">
      <c r="A362">
        <v>359</v>
      </c>
      <c r="B362" s="46">
        <v>44646</v>
      </c>
      <c r="C362" s="269">
        <v>96.864451272288946</v>
      </c>
      <c r="D362" s="269">
        <v>128.70213492494773</v>
      </c>
      <c r="E362" s="177">
        <f t="shared" si="10"/>
        <v>96.864451272288946</v>
      </c>
      <c r="F362" s="199" t="str">
        <f t="shared" si="11"/>
        <v/>
      </c>
    </row>
    <row r="363" spans="1:6">
      <c r="A363">
        <v>360</v>
      </c>
      <c r="B363" s="46">
        <v>44647</v>
      </c>
      <c r="C363" s="269">
        <v>75.323436546289884</v>
      </c>
      <c r="D363" s="269">
        <v>128.70213492494773</v>
      </c>
      <c r="E363" s="177">
        <f t="shared" si="10"/>
        <v>75.323436546289884</v>
      </c>
      <c r="F363" s="199" t="str">
        <f t="shared" si="11"/>
        <v/>
      </c>
    </row>
    <row r="364" spans="1:6">
      <c r="A364">
        <v>361</v>
      </c>
      <c r="B364" s="46">
        <v>44648</v>
      </c>
      <c r="C364" s="269">
        <v>87.279854582288948</v>
      </c>
      <c r="D364" s="269">
        <v>128.70213492494773</v>
      </c>
      <c r="E364" s="177">
        <f t="shared" si="10"/>
        <v>87.279854582288948</v>
      </c>
      <c r="F364" s="199" t="str">
        <f t="shared" si="11"/>
        <v/>
      </c>
    </row>
    <row r="365" spans="1:6">
      <c r="A365">
        <v>362</v>
      </c>
      <c r="B365" s="46">
        <v>44649</v>
      </c>
      <c r="C365" s="269">
        <v>99.326811372289882</v>
      </c>
      <c r="D365" s="269">
        <v>128.70213492494773</v>
      </c>
      <c r="E365" s="177">
        <f t="shared" si="10"/>
        <v>99.326811372289882</v>
      </c>
      <c r="F365" s="199" t="str">
        <f t="shared" si="11"/>
        <v/>
      </c>
    </row>
    <row r="366" spans="1:6">
      <c r="A366">
        <v>363</v>
      </c>
      <c r="B366" s="46">
        <v>44650</v>
      </c>
      <c r="C366" s="269">
        <v>76.055107751458621</v>
      </c>
      <c r="D366" s="269">
        <v>128.70213492494773</v>
      </c>
      <c r="E366" s="177">
        <f t="shared" si="10"/>
        <v>76.055107751458621</v>
      </c>
      <c r="F366" s="199" t="str">
        <f t="shared" si="11"/>
        <v/>
      </c>
    </row>
    <row r="367" spans="1:6">
      <c r="A367">
        <v>364</v>
      </c>
      <c r="B367" s="46">
        <v>44651</v>
      </c>
      <c r="C367" s="269">
        <v>77.66716020745676</v>
      </c>
      <c r="D367" s="269">
        <v>128.70213492494773</v>
      </c>
      <c r="E367" s="177">
        <f t="shared" si="10"/>
        <v>77.66716020745676</v>
      </c>
      <c r="F367" s="199" t="str">
        <f t="shared" si="11"/>
        <v/>
      </c>
    </row>
    <row r="368" spans="1:6">
      <c r="A368">
        <v>365</v>
      </c>
      <c r="B368" s="46">
        <v>44652</v>
      </c>
      <c r="C368" s="269">
        <v>78.825242601457688</v>
      </c>
      <c r="D368" s="269">
        <v>125.24455872987446</v>
      </c>
      <c r="E368" s="177">
        <f t="shared" si="10"/>
        <v>78.825242601457688</v>
      </c>
      <c r="F368" s="199" t="str">
        <f t="shared" si="11"/>
        <v/>
      </c>
    </row>
    <row r="369" spans="1:7">
      <c r="A369">
        <v>366</v>
      </c>
      <c r="B369" s="46">
        <v>44653</v>
      </c>
      <c r="C369" s="269">
        <v>63.034154265456756</v>
      </c>
      <c r="D369" s="269">
        <v>125.24455872987446</v>
      </c>
      <c r="E369" s="177">
        <f t="shared" si="10"/>
        <v>63.034154265456756</v>
      </c>
      <c r="F369" s="199" t="str">
        <f t="shared" si="11"/>
        <v/>
      </c>
    </row>
    <row r="370" spans="1:7">
      <c r="A370">
        <v>367</v>
      </c>
      <c r="B370" s="46">
        <v>44654</v>
      </c>
      <c r="C370" s="269">
        <v>52.061649857457681</v>
      </c>
      <c r="D370" s="269">
        <v>125.24455872987446</v>
      </c>
      <c r="E370" s="177">
        <f t="shared" si="10"/>
        <v>52.061649857457681</v>
      </c>
      <c r="F370" s="199" t="str">
        <f t="shared" si="11"/>
        <v/>
      </c>
    </row>
    <row r="371" spans="1:7">
      <c r="A371">
        <v>368</v>
      </c>
      <c r="B371" s="46">
        <v>44655</v>
      </c>
      <c r="C371" s="269">
        <v>70.827523007457685</v>
      </c>
      <c r="D371" s="269">
        <v>125.24455872987446</v>
      </c>
      <c r="E371" s="177">
        <f t="shared" si="10"/>
        <v>70.827523007457685</v>
      </c>
      <c r="F371" s="199" t="str">
        <f t="shared" si="11"/>
        <v/>
      </c>
    </row>
    <row r="372" spans="1:7">
      <c r="A372">
        <v>369</v>
      </c>
      <c r="B372" s="46">
        <v>44656</v>
      </c>
      <c r="C372" s="269">
        <v>95.343797031456745</v>
      </c>
      <c r="D372" s="269">
        <v>125.24455872987446</v>
      </c>
      <c r="E372" s="177">
        <f t="shared" si="10"/>
        <v>95.343797031456745</v>
      </c>
      <c r="F372" s="199" t="str">
        <f t="shared" si="11"/>
        <v/>
      </c>
    </row>
    <row r="373" spans="1:7">
      <c r="A373">
        <v>370</v>
      </c>
      <c r="B373" s="46">
        <v>44657</v>
      </c>
      <c r="C373" s="269">
        <v>75.57479875345723</v>
      </c>
      <c r="D373" s="269">
        <v>125.24455872987446</v>
      </c>
      <c r="E373" s="177">
        <f t="shared" si="10"/>
        <v>75.57479875345723</v>
      </c>
      <c r="F373" s="199" t="str">
        <f t="shared" si="11"/>
        <v/>
      </c>
    </row>
    <row r="374" spans="1:7">
      <c r="A374">
        <v>371</v>
      </c>
      <c r="B374" s="46">
        <v>44658</v>
      </c>
      <c r="C374" s="269">
        <v>55.234117899457232</v>
      </c>
      <c r="D374" s="269">
        <v>125.24455872987446</v>
      </c>
      <c r="E374" s="177">
        <f t="shared" si="10"/>
        <v>55.234117899457232</v>
      </c>
      <c r="F374" s="199" t="str">
        <f t="shared" si="11"/>
        <v/>
      </c>
    </row>
    <row r="375" spans="1:7">
      <c r="A375">
        <v>372</v>
      </c>
      <c r="B375" s="46">
        <v>44659</v>
      </c>
      <c r="C375" s="269">
        <v>51.787023833460026</v>
      </c>
      <c r="D375" s="269">
        <v>125.24455872987446</v>
      </c>
      <c r="E375" s="177">
        <f t="shared" si="10"/>
        <v>51.787023833460026</v>
      </c>
      <c r="F375" s="199" t="str">
        <f t="shared" si="11"/>
        <v/>
      </c>
    </row>
    <row r="376" spans="1:7">
      <c r="A376">
        <v>373</v>
      </c>
      <c r="B376" s="46">
        <v>44660</v>
      </c>
      <c r="C376" s="269">
        <v>69.790241067457231</v>
      </c>
      <c r="D376" s="269">
        <v>125.24455872987446</v>
      </c>
      <c r="E376" s="177">
        <f t="shared" si="10"/>
        <v>69.790241067457231</v>
      </c>
      <c r="F376" s="199" t="str">
        <f t="shared" si="11"/>
        <v/>
      </c>
    </row>
    <row r="377" spans="1:7">
      <c r="A377">
        <v>374</v>
      </c>
      <c r="B377" s="46">
        <v>44661</v>
      </c>
      <c r="C377" s="269">
        <v>39.912614189456306</v>
      </c>
      <c r="D377" s="269">
        <v>125.24455872987446</v>
      </c>
      <c r="E377" s="177">
        <f t="shared" si="10"/>
        <v>39.912614189456306</v>
      </c>
      <c r="F377" s="199" t="str">
        <f t="shared" si="11"/>
        <v/>
      </c>
    </row>
    <row r="378" spans="1:7">
      <c r="A378">
        <v>375</v>
      </c>
      <c r="B378" s="46">
        <v>44662</v>
      </c>
      <c r="C378" s="269">
        <v>45.789658089458165</v>
      </c>
      <c r="D378" s="269">
        <v>125.24455872987446</v>
      </c>
      <c r="E378" s="177">
        <f t="shared" si="10"/>
        <v>45.789658089458165</v>
      </c>
      <c r="F378" s="199" t="str">
        <f t="shared" si="11"/>
        <v/>
      </c>
    </row>
    <row r="379" spans="1:7">
      <c r="A379">
        <v>376</v>
      </c>
      <c r="B379" s="46">
        <v>44663</v>
      </c>
      <c r="C379" s="269">
        <v>72.02169132545724</v>
      </c>
      <c r="D379" s="269">
        <v>125.24455872987446</v>
      </c>
      <c r="E379" s="177">
        <f t="shared" si="10"/>
        <v>72.02169132545724</v>
      </c>
      <c r="F379" s="199" t="str">
        <f t="shared" si="11"/>
        <v/>
      </c>
    </row>
    <row r="380" spans="1:7">
      <c r="A380">
        <v>377</v>
      </c>
      <c r="B380" s="46">
        <v>44664</v>
      </c>
      <c r="C380" s="269">
        <v>95.952041481449186</v>
      </c>
      <c r="D380" s="269">
        <v>125.24455872987446</v>
      </c>
      <c r="E380" s="177">
        <f t="shared" si="10"/>
        <v>95.952041481449186</v>
      </c>
      <c r="F380" s="199" t="str">
        <f t="shared" si="11"/>
        <v/>
      </c>
    </row>
    <row r="381" spans="1:7">
      <c r="A381">
        <v>378</v>
      </c>
      <c r="B381" s="46">
        <v>44665</v>
      </c>
      <c r="C381" s="269">
        <v>80.311370453449172</v>
      </c>
      <c r="D381" s="269">
        <v>125.24455872987446</v>
      </c>
      <c r="E381" s="177">
        <f t="shared" si="10"/>
        <v>80.311370453449172</v>
      </c>
      <c r="F381" s="199" t="str">
        <f t="shared" si="11"/>
        <v/>
      </c>
    </row>
    <row r="382" spans="1:7">
      <c r="A382">
        <v>379</v>
      </c>
      <c r="B382" s="46">
        <v>44666</v>
      </c>
      <c r="C382" s="269">
        <v>73.780836233448241</v>
      </c>
      <c r="D382" s="269">
        <v>125.24455872987446</v>
      </c>
      <c r="E382" s="177">
        <f t="shared" si="10"/>
        <v>73.780836233448241</v>
      </c>
      <c r="F382" s="199" t="str">
        <f t="shared" si="11"/>
        <v>A</v>
      </c>
      <c r="G382" s="200">
        <f>IF(DAY(B382)=15,D382,"")</f>
        <v>125.24455872987446</v>
      </c>
    </row>
    <row r="383" spans="1:7">
      <c r="A383">
        <v>380</v>
      </c>
      <c r="B383" s="46">
        <v>44667</v>
      </c>
      <c r="C383" s="269">
        <v>64.537926637449175</v>
      </c>
      <c r="D383" s="269">
        <v>125.24455872987446</v>
      </c>
      <c r="E383" s="177">
        <f t="shared" si="10"/>
        <v>64.537926637449175</v>
      </c>
      <c r="F383" s="199" t="str">
        <f t="shared" si="11"/>
        <v/>
      </c>
    </row>
    <row r="384" spans="1:7">
      <c r="A384">
        <v>381</v>
      </c>
      <c r="B384" s="46">
        <v>44668</v>
      </c>
      <c r="C384" s="269">
        <v>71.863747119449172</v>
      </c>
      <c r="D384" s="269">
        <v>125.24455872987446</v>
      </c>
      <c r="E384" s="177">
        <f t="shared" si="10"/>
        <v>71.863747119449172</v>
      </c>
      <c r="F384" s="199" t="str">
        <f t="shared" si="11"/>
        <v/>
      </c>
    </row>
    <row r="385" spans="1:6">
      <c r="A385">
        <v>382</v>
      </c>
      <c r="B385" s="46">
        <v>44669</v>
      </c>
      <c r="C385" s="269">
        <v>78.581595269448243</v>
      </c>
      <c r="D385" s="269">
        <v>125.24455872987446</v>
      </c>
      <c r="E385" s="177">
        <f t="shared" si="10"/>
        <v>78.581595269448243</v>
      </c>
      <c r="F385" s="199" t="str">
        <f t="shared" si="11"/>
        <v/>
      </c>
    </row>
    <row r="386" spans="1:6">
      <c r="A386">
        <v>383</v>
      </c>
      <c r="B386" s="46">
        <v>44670</v>
      </c>
      <c r="C386" s="269">
        <v>82.190099059450105</v>
      </c>
      <c r="D386" s="269">
        <v>125.24455872987446</v>
      </c>
      <c r="E386" s="177">
        <f t="shared" si="10"/>
        <v>82.190099059450105</v>
      </c>
      <c r="F386" s="199" t="str">
        <f t="shared" si="11"/>
        <v/>
      </c>
    </row>
    <row r="387" spans="1:6">
      <c r="A387">
        <v>384</v>
      </c>
      <c r="B387" s="46">
        <v>44671</v>
      </c>
      <c r="C387" s="269">
        <v>90.730093421669949</v>
      </c>
      <c r="D387" s="269">
        <v>125.24455872987446</v>
      </c>
      <c r="E387" s="177">
        <f t="shared" si="10"/>
        <v>90.730093421669949</v>
      </c>
      <c r="F387" s="199" t="str">
        <f t="shared" si="11"/>
        <v/>
      </c>
    </row>
    <row r="388" spans="1:6">
      <c r="A388">
        <v>385</v>
      </c>
      <c r="B388" s="46">
        <v>44672</v>
      </c>
      <c r="C388" s="269">
        <v>106.74601708966996</v>
      </c>
      <c r="D388" s="269">
        <v>125.24455872987446</v>
      </c>
      <c r="E388" s="177">
        <f t="shared" ref="E388:E395" si="12">IF(C388&lt;D388,C388,D388)</f>
        <v>106.74601708966996</v>
      </c>
      <c r="F388" s="199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44673</v>
      </c>
      <c r="C389" s="269">
        <v>109.08168919367088</v>
      </c>
      <c r="D389" s="269">
        <v>125.24455872987446</v>
      </c>
      <c r="E389" s="177">
        <f t="shared" si="12"/>
        <v>109.08168919367088</v>
      </c>
      <c r="F389" s="199" t="str">
        <f t="shared" si="13"/>
        <v/>
      </c>
    </row>
    <row r="390" spans="1:6">
      <c r="A390">
        <v>387</v>
      </c>
      <c r="B390" s="46">
        <v>44674</v>
      </c>
      <c r="C390" s="269">
        <v>78.589170011670888</v>
      </c>
      <c r="D390" s="269">
        <v>125.24455872987446</v>
      </c>
      <c r="E390" s="177">
        <f t="shared" si="12"/>
        <v>78.589170011670888</v>
      </c>
      <c r="F390" s="199" t="str">
        <f t="shared" si="13"/>
        <v/>
      </c>
    </row>
    <row r="391" spans="1:6">
      <c r="A391">
        <v>388</v>
      </c>
      <c r="B391" s="46">
        <v>44675</v>
      </c>
      <c r="C391" s="269">
        <v>90.840917781669958</v>
      </c>
      <c r="D391" s="269">
        <v>125.24455872987446</v>
      </c>
      <c r="E391" s="177">
        <f t="shared" si="12"/>
        <v>90.840917781669958</v>
      </c>
      <c r="F391" s="199" t="str">
        <f t="shared" si="13"/>
        <v/>
      </c>
    </row>
    <row r="392" spans="1:6">
      <c r="A392">
        <v>389</v>
      </c>
      <c r="B392" s="46">
        <v>44676</v>
      </c>
      <c r="C392" s="269">
        <v>100.75999283766902</v>
      </c>
      <c r="D392" s="269">
        <v>125.24455872987446</v>
      </c>
      <c r="E392" s="177">
        <f t="shared" si="12"/>
        <v>100.75999283766902</v>
      </c>
      <c r="F392" s="199" t="str">
        <f t="shared" si="13"/>
        <v/>
      </c>
    </row>
    <row r="393" spans="1:6">
      <c r="A393">
        <v>390</v>
      </c>
      <c r="B393" s="46">
        <v>44677</v>
      </c>
      <c r="C393" s="269">
        <v>103.79739729367088</v>
      </c>
      <c r="D393" s="269">
        <v>125.24455872987446</v>
      </c>
      <c r="E393" s="177">
        <f t="shared" si="12"/>
        <v>103.79739729367088</v>
      </c>
      <c r="F393" s="199" t="str">
        <f t="shared" si="13"/>
        <v/>
      </c>
    </row>
    <row r="394" spans="1:6">
      <c r="A394">
        <v>391</v>
      </c>
      <c r="B394" s="46">
        <v>44678</v>
      </c>
      <c r="C394" s="269">
        <v>98.840254420552697</v>
      </c>
      <c r="D394" s="269">
        <v>125.24455872987446</v>
      </c>
      <c r="E394" s="177">
        <f t="shared" si="12"/>
        <v>98.840254420552697</v>
      </c>
      <c r="F394" s="199" t="str">
        <f t="shared" si="13"/>
        <v/>
      </c>
    </row>
    <row r="395" spans="1:6">
      <c r="A395">
        <v>392</v>
      </c>
      <c r="B395" s="46">
        <v>44679</v>
      </c>
      <c r="C395" s="269">
        <v>113.81131618455083</v>
      </c>
      <c r="D395" s="269">
        <v>125.24455872987446</v>
      </c>
      <c r="E395" s="177">
        <f t="shared" si="12"/>
        <v>113.81131618455083</v>
      </c>
      <c r="F395" s="199" t="str">
        <f t="shared" si="13"/>
        <v/>
      </c>
    </row>
    <row r="396" spans="1:6">
      <c r="A396">
        <v>393</v>
      </c>
      <c r="B396" s="46">
        <v>44680</v>
      </c>
      <c r="C396" s="269">
        <v>117.57543488055269</v>
      </c>
      <c r="D396" s="269">
        <v>125.24455872987446</v>
      </c>
      <c r="E396" s="177">
        <f t="shared" ref="E396:E397" si="14">IF(C396&lt;D396,C396,D396)</f>
        <v>117.57543488055269</v>
      </c>
      <c r="F396" s="199" t="str">
        <f t="shared" si="13"/>
        <v/>
      </c>
    </row>
    <row r="397" spans="1:6">
      <c r="A397">
        <v>394</v>
      </c>
      <c r="B397" s="46">
        <v>44681</v>
      </c>
      <c r="C397" s="269">
        <v>104.47230393055364</v>
      </c>
      <c r="D397" s="269">
        <v>125.24455872987446</v>
      </c>
      <c r="E397" s="177">
        <f t="shared" si="14"/>
        <v>104.47230393055364</v>
      </c>
      <c r="F397" s="199" t="str">
        <f t="shared" si="13"/>
        <v/>
      </c>
    </row>
    <row r="398" spans="1:6">
      <c r="B398" s="46"/>
      <c r="C398" s="269"/>
      <c r="D398" s="269"/>
      <c r="E398" s="177"/>
      <c r="F398" s="199" t="str">
        <f t="shared" si="13"/>
        <v/>
      </c>
    </row>
    <row r="399" spans="1:6">
      <c r="B399" s="46"/>
      <c r="C399" s="269"/>
      <c r="D399" s="269"/>
      <c r="E399" s="177"/>
      <c r="F399" s="199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5"/>
        <v/>
      </c>
    </row>
    <row r="401" spans="3:7">
      <c r="C401" s="177" t="s">
        <v>148</v>
      </c>
      <c r="D401" s="177" t="s">
        <v>148</v>
      </c>
      <c r="E401" s="177" t="str">
        <f t="shared" ref="E401:E451" si="16">IF(C401&lt;D401,C401,D401)</f>
        <v/>
      </c>
      <c r="F401" s="199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148</v>
      </c>
      <c r="D402" s="177" t="s">
        <v>148</v>
      </c>
      <c r="E402" s="177" t="str">
        <f t="shared" si="16"/>
        <v/>
      </c>
      <c r="F402" s="199" t="str">
        <f t="shared" si="17"/>
        <v/>
      </c>
    </row>
    <row r="403" spans="3:7">
      <c r="C403" s="177" t="s">
        <v>148</v>
      </c>
      <c r="D403" s="177" t="s">
        <v>148</v>
      </c>
      <c r="E403" s="177" t="str">
        <f t="shared" si="16"/>
        <v/>
      </c>
      <c r="F403" s="199" t="str">
        <f t="shared" si="17"/>
        <v/>
      </c>
    </row>
    <row r="404" spans="3:7">
      <c r="C404" s="177" t="s">
        <v>148</v>
      </c>
      <c r="D404" s="177" t="s">
        <v>148</v>
      </c>
      <c r="E404" s="177" t="str">
        <f t="shared" si="16"/>
        <v/>
      </c>
      <c r="F404" s="199" t="str">
        <f t="shared" si="17"/>
        <v/>
      </c>
    </row>
    <row r="405" spans="3:7">
      <c r="C405" s="177" t="s">
        <v>148</v>
      </c>
      <c r="D405" s="177" t="s">
        <v>148</v>
      </c>
      <c r="E405" s="177" t="str">
        <f t="shared" si="16"/>
        <v/>
      </c>
      <c r="F405" s="199" t="str">
        <f t="shared" si="17"/>
        <v/>
      </c>
    </row>
    <row r="406" spans="3:7">
      <c r="C406" s="177" t="s">
        <v>148</v>
      </c>
      <c r="D406" s="177" t="s">
        <v>148</v>
      </c>
      <c r="E406" s="177" t="str">
        <f t="shared" si="16"/>
        <v/>
      </c>
      <c r="F406" s="199" t="str">
        <f t="shared" si="17"/>
        <v/>
      </c>
    </row>
    <row r="407" spans="3:7">
      <c r="C407" s="177" t="s">
        <v>148</v>
      </c>
      <c r="D407" s="177" t="s">
        <v>148</v>
      </c>
      <c r="E407" s="177" t="str">
        <f t="shared" si="16"/>
        <v/>
      </c>
      <c r="F407" s="199" t="str">
        <f t="shared" si="17"/>
        <v/>
      </c>
    </row>
    <row r="408" spans="3:7">
      <c r="C408" s="177" t="s">
        <v>148</v>
      </c>
      <c r="D408" s="177" t="s">
        <v>148</v>
      </c>
      <c r="E408" s="177" t="str">
        <f t="shared" si="16"/>
        <v/>
      </c>
      <c r="F408" s="199" t="str">
        <f t="shared" si="17"/>
        <v/>
      </c>
    </row>
    <row r="409" spans="3:7">
      <c r="C409" s="177" t="s">
        <v>148</v>
      </c>
      <c r="D409" s="177" t="s">
        <v>148</v>
      </c>
      <c r="E409" s="177" t="str">
        <f t="shared" si="16"/>
        <v/>
      </c>
      <c r="F409" s="199" t="str">
        <f t="shared" si="17"/>
        <v/>
      </c>
    </row>
    <row r="410" spans="3:7">
      <c r="C410" s="177" t="s">
        <v>148</v>
      </c>
      <c r="D410" s="177" t="s">
        <v>148</v>
      </c>
      <c r="E410" s="177" t="str">
        <f t="shared" si="16"/>
        <v/>
      </c>
      <c r="F410" s="199" t="str">
        <f t="shared" si="17"/>
        <v/>
      </c>
    </row>
    <row r="411" spans="3:7">
      <c r="C411" s="177" t="s">
        <v>148</v>
      </c>
      <c r="D411" s="177" t="s">
        <v>148</v>
      </c>
      <c r="E411" s="177" t="str">
        <f t="shared" si="16"/>
        <v/>
      </c>
      <c r="F411" s="199" t="str">
        <f t="shared" si="17"/>
        <v/>
      </c>
    </row>
    <row r="412" spans="3:7">
      <c r="C412" s="177" t="s">
        <v>148</v>
      </c>
      <c r="D412" s="177" t="s">
        <v>148</v>
      </c>
      <c r="E412" s="177" t="str">
        <f t="shared" si="16"/>
        <v/>
      </c>
      <c r="F412" s="199" t="str">
        <f t="shared" si="17"/>
        <v/>
      </c>
      <c r="G412" s="200" t="str">
        <f t="shared" ref="G412" si="18">IF(DAY(B412)=15,D412,"")</f>
        <v/>
      </c>
    </row>
    <row r="413" spans="3:7">
      <c r="C413" s="177" t="s">
        <v>148</v>
      </c>
      <c r="D413" s="177" t="s">
        <v>148</v>
      </c>
      <c r="E413" s="177" t="str">
        <f t="shared" si="16"/>
        <v/>
      </c>
    </row>
    <row r="414" spans="3:7">
      <c r="C414" s="177" t="s">
        <v>148</v>
      </c>
      <c r="D414" s="177" t="s">
        <v>148</v>
      </c>
      <c r="E414" s="177" t="str">
        <f t="shared" si="16"/>
        <v/>
      </c>
    </row>
    <row r="415" spans="3:7">
      <c r="C415" s="177" t="s">
        <v>148</v>
      </c>
      <c r="D415" s="177" t="s">
        <v>148</v>
      </c>
      <c r="E415" s="177" t="str">
        <f t="shared" si="16"/>
        <v/>
      </c>
    </row>
    <row r="416" spans="3:7">
      <c r="C416" s="177" t="s">
        <v>148</v>
      </c>
      <c r="D416" s="177" t="s">
        <v>148</v>
      </c>
      <c r="E416" s="177" t="str">
        <f t="shared" si="16"/>
        <v/>
      </c>
    </row>
    <row r="417" spans="3:5">
      <c r="C417" s="177" t="s">
        <v>148</v>
      </c>
      <c r="D417" s="177" t="s">
        <v>148</v>
      </c>
      <c r="E417" s="177" t="str">
        <f t="shared" si="16"/>
        <v/>
      </c>
    </row>
    <row r="418" spans="3:5">
      <c r="C418" s="177" t="s">
        <v>148</v>
      </c>
      <c r="D418" s="177" t="s">
        <v>148</v>
      </c>
      <c r="E418" s="177" t="str">
        <f t="shared" si="16"/>
        <v/>
      </c>
    </row>
    <row r="419" spans="3:5">
      <c r="C419" s="177" t="s">
        <v>148</v>
      </c>
      <c r="D419" s="177" t="s">
        <v>148</v>
      </c>
      <c r="E419" s="177" t="str">
        <f t="shared" si="16"/>
        <v/>
      </c>
    </row>
    <row r="420" spans="3:5">
      <c r="C420" s="177" t="s">
        <v>148</v>
      </c>
      <c r="D420" s="177" t="s">
        <v>148</v>
      </c>
      <c r="E420" s="177" t="str">
        <f t="shared" si="16"/>
        <v/>
      </c>
    </row>
    <row r="421" spans="3:5">
      <c r="C421" s="177" t="s">
        <v>148</v>
      </c>
      <c r="D421" s="177" t="s">
        <v>148</v>
      </c>
      <c r="E421" s="177" t="str">
        <f t="shared" si="16"/>
        <v/>
      </c>
    </row>
    <row r="422" spans="3:5">
      <c r="C422" s="177" t="s">
        <v>148</v>
      </c>
      <c r="D422" s="177" t="s">
        <v>148</v>
      </c>
      <c r="E422" s="177" t="str">
        <f t="shared" si="16"/>
        <v/>
      </c>
    </row>
    <row r="423" spans="3:5">
      <c r="C423" s="177" t="s">
        <v>148</v>
      </c>
      <c r="D423" s="177" t="s">
        <v>148</v>
      </c>
      <c r="E423" s="177" t="str">
        <f t="shared" si="16"/>
        <v/>
      </c>
    </row>
    <row r="424" spans="3:5">
      <c r="C424" s="177" t="s">
        <v>148</v>
      </c>
      <c r="D424" s="177" t="s">
        <v>148</v>
      </c>
      <c r="E424" s="177" t="str">
        <f t="shared" si="16"/>
        <v/>
      </c>
    </row>
    <row r="425" spans="3:5">
      <c r="C425" s="177" t="s">
        <v>148</v>
      </c>
      <c r="D425" s="177" t="s">
        <v>148</v>
      </c>
      <c r="E425" s="177" t="str">
        <f t="shared" si="16"/>
        <v/>
      </c>
    </row>
    <row r="426" spans="3:5">
      <c r="C426" s="177" t="s">
        <v>148</v>
      </c>
      <c r="D426" s="177" t="s">
        <v>148</v>
      </c>
      <c r="E426" s="177" t="str">
        <f t="shared" si="16"/>
        <v/>
      </c>
    </row>
    <row r="427" spans="3:5">
      <c r="C427" s="177" t="s">
        <v>148</v>
      </c>
      <c r="D427" s="177" t="s">
        <v>148</v>
      </c>
      <c r="E427" s="177" t="str">
        <f t="shared" si="16"/>
        <v/>
      </c>
    </row>
    <row r="428" spans="3:5">
      <c r="C428" s="177" t="s">
        <v>148</v>
      </c>
      <c r="D428" s="177" t="s">
        <v>148</v>
      </c>
      <c r="E428" s="177" t="str">
        <f t="shared" si="16"/>
        <v/>
      </c>
    </row>
    <row r="429" spans="3:5">
      <c r="C429" s="177" t="s">
        <v>148</v>
      </c>
      <c r="D429" s="177" t="s">
        <v>148</v>
      </c>
      <c r="E429" s="177" t="str">
        <f t="shared" si="16"/>
        <v/>
      </c>
    </row>
    <row r="430" spans="3:5">
      <c r="C430" s="177" t="s">
        <v>148</v>
      </c>
      <c r="D430" s="177" t="s">
        <v>148</v>
      </c>
      <c r="E430" s="177" t="str">
        <f t="shared" si="16"/>
        <v/>
      </c>
    </row>
    <row r="431" spans="3:5">
      <c r="C431" s="177" t="s">
        <v>148</v>
      </c>
      <c r="D431" s="177" t="s">
        <v>148</v>
      </c>
      <c r="E431" s="177" t="str">
        <f t="shared" si="16"/>
        <v/>
      </c>
    </row>
    <row r="432" spans="3:5">
      <c r="C432" s="177" t="s">
        <v>148</v>
      </c>
      <c r="D432" s="177" t="s">
        <v>148</v>
      </c>
      <c r="E432" s="177" t="str">
        <f t="shared" si="16"/>
        <v/>
      </c>
    </row>
    <row r="433" spans="3:5">
      <c r="C433" s="177" t="s">
        <v>148</v>
      </c>
      <c r="D433" s="177" t="s">
        <v>148</v>
      </c>
      <c r="E433" s="177" t="str">
        <f t="shared" si="16"/>
        <v/>
      </c>
    </row>
    <row r="434" spans="3:5">
      <c r="C434" s="177" t="s">
        <v>148</v>
      </c>
      <c r="D434" s="177" t="s">
        <v>148</v>
      </c>
      <c r="E434" s="177" t="str">
        <f t="shared" si="16"/>
        <v/>
      </c>
    </row>
    <row r="435" spans="3:5">
      <c r="C435" s="177" t="s">
        <v>148</v>
      </c>
      <c r="D435" s="177" t="s">
        <v>148</v>
      </c>
      <c r="E435" s="177" t="str">
        <f t="shared" si="16"/>
        <v/>
      </c>
    </row>
    <row r="436" spans="3:5">
      <c r="C436" s="177" t="s">
        <v>148</v>
      </c>
      <c r="D436" s="177" t="s">
        <v>148</v>
      </c>
      <c r="E436" s="177" t="str">
        <f t="shared" si="16"/>
        <v/>
      </c>
    </row>
    <row r="437" spans="3:5">
      <c r="C437" s="177" t="s">
        <v>148</v>
      </c>
      <c r="D437" s="177" t="s">
        <v>148</v>
      </c>
      <c r="E437" s="177" t="str">
        <f t="shared" si="16"/>
        <v/>
      </c>
    </row>
    <row r="438" spans="3:5">
      <c r="C438" s="177" t="s">
        <v>148</v>
      </c>
      <c r="D438" s="177" t="s">
        <v>148</v>
      </c>
      <c r="E438" s="177" t="str">
        <f t="shared" si="16"/>
        <v/>
      </c>
    </row>
    <row r="439" spans="3:5">
      <c r="C439" s="177" t="s">
        <v>148</v>
      </c>
      <c r="D439" s="177" t="s">
        <v>148</v>
      </c>
      <c r="E439" s="177" t="str">
        <f t="shared" si="16"/>
        <v/>
      </c>
    </row>
    <row r="440" spans="3:5">
      <c r="C440" s="177" t="s">
        <v>148</v>
      </c>
      <c r="D440" s="177" t="s">
        <v>148</v>
      </c>
      <c r="E440" s="177" t="str">
        <f t="shared" si="16"/>
        <v/>
      </c>
    </row>
    <row r="441" spans="3:5">
      <c r="C441" s="177" t="s">
        <v>148</v>
      </c>
      <c r="D441" s="177" t="s">
        <v>148</v>
      </c>
      <c r="E441" s="177" t="str">
        <f t="shared" si="16"/>
        <v/>
      </c>
    </row>
    <row r="442" spans="3:5">
      <c r="C442" s="177" t="s">
        <v>148</v>
      </c>
      <c r="D442" s="177" t="s">
        <v>148</v>
      </c>
      <c r="E442" s="177" t="str">
        <f t="shared" si="16"/>
        <v/>
      </c>
    </row>
    <row r="443" spans="3:5">
      <c r="C443" s="177" t="s">
        <v>148</v>
      </c>
      <c r="D443" s="177" t="s">
        <v>148</v>
      </c>
      <c r="E443" s="177" t="str">
        <f t="shared" si="16"/>
        <v/>
      </c>
    </row>
    <row r="444" spans="3:5">
      <c r="C444" s="177" t="s">
        <v>148</v>
      </c>
      <c r="D444" s="177" t="s">
        <v>148</v>
      </c>
      <c r="E444" s="177" t="str">
        <f t="shared" si="16"/>
        <v/>
      </c>
    </row>
    <row r="445" spans="3:5">
      <c r="C445" s="177" t="s">
        <v>148</v>
      </c>
      <c r="D445" s="177" t="s">
        <v>148</v>
      </c>
      <c r="E445" s="177" t="str">
        <f t="shared" si="16"/>
        <v/>
      </c>
    </row>
    <row r="446" spans="3:5">
      <c r="C446" s="177" t="s">
        <v>148</v>
      </c>
      <c r="D446" s="177" t="s">
        <v>148</v>
      </c>
      <c r="E446" s="177" t="str">
        <f t="shared" si="16"/>
        <v/>
      </c>
    </row>
    <row r="447" spans="3:5">
      <c r="C447" s="177" t="s">
        <v>148</v>
      </c>
      <c r="D447" s="177" t="s">
        <v>148</v>
      </c>
      <c r="E447" s="177" t="str">
        <f t="shared" si="16"/>
        <v/>
      </c>
    </row>
    <row r="448" spans="3:5">
      <c r="C448" s="177" t="s">
        <v>148</v>
      </c>
      <c r="D448" s="177" t="s">
        <v>148</v>
      </c>
      <c r="E448" s="177" t="str">
        <f t="shared" si="16"/>
        <v/>
      </c>
    </row>
    <row r="449" spans="3:5">
      <c r="C449" s="177" t="s">
        <v>148</v>
      </c>
      <c r="D449" s="177" t="s">
        <v>148</v>
      </c>
      <c r="E449" s="177" t="str">
        <f t="shared" si="16"/>
        <v/>
      </c>
    </row>
    <row r="450" spans="3:5">
      <c r="C450" s="177" t="s">
        <v>148</v>
      </c>
      <c r="D450" s="177" t="s">
        <v>148</v>
      </c>
      <c r="E450" s="177" t="str">
        <f t="shared" si="16"/>
        <v/>
      </c>
    </row>
    <row r="451" spans="3:5">
      <c r="C451" s="177" t="s">
        <v>148</v>
      </c>
      <c r="D451" s="177" t="s">
        <v>148</v>
      </c>
      <c r="E451" s="177" t="str">
        <f t="shared" si="16"/>
        <v/>
      </c>
    </row>
    <row r="452" spans="3:5">
      <c r="C452" s="177" t="s">
        <v>148</v>
      </c>
      <c r="D452" s="177" t="s">
        <v>148</v>
      </c>
      <c r="E452" s="177" t="str">
        <f t="shared" ref="E452:E515" si="19">IF(C452&lt;D452,C452,D452)</f>
        <v/>
      </c>
    </row>
    <row r="453" spans="3:5">
      <c r="C453" s="177" t="s">
        <v>148</v>
      </c>
      <c r="D453" s="177" t="s">
        <v>148</v>
      </c>
      <c r="E453" s="177" t="str">
        <f t="shared" si="19"/>
        <v/>
      </c>
    </row>
    <row r="454" spans="3:5">
      <c r="C454" s="177" t="s">
        <v>148</v>
      </c>
      <c r="D454" s="177" t="s">
        <v>148</v>
      </c>
      <c r="E454" s="177" t="str">
        <f t="shared" si="19"/>
        <v/>
      </c>
    </row>
    <row r="455" spans="3:5">
      <c r="C455" s="177" t="s">
        <v>148</v>
      </c>
      <c r="D455" s="177" t="s">
        <v>148</v>
      </c>
      <c r="E455" s="177" t="str">
        <f t="shared" si="19"/>
        <v/>
      </c>
    </row>
    <row r="456" spans="3:5">
      <c r="C456" s="177" t="s">
        <v>148</v>
      </c>
      <c r="D456" s="177" t="s">
        <v>148</v>
      </c>
      <c r="E456" s="177" t="str">
        <f t="shared" si="19"/>
        <v/>
      </c>
    </row>
    <row r="457" spans="3:5">
      <c r="C457" s="177" t="s">
        <v>148</v>
      </c>
      <c r="D457" s="177" t="s">
        <v>148</v>
      </c>
      <c r="E457" s="177" t="str">
        <f t="shared" si="19"/>
        <v/>
      </c>
    </row>
    <row r="458" spans="3:5">
      <c r="C458" s="177" t="s">
        <v>148</v>
      </c>
      <c r="D458" s="177" t="s">
        <v>148</v>
      </c>
      <c r="E458" s="177" t="str">
        <f t="shared" si="19"/>
        <v/>
      </c>
    </row>
    <row r="459" spans="3:5">
      <c r="C459" s="177" t="s">
        <v>148</v>
      </c>
      <c r="D459" s="177" t="s">
        <v>148</v>
      </c>
      <c r="E459" s="177" t="str">
        <f t="shared" si="19"/>
        <v/>
      </c>
    </row>
    <row r="460" spans="3:5">
      <c r="C460" s="177" t="s">
        <v>148</v>
      </c>
      <c r="D460" s="177" t="s">
        <v>148</v>
      </c>
      <c r="E460" s="177" t="str">
        <f t="shared" si="19"/>
        <v/>
      </c>
    </row>
    <row r="461" spans="3:5">
      <c r="C461" s="177" t="s">
        <v>148</v>
      </c>
      <c r="D461" s="177" t="s">
        <v>148</v>
      </c>
      <c r="E461" s="177" t="str">
        <f t="shared" si="19"/>
        <v/>
      </c>
    </row>
    <row r="462" spans="3:5">
      <c r="C462" s="177" t="s">
        <v>148</v>
      </c>
      <c r="D462" s="177" t="s">
        <v>148</v>
      </c>
      <c r="E462" s="177" t="str">
        <f t="shared" si="19"/>
        <v/>
      </c>
    </row>
    <row r="463" spans="3:5">
      <c r="C463" s="177" t="s">
        <v>148</v>
      </c>
      <c r="D463" s="177" t="s">
        <v>148</v>
      </c>
      <c r="E463" s="177" t="str">
        <f t="shared" si="19"/>
        <v/>
      </c>
    </row>
    <row r="464" spans="3:5">
      <c r="C464" s="177" t="s">
        <v>148</v>
      </c>
      <c r="D464" s="177" t="s">
        <v>148</v>
      </c>
      <c r="E464" s="177" t="str">
        <f t="shared" si="19"/>
        <v/>
      </c>
    </row>
    <row r="465" spans="3:5">
      <c r="C465" s="177" t="s">
        <v>148</v>
      </c>
      <c r="D465" s="177" t="s">
        <v>148</v>
      </c>
      <c r="E465" s="177" t="str">
        <f t="shared" si="19"/>
        <v/>
      </c>
    </row>
    <row r="466" spans="3:5">
      <c r="C466" s="177" t="s">
        <v>148</v>
      </c>
      <c r="D466" s="177" t="s">
        <v>148</v>
      </c>
      <c r="E466" s="177" t="str">
        <f t="shared" si="19"/>
        <v/>
      </c>
    </row>
    <row r="467" spans="3:5">
      <c r="C467" s="177" t="s">
        <v>148</v>
      </c>
      <c r="D467" s="177" t="s">
        <v>148</v>
      </c>
      <c r="E467" s="177" t="str">
        <f t="shared" si="19"/>
        <v/>
      </c>
    </row>
    <row r="468" spans="3:5">
      <c r="C468" s="177" t="s">
        <v>148</v>
      </c>
      <c r="D468" s="177" t="s">
        <v>148</v>
      </c>
      <c r="E468" s="177" t="str">
        <f t="shared" si="19"/>
        <v/>
      </c>
    </row>
    <row r="469" spans="3:5">
      <c r="C469" s="177" t="s">
        <v>148</v>
      </c>
      <c r="D469" s="177" t="s">
        <v>148</v>
      </c>
      <c r="E469" s="177" t="str">
        <f t="shared" si="19"/>
        <v/>
      </c>
    </row>
    <row r="470" spans="3:5">
      <c r="C470" s="177" t="s">
        <v>148</v>
      </c>
      <c r="D470" s="177" t="s">
        <v>148</v>
      </c>
      <c r="E470" s="177" t="str">
        <f t="shared" si="19"/>
        <v/>
      </c>
    </row>
    <row r="471" spans="3:5">
      <c r="C471" s="177" t="s">
        <v>148</v>
      </c>
      <c r="D471" s="177" t="s">
        <v>148</v>
      </c>
      <c r="E471" s="177" t="str">
        <f t="shared" si="19"/>
        <v/>
      </c>
    </row>
    <row r="472" spans="3:5">
      <c r="C472" s="177" t="s">
        <v>148</v>
      </c>
      <c r="D472" s="177" t="s">
        <v>148</v>
      </c>
      <c r="E472" s="177" t="str">
        <f t="shared" si="19"/>
        <v/>
      </c>
    </row>
    <row r="473" spans="3:5">
      <c r="C473" s="177" t="s">
        <v>148</v>
      </c>
      <c r="D473" s="177" t="s">
        <v>148</v>
      </c>
      <c r="E473" s="177" t="str">
        <f t="shared" si="19"/>
        <v/>
      </c>
    </row>
    <row r="474" spans="3:5">
      <c r="C474" s="177" t="s">
        <v>148</v>
      </c>
      <c r="D474" s="177" t="s">
        <v>148</v>
      </c>
      <c r="E474" s="177" t="str">
        <f t="shared" si="19"/>
        <v/>
      </c>
    </row>
    <row r="475" spans="3:5">
      <c r="C475" s="177" t="s">
        <v>148</v>
      </c>
      <c r="D475" s="177" t="s">
        <v>148</v>
      </c>
      <c r="E475" s="177" t="str">
        <f t="shared" si="19"/>
        <v/>
      </c>
    </row>
    <row r="476" spans="3:5">
      <c r="C476" s="177" t="s">
        <v>148</v>
      </c>
      <c r="D476" s="177" t="s">
        <v>148</v>
      </c>
      <c r="E476" s="177" t="str">
        <f t="shared" si="19"/>
        <v/>
      </c>
    </row>
    <row r="477" spans="3:5">
      <c r="C477" s="177" t="s">
        <v>148</v>
      </c>
      <c r="D477" s="177" t="s">
        <v>148</v>
      </c>
      <c r="E477" s="177" t="str">
        <f t="shared" si="19"/>
        <v/>
      </c>
    </row>
    <row r="478" spans="3:5">
      <c r="C478" s="177" t="s">
        <v>148</v>
      </c>
      <c r="D478" s="177" t="s">
        <v>148</v>
      </c>
      <c r="E478" s="177" t="str">
        <f t="shared" si="19"/>
        <v/>
      </c>
    </row>
    <row r="479" spans="3:5">
      <c r="C479" s="177" t="s">
        <v>148</v>
      </c>
      <c r="D479" s="177" t="s">
        <v>148</v>
      </c>
      <c r="E479" s="177" t="str">
        <f t="shared" si="19"/>
        <v/>
      </c>
    </row>
    <row r="480" spans="3:5">
      <c r="C480" s="177" t="s">
        <v>148</v>
      </c>
      <c r="D480" s="177" t="s">
        <v>148</v>
      </c>
      <c r="E480" s="177" t="str">
        <f t="shared" si="19"/>
        <v/>
      </c>
    </row>
    <row r="481" spans="3:5">
      <c r="C481" s="177" t="s">
        <v>148</v>
      </c>
      <c r="D481" s="177" t="s">
        <v>148</v>
      </c>
      <c r="E481" s="177" t="str">
        <f t="shared" si="19"/>
        <v/>
      </c>
    </row>
    <row r="482" spans="3:5">
      <c r="C482" s="177" t="s">
        <v>148</v>
      </c>
      <c r="D482" s="177" t="s">
        <v>148</v>
      </c>
      <c r="E482" s="177" t="str">
        <f t="shared" si="19"/>
        <v/>
      </c>
    </row>
    <row r="483" spans="3:5">
      <c r="C483" s="177" t="s">
        <v>148</v>
      </c>
      <c r="D483" s="177" t="s">
        <v>148</v>
      </c>
      <c r="E483" s="177" t="str">
        <f t="shared" si="19"/>
        <v/>
      </c>
    </row>
    <row r="484" spans="3:5">
      <c r="C484" s="177" t="s">
        <v>148</v>
      </c>
      <c r="D484" s="177" t="s">
        <v>148</v>
      </c>
      <c r="E484" s="177" t="str">
        <f t="shared" si="19"/>
        <v/>
      </c>
    </row>
    <row r="485" spans="3:5">
      <c r="C485" s="177" t="s">
        <v>148</v>
      </c>
      <c r="D485" s="177" t="s">
        <v>148</v>
      </c>
      <c r="E485" s="177" t="str">
        <f t="shared" si="19"/>
        <v/>
      </c>
    </row>
    <row r="486" spans="3:5">
      <c r="C486" s="177" t="s">
        <v>148</v>
      </c>
      <c r="D486" s="177" t="s">
        <v>148</v>
      </c>
      <c r="E486" s="177" t="str">
        <f t="shared" si="19"/>
        <v/>
      </c>
    </row>
    <row r="487" spans="3:5">
      <c r="C487" s="177" t="s">
        <v>148</v>
      </c>
      <c r="D487" s="177" t="s">
        <v>148</v>
      </c>
      <c r="E487" s="177" t="str">
        <f t="shared" si="19"/>
        <v/>
      </c>
    </row>
    <row r="488" spans="3:5">
      <c r="C488" s="177" t="s">
        <v>148</v>
      </c>
      <c r="D488" s="177" t="s">
        <v>148</v>
      </c>
      <c r="E488" s="177" t="str">
        <f t="shared" si="19"/>
        <v/>
      </c>
    </row>
    <row r="489" spans="3:5">
      <c r="C489" s="177" t="s">
        <v>148</v>
      </c>
      <c r="D489" s="177" t="s">
        <v>148</v>
      </c>
      <c r="E489" s="177" t="str">
        <f t="shared" si="19"/>
        <v/>
      </c>
    </row>
    <row r="490" spans="3:5">
      <c r="C490" s="177" t="s">
        <v>148</v>
      </c>
      <c r="D490" s="177" t="s">
        <v>148</v>
      </c>
      <c r="E490" s="177" t="str">
        <f t="shared" si="19"/>
        <v/>
      </c>
    </row>
    <row r="491" spans="3:5">
      <c r="C491" s="177" t="s">
        <v>148</v>
      </c>
      <c r="D491" s="177" t="s">
        <v>148</v>
      </c>
      <c r="E491" s="177" t="str">
        <f t="shared" si="19"/>
        <v/>
      </c>
    </row>
    <row r="492" spans="3:5">
      <c r="C492" s="177" t="s">
        <v>148</v>
      </c>
      <c r="D492" s="177" t="s">
        <v>148</v>
      </c>
      <c r="E492" s="177" t="str">
        <f t="shared" si="19"/>
        <v/>
      </c>
    </row>
    <row r="493" spans="3:5">
      <c r="C493" s="177" t="s">
        <v>148</v>
      </c>
      <c r="D493" s="177" t="s">
        <v>148</v>
      </c>
      <c r="E493" s="177" t="str">
        <f t="shared" si="19"/>
        <v/>
      </c>
    </row>
    <row r="494" spans="3:5">
      <c r="C494" s="177" t="s">
        <v>148</v>
      </c>
      <c r="D494" s="177" t="s">
        <v>148</v>
      </c>
      <c r="E494" s="177" t="str">
        <f t="shared" si="19"/>
        <v/>
      </c>
    </row>
    <row r="495" spans="3:5">
      <c r="C495" s="177" t="s">
        <v>148</v>
      </c>
      <c r="D495" s="177" t="s">
        <v>148</v>
      </c>
      <c r="E495" s="177" t="str">
        <f t="shared" si="19"/>
        <v/>
      </c>
    </row>
    <row r="496" spans="3:5">
      <c r="C496" s="177" t="s">
        <v>148</v>
      </c>
      <c r="D496" s="177" t="s">
        <v>148</v>
      </c>
      <c r="E496" s="177" t="str">
        <f t="shared" si="19"/>
        <v/>
      </c>
    </row>
    <row r="497" spans="3:5">
      <c r="C497" s="177" t="s">
        <v>148</v>
      </c>
      <c r="D497" s="177" t="s">
        <v>148</v>
      </c>
      <c r="E497" s="177" t="str">
        <f t="shared" si="19"/>
        <v/>
      </c>
    </row>
    <row r="498" spans="3:5">
      <c r="C498" s="177" t="s">
        <v>148</v>
      </c>
      <c r="D498" s="177" t="s">
        <v>148</v>
      </c>
      <c r="E498" s="177" t="str">
        <f t="shared" si="19"/>
        <v/>
      </c>
    </row>
    <row r="499" spans="3:5">
      <c r="C499" s="177" t="s">
        <v>148</v>
      </c>
      <c r="D499" s="177" t="s">
        <v>148</v>
      </c>
      <c r="E499" s="177" t="str">
        <f t="shared" si="19"/>
        <v/>
      </c>
    </row>
    <row r="500" spans="3:5">
      <c r="C500" s="177" t="s">
        <v>148</v>
      </c>
      <c r="D500" s="177" t="s">
        <v>148</v>
      </c>
      <c r="E500" s="177" t="str">
        <f t="shared" si="19"/>
        <v/>
      </c>
    </row>
    <row r="501" spans="3:5">
      <c r="C501" s="177" t="s">
        <v>148</v>
      </c>
      <c r="D501" s="177" t="s">
        <v>148</v>
      </c>
      <c r="E501" s="177" t="str">
        <f t="shared" si="19"/>
        <v/>
      </c>
    </row>
    <row r="502" spans="3:5">
      <c r="C502" s="177" t="s">
        <v>148</v>
      </c>
      <c r="D502" s="177" t="s">
        <v>148</v>
      </c>
      <c r="E502" s="177" t="str">
        <f t="shared" si="19"/>
        <v/>
      </c>
    </row>
    <row r="503" spans="3:5">
      <c r="C503" s="177" t="s">
        <v>148</v>
      </c>
      <c r="D503" s="177" t="s">
        <v>148</v>
      </c>
      <c r="E503" s="177" t="str">
        <f t="shared" si="19"/>
        <v/>
      </c>
    </row>
    <row r="504" spans="3:5">
      <c r="C504" s="177" t="s">
        <v>148</v>
      </c>
      <c r="D504" s="177" t="s">
        <v>148</v>
      </c>
      <c r="E504" s="177" t="str">
        <f t="shared" si="19"/>
        <v/>
      </c>
    </row>
    <row r="505" spans="3:5">
      <c r="C505" s="177" t="s">
        <v>148</v>
      </c>
      <c r="D505" s="177" t="s">
        <v>148</v>
      </c>
      <c r="E505" s="177" t="str">
        <f t="shared" si="19"/>
        <v/>
      </c>
    </row>
    <row r="506" spans="3:5">
      <c r="C506" s="177" t="s">
        <v>148</v>
      </c>
      <c r="D506" s="177" t="s">
        <v>148</v>
      </c>
      <c r="E506" s="177" t="str">
        <f t="shared" si="19"/>
        <v/>
      </c>
    </row>
    <row r="507" spans="3:5">
      <c r="C507" s="177" t="s">
        <v>148</v>
      </c>
      <c r="D507" s="177" t="s">
        <v>148</v>
      </c>
      <c r="E507" s="177" t="str">
        <f t="shared" si="19"/>
        <v/>
      </c>
    </row>
    <row r="508" spans="3:5">
      <c r="C508" s="177" t="s">
        <v>148</v>
      </c>
      <c r="D508" s="177" t="s">
        <v>148</v>
      </c>
      <c r="E508" s="177" t="str">
        <f t="shared" si="19"/>
        <v/>
      </c>
    </row>
    <row r="509" spans="3:5">
      <c r="C509" s="177" t="s">
        <v>148</v>
      </c>
      <c r="D509" s="177" t="s">
        <v>148</v>
      </c>
      <c r="E509" s="177" t="str">
        <f t="shared" si="19"/>
        <v/>
      </c>
    </row>
    <row r="510" spans="3:5">
      <c r="C510" s="177" t="s">
        <v>148</v>
      </c>
      <c r="D510" s="177" t="s">
        <v>148</v>
      </c>
      <c r="E510" s="177" t="str">
        <f t="shared" si="19"/>
        <v/>
      </c>
    </row>
    <row r="511" spans="3:5">
      <c r="C511" s="177" t="s">
        <v>148</v>
      </c>
      <c r="D511" s="177" t="s">
        <v>148</v>
      </c>
      <c r="E511" s="177" t="str">
        <f t="shared" si="19"/>
        <v/>
      </c>
    </row>
    <row r="512" spans="3:5">
      <c r="C512" s="177" t="s">
        <v>148</v>
      </c>
      <c r="D512" s="177" t="s">
        <v>148</v>
      </c>
      <c r="E512" s="177" t="str">
        <f t="shared" si="19"/>
        <v/>
      </c>
    </row>
    <row r="513" spans="3:5">
      <c r="C513" s="177" t="s">
        <v>148</v>
      </c>
      <c r="D513" s="177" t="s">
        <v>148</v>
      </c>
      <c r="E513" s="177" t="str">
        <f t="shared" si="19"/>
        <v/>
      </c>
    </row>
    <row r="514" spans="3:5">
      <c r="C514" s="177" t="s">
        <v>148</v>
      </c>
      <c r="D514" s="177" t="s">
        <v>148</v>
      </c>
      <c r="E514" s="177" t="str">
        <f t="shared" si="19"/>
        <v/>
      </c>
    </row>
    <row r="515" spans="3:5">
      <c r="C515" s="177" t="s">
        <v>148</v>
      </c>
      <c r="D515" s="177" t="s">
        <v>148</v>
      </c>
      <c r="E515" s="177" t="str">
        <f t="shared" si="19"/>
        <v/>
      </c>
    </row>
    <row r="516" spans="3:5">
      <c r="C516" s="177" t="s">
        <v>148</v>
      </c>
      <c r="D516" s="177" t="s">
        <v>148</v>
      </c>
      <c r="E516" s="177" t="str">
        <f t="shared" ref="E516:E579" si="20">IF(C516&lt;D516,C516,D516)</f>
        <v/>
      </c>
    </row>
    <row r="517" spans="3:5">
      <c r="C517" s="177" t="s">
        <v>148</v>
      </c>
      <c r="D517" s="177" t="s">
        <v>148</v>
      </c>
      <c r="E517" s="177" t="str">
        <f t="shared" si="20"/>
        <v/>
      </c>
    </row>
    <row r="518" spans="3:5">
      <c r="C518" s="177" t="s">
        <v>148</v>
      </c>
      <c r="D518" s="177" t="s">
        <v>148</v>
      </c>
      <c r="E518" s="177" t="str">
        <f t="shared" si="20"/>
        <v/>
      </c>
    </row>
    <row r="519" spans="3:5">
      <c r="C519" s="177" t="s">
        <v>148</v>
      </c>
      <c r="D519" s="177" t="s">
        <v>148</v>
      </c>
      <c r="E519" s="177" t="str">
        <f t="shared" si="20"/>
        <v/>
      </c>
    </row>
    <row r="520" spans="3:5">
      <c r="C520" s="177" t="s">
        <v>148</v>
      </c>
      <c r="D520" s="177" t="s">
        <v>148</v>
      </c>
      <c r="E520" s="177" t="str">
        <f t="shared" si="20"/>
        <v/>
      </c>
    </row>
    <row r="521" spans="3:5">
      <c r="C521" s="177" t="s">
        <v>148</v>
      </c>
      <c r="D521" s="177" t="s">
        <v>148</v>
      </c>
      <c r="E521" s="177" t="str">
        <f t="shared" si="20"/>
        <v/>
      </c>
    </row>
    <row r="522" spans="3:5">
      <c r="C522" s="177" t="s">
        <v>148</v>
      </c>
      <c r="D522" s="177" t="s">
        <v>148</v>
      </c>
      <c r="E522" s="177" t="str">
        <f t="shared" si="20"/>
        <v/>
      </c>
    </row>
    <row r="523" spans="3:5">
      <c r="C523" s="177" t="s">
        <v>148</v>
      </c>
      <c r="D523" s="177" t="s">
        <v>148</v>
      </c>
      <c r="E523" s="177" t="str">
        <f t="shared" si="20"/>
        <v/>
      </c>
    </row>
    <row r="524" spans="3:5">
      <c r="C524" s="177" t="s">
        <v>148</v>
      </c>
      <c r="D524" s="177" t="s">
        <v>148</v>
      </c>
      <c r="E524" s="177" t="str">
        <f t="shared" si="20"/>
        <v/>
      </c>
    </row>
    <row r="525" spans="3:5">
      <c r="C525" s="177" t="s">
        <v>148</v>
      </c>
      <c r="D525" s="177" t="s">
        <v>148</v>
      </c>
      <c r="E525" s="177" t="str">
        <f t="shared" si="20"/>
        <v/>
      </c>
    </row>
    <row r="526" spans="3:5">
      <c r="C526" s="177" t="s">
        <v>148</v>
      </c>
      <c r="D526" s="177" t="s">
        <v>148</v>
      </c>
      <c r="E526" s="177" t="str">
        <f t="shared" si="20"/>
        <v/>
      </c>
    </row>
    <row r="527" spans="3:5">
      <c r="C527" s="177" t="s">
        <v>148</v>
      </c>
      <c r="D527" s="177" t="s">
        <v>148</v>
      </c>
      <c r="E527" s="177" t="str">
        <f t="shared" si="20"/>
        <v/>
      </c>
    </row>
    <row r="528" spans="3:5">
      <c r="C528" s="177" t="s">
        <v>148</v>
      </c>
      <c r="D528" s="177" t="s">
        <v>148</v>
      </c>
      <c r="E528" s="177" t="str">
        <f t="shared" si="20"/>
        <v/>
      </c>
    </row>
    <row r="529" spans="3:5">
      <c r="C529" s="177" t="s">
        <v>148</v>
      </c>
      <c r="D529" s="177" t="s">
        <v>148</v>
      </c>
      <c r="E529" s="177" t="str">
        <f t="shared" si="20"/>
        <v/>
      </c>
    </row>
    <row r="530" spans="3:5">
      <c r="C530" s="177" t="s">
        <v>148</v>
      </c>
      <c r="D530" s="177" t="s">
        <v>148</v>
      </c>
      <c r="E530" s="177" t="str">
        <f t="shared" si="20"/>
        <v/>
      </c>
    </row>
    <row r="531" spans="3:5">
      <c r="C531" s="177" t="s">
        <v>148</v>
      </c>
      <c r="D531" s="177" t="s">
        <v>148</v>
      </c>
      <c r="E531" s="177" t="str">
        <f t="shared" si="20"/>
        <v/>
      </c>
    </row>
    <row r="532" spans="3:5">
      <c r="C532" s="177" t="s">
        <v>148</v>
      </c>
      <c r="D532" s="177" t="s">
        <v>148</v>
      </c>
      <c r="E532" s="177" t="str">
        <f t="shared" si="20"/>
        <v/>
      </c>
    </row>
    <row r="533" spans="3:5">
      <c r="C533" s="177" t="s">
        <v>148</v>
      </c>
      <c r="D533" s="177" t="s">
        <v>148</v>
      </c>
      <c r="E533" s="177" t="str">
        <f t="shared" si="20"/>
        <v/>
      </c>
    </row>
    <row r="534" spans="3:5">
      <c r="C534" s="177" t="s">
        <v>148</v>
      </c>
      <c r="D534" s="177" t="s">
        <v>148</v>
      </c>
      <c r="E534" s="177" t="str">
        <f t="shared" si="20"/>
        <v/>
      </c>
    </row>
    <row r="535" spans="3:5">
      <c r="C535" s="177" t="s">
        <v>148</v>
      </c>
      <c r="D535" s="177" t="s">
        <v>148</v>
      </c>
      <c r="E535" s="177" t="str">
        <f t="shared" si="20"/>
        <v/>
      </c>
    </row>
    <row r="536" spans="3:5">
      <c r="C536" s="177" t="s">
        <v>148</v>
      </c>
      <c r="D536" s="177" t="s">
        <v>148</v>
      </c>
      <c r="E536" s="177" t="str">
        <f t="shared" si="20"/>
        <v/>
      </c>
    </row>
    <row r="537" spans="3:5">
      <c r="C537" s="177" t="s">
        <v>148</v>
      </c>
      <c r="D537" s="177" t="s">
        <v>148</v>
      </c>
      <c r="E537" s="177" t="str">
        <f t="shared" si="20"/>
        <v/>
      </c>
    </row>
    <row r="538" spans="3:5">
      <c r="C538" s="177" t="s">
        <v>148</v>
      </c>
      <c r="D538" s="177" t="s">
        <v>148</v>
      </c>
      <c r="E538" s="177" t="str">
        <f t="shared" si="20"/>
        <v/>
      </c>
    </row>
    <row r="539" spans="3:5">
      <c r="C539" s="177" t="s">
        <v>148</v>
      </c>
      <c r="D539" s="177" t="s">
        <v>148</v>
      </c>
      <c r="E539" s="177" t="str">
        <f t="shared" si="20"/>
        <v/>
      </c>
    </row>
    <row r="540" spans="3:5">
      <c r="C540" s="177" t="s">
        <v>148</v>
      </c>
      <c r="D540" s="177" t="s">
        <v>148</v>
      </c>
      <c r="E540" s="177" t="str">
        <f t="shared" si="20"/>
        <v/>
      </c>
    </row>
    <row r="541" spans="3:5">
      <c r="C541" s="177" t="s">
        <v>148</v>
      </c>
      <c r="D541" s="177" t="s">
        <v>148</v>
      </c>
      <c r="E541" s="177" t="str">
        <f t="shared" si="20"/>
        <v/>
      </c>
    </row>
    <row r="542" spans="3:5">
      <c r="C542" s="177" t="s">
        <v>148</v>
      </c>
      <c r="D542" s="177" t="s">
        <v>148</v>
      </c>
      <c r="E542" s="177" t="str">
        <f t="shared" si="20"/>
        <v/>
      </c>
    </row>
    <row r="543" spans="3:5">
      <c r="C543" s="177" t="s">
        <v>148</v>
      </c>
      <c r="D543" s="177" t="s">
        <v>148</v>
      </c>
      <c r="E543" s="177" t="str">
        <f t="shared" si="20"/>
        <v/>
      </c>
    </row>
    <row r="544" spans="3:5">
      <c r="C544" s="177" t="s">
        <v>148</v>
      </c>
      <c r="D544" s="177" t="s">
        <v>148</v>
      </c>
      <c r="E544" s="177" t="str">
        <f t="shared" si="20"/>
        <v/>
      </c>
    </row>
    <row r="545" spans="3:5">
      <c r="C545" s="177" t="s">
        <v>148</v>
      </c>
      <c r="D545" s="177" t="s">
        <v>148</v>
      </c>
      <c r="E545" s="177" t="str">
        <f t="shared" si="20"/>
        <v/>
      </c>
    </row>
    <row r="546" spans="3:5">
      <c r="C546" s="177" t="s">
        <v>148</v>
      </c>
      <c r="D546" s="177" t="s">
        <v>148</v>
      </c>
      <c r="E546" s="177" t="str">
        <f t="shared" si="20"/>
        <v/>
      </c>
    </row>
    <row r="547" spans="3:5">
      <c r="C547" s="177" t="s">
        <v>148</v>
      </c>
      <c r="D547" s="177" t="s">
        <v>148</v>
      </c>
      <c r="E547" s="177" t="str">
        <f t="shared" si="20"/>
        <v/>
      </c>
    </row>
    <row r="548" spans="3:5">
      <c r="C548" s="177" t="s">
        <v>148</v>
      </c>
      <c r="D548" s="177" t="s">
        <v>148</v>
      </c>
      <c r="E548" s="177" t="str">
        <f t="shared" si="20"/>
        <v/>
      </c>
    </row>
    <row r="549" spans="3:5">
      <c r="C549" s="177" t="s">
        <v>148</v>
      </c>
      <c r="D549" s="177" t="s">
        <v>148</v>
      </c>
      <c r="E549" s="177" t="str">
        <f t="shared" si="20"/>
        <v/>
      </c>
    </row>
    <row r="550" spans="3:5">
      <c r="C550" s="177" t="s">
        <v>148</v>
      </c>
      <c r="D550" s="177" t="s">
        <v>148</v>
      </c>
      <c r="E550" s="177" t="str">
        <f t="shared" si="20"/>
        <v/>
      </c>
    </row>
    <row r="551" spans="3:5">
      <c r="C551" s="177" t="s">
        <v>148</v>
      </c>
      <c r="D551" s="177" t="s">
        <v>148</v>
      </c>
      <c r="E551" s="177" t="str">
        <f t="shared" si="20"/>
        <v/>
      </c>
    </row>
    <row r="552" spans="3:5">
      <c r="C552" s="177" t="s">
        <v>148</v>
      </c>
      <c r="D552" s="177" t="s">
        <v>148</v>
      </c>
      <c r="E552" s="177" t="str">
        <f t="shared" si="20"/>
        <v/>
      </c>
    </row>
    <row r="553" spans="3:5">
      <c r="C553" s="177" t="s">
        <v>148</v>
      </c>
      <c r="D553" s="177" t="s">
        <v>148</v>
      </c>
      <c r="E553" s="177" t="str">
        <f t="shared" si="20"/>
        <v/>
      </c>
    </row>
    <row r="554" spans="3:5">
      <c r="C554" s="177" t="s">
        <v>148</v>
      </c>
      <c r="D554" s="177" t="s">
        <v>148</v>
      </c>
      <c r="E554" s="177" t="str">
        <f t="shared" si="20"/>
        <v/>
      </c>
    </row>
    <row r="555" spans="3:5">
      <c r="C555" s="177" t="s">
        <v>148</v>
      </c>
      <c r="D555" s="177" t="s">
        <v>148</v>
      </c>
      <c r="E555" s="177" t="str">
        <f t="shared" si="20"/>
        <v/>
      </c>
    </row>
    <row r="556" spans="3:5">
      <c r="C556" s="177" t="s">
        <v>148</v>
      </c>
      <c r="D556" s="177" t="s">
        <v>148</v>
      </c>
      <c r="E556" s="177" t="str">
        <f t="shared" si="20"/>
        <v/>
      </c>
    </row>
    <row r="557" spans="3:5">
      <c r="C557" s="177" t="s">
        <v>148</v>
      </c>
      <c r="D557" s="177" t="s">
        <v>148</v>
      </c>
      <c r="E557" s="177" t="str">
        <f t="shared" si="20"/>
        <v/>
      </c>
    </row>
    <row r="558" spans="3:5">
      <c r="C558" s="177" t="s">
        <v>148</v>
      </c>
      <c r="D558" s="177" t="s">
        <v>148</v>
      </c>
      <c r="E558" s="177" t="str">
        <f t="shared" si="20"/>
        <v/>
      </c>
    </row>
    <row r="559" spans="3:5">
      <c r="C559" s="177" t="s">
        <v>148</v>
      </c>
      <c r="D559" s="177" t="s">
        <v>148</v>
      </c>
      <c r="E559" s="177" t="str">
        <f t="shared" si="20"/>
        <v/>
      </c>
    </row>
    <row r="560" spans="3:5">
      <c r="C560" s="177" t="s">
        <v>148</v>
      </c>
      <c r="D560" s="177" t="s">
        <v>148</v>
      </c>
      <c r="E560" s="177" t="str">
        <f t="shared" si="20"/>
        <v/>
      </c>
    </row>
    <row r="561" spans="3:5">
      <c r="C561" s="177" t="s">
        <v>148</v>
      </c>
      <c r="D561" s="177" t="s">
        <v>148</v>
      </c>
      <c r="E561" s="177" t="str">
        <f t="shared" si="20"/>
        <v/>
      </c>
    </row>
    <row r="562" spans="3:5">
      <c r="C562" s="177" t="s">
        <v>148</v>
      </c>
      <c r="D562" s="177" t="s">
        <v>148</v>
      </c>
      <c r="E562" s="177" t="str">
        <f t="shared" si="20"/>
        <v/>
      </c>
    </row>
    <row r="563" spans="3:5">
      <c r="C563" s="177" t="s">
        <v>148</v>
      </c>
      <c r="D563" s="177" t="s">
        <v>148</v>
      </c>
      <c r="E563" s="177" t="str">
        <f t="shared" si="20"/>
        <v/>
      </c>
    </row>
    <row r="564" spans="3:5">
      <c r="C564" s="177" t="s">
        <v>148</v>
      </c>
      <c r="D564" s="177" t="s">
        <v>148</v>
      </c>
      <c r="E564" s="177" t="str">
        <f t="shared" si="20"/>
        <v/>
      </c>
    </row>
    <row r="565" spans="3:5">
      <c r="C565" s="177" t="s">
        <v>148</v>
      </c>
      <c r="D565" s="177" t="s">
        <v>148</v>
      </c>
      <c r="E565" s="177" t="str">
        <f t="shared" si="20"/>
        <v/>
      </c>
    </row>
    <row r="566" spans="3:5">
      <c r="C566" s="177" t="s">
        <v>148</v>
      </c>
      <c r="D566" s="177" t="s">
        <v>148</v>
      </c>
      <c r="E566" s="177" t="str">
        <f t="shared" si="20"/>
        <v/>
      </c>
    </row>
    <row r="567" spans="3:5">
      <c r="C567" s="177" t="s">
        <v>148</v>
      </c>
      <c r="D567" s="177" t="s">
        <v>148</v>
      </c>
      <c r="E567" s="177" t="str">
        <f t="shared" si="20"/>
        <v/>
      </c>
    </row>
    <row r="568" spans="3:5">
      <c r="C568" s="177" t="s">
        <v>148</v>
      </c>
      <c r="D568" s="177" t="s">
        <v>148</v>
      </c>
      <c r="E568" s="177" t="str">
        <f t="shared" si="20"/>
        <v/>
      </c>
    </row>
    <row r="569" spans="3:5">
      <c r="C569" s="177" t="s">
        <v>148</v>
      </c>
      <c r="D569" s="177" t="s">
        <v>148</v>
      </c>
      <c r="E569" s="177" t="str">
        <f t="shared" si="20"/>
        <v/>
      </c>
    </row>
    <row r="570" spans="3:5">
      <c r="C570" s="177" t="s">
        <v>148</v>
      </c>
      <c r="D570" s="177" t="s">
        <v>148</v>
      </c>
      <c r="E570" s="177" t="str">
        <f t="shared" si="20"/>
        <v/>
      </c>
    </row>
    <row r="571" spans="3:5">
      <c r="C571" s="177" t="s">
        <v>148</v>
      </c>
      <c r="D571" s="177" t="s">
        <v>148</v>
      </c>
      <c r="E571" s="177" t="str">
        <f t="shared" si="20"/>
        <v/>
      </c>
    </row>
    <row r="572" spans="3:5">
      <c r="C572" s="177" t="s">
        <v>148</v>
      </c>
      <c r="D572" s="177" t="s">
        <v>148</v>
      </c>
      <c r="E572" s="177" t="str">
        <f t="shared" si="20"/>
        <v/>
      </c>
    </row>
    <row r="573" spans="3:5">
      <c r="C573" s="177" t="s">
        <v>148</v>
      </c>
      <c r="D573" s="177" t="s">
        <v>148</v>
      </c>
      <c r="E573" s="177" t="str">
        <f t="shared" si="20"/>
        <v/>
      </c>
    </row>
    <row r="574" spans="3:5">
      <c r="C574" s="177" t="s">
        <v>148</v>
      </c>
      <c r="D574" s="177" t="s">
        <v>148</v>
      </c>
      <c r="E574" s="177" t="str">
        <f t="shared" si="20"/>
        <v/>
      </c>
    </row>
    <row r="575" spans="3:5">
      <c r="C575" s="177" t="s">
        <v>148</v>
      </c>
      <c r="D575" s="177" t="s">
        <v>148</v>
      </c>
      <c r="E575" s="177" t="str">
        <f t="shared" si="20"/>
        <v/>
      </c>
    </row>
    <row r="576" spans="3:5">
      <c r="C576" s="177" t="s">
        <v>148</v>
      </c>
      <c r="D576" s="177" t="s">
        <v>148</v>
      </c>
      <c r="E576" s="177" t="str">
        <f t="shared" si="20"/>
        <v/>
      </c>
    </row>
    <row r="577" spans="3:5">
      <c r="C577" s="177" t="s">
        <v>148</v>
      </c>
      <c r="D577" s="177" t="s">
        <v>148</v>
      </c>
      <c r="E577" s="177" t="str">
        <f t="shared" si="20"/>
        <v/>
      </c>
    </row>
    <row r="578" spans="3:5">
      <c r="C578" s="177" t="s">
        <v>148</v>
      </c>
      <c r="D578" s="177" t="s">
        <v>148</v>
      </c>
      <c r="E578" s="177" t="str">
        <f t="shared" si="20"/>
        <v/>
      </c>
    </row>
    <row r="579" spans="3:5">
      <c r="C579" s="177" t="s">
        <v>148</v>
      </c>
      <c r="D579" s="177" t="s">
        <v>148</v>
      </c>
      <c r="E579" s="177" t="str">
        <f t="shared" si="20"/>
        <v/>
      </c>
    </row>
    <row r="580" spans="3:5">
      <c r="C580" s="177" t="s">
        <v>148</v>
      </c>
      <c r="D580" s="177" t="s">
        <v>148</v>
      </c>
      <c r="E580" s="177" t="str">
        <f t="shared" ref="E580:E643" si="21">IF(C580&lt;D580,C580,D580)</f>
        <v/>
      </c>
    </row>
    <row r="581" spans="3:5">
      <c r="C581" s="177" t="s">
        <v>148</v>
      </c>
      <c r="D581" s="177" t="s">
        <v>148</v>
      </c>
      <c r="E581" s="177" t="str">
        <f t="shared" si="21"/>
        <v/>
      </c>
    </row>
    <row r="582" spans="3:5">
      <c r="C582" s="177" t="s">
        <v>148</v>
      </c>
      <c r="D582" s="177" t="s">
        <v>148</v>
      </c>
      <c r="E582" s="177" t="str">
        <f t="shared" si="21"/>
        <v/>
      </c>
    </row>
    <row r="583" spans="3:5">
      <c r="C583" s="177" t="s">
        <v>148</v>
      </c>
      <c r="D583" s="177" t="s">
        <v>148</v>
      </c>
      <c r="E583" s="177" t="str">
        <f t="shared" si="21"/>
        <v/>
      </c>
    </row>
    <row r="584" spans="3:5">
      <c r="C584" s="177" t="s">
        <v>148</v>
      </c>
      <c r="D584" s="177" t="s">
        <v>148</v>
      </c>
      <c r="E584" s="177" t="str">
        <f t="shared" si="21"/>
        <v/>
      </c>
    </row>
    <row r="585" spans="3:5">
      <c r="C585" s="177" t="s">
        <v>148</v>
      </c>
      <c r="D585" s="177" t="s">
        <v>148</v>
      </c>
      <c r="E585" s="177" t="str">
        <f t="shared" si="21"/>
        <v/>
      </c>
    </row>
    <row r="586" spans="3:5">
      <c r="C586" s="177" t="s">
        <v>148</v>
      </c>
      <c r="D586" s="177" t="s">
        <v>148</v>
      </c>
      <c r="E586" s="177" t="str">
        <f t="shared" si="21"/>
        <v/>
      </c>
    </row>
    <row r="587" spans="3:5">
      <c r="C587" s="177" t="s">
        <v>148</v>
      </c>
      <c r="D587" s="177" t="s">
        <v>148</v>
      </c>
      <c r="E587" s="177" t="str">
        <f t="shared" si="21"/>
        <v/>
      </c>
    </row>
    <row r="588" spans="3:5">
      <c r="C588" s="177" t="s">
        <v>148</v>
      </c>
      <c r="D588" s="177" t="s">
        <v>148</v>
      </c>
      <c r="E588" s="177" t="str">
        <f t="shared" si="21"/>
        <v/>
      </c>
    </row>
    <row r="589" spans="3:5">
      <c r="C589" s="177" t="s">
        <v>148</v>
      </c>
      <c r="D589" s="177" t="s">
        <v>148</v>
      </c>
      <c r="E589" s="177" t="str">
        <f t="shared" si="21"/>
        <v/>
      </c>
    </row>
    <row r="590" spans="3:5">
      <c r="C590" s="177" t="s">
        <v>148</v>
      </c>
      <c r="D590" s="177" t="s">
        <v>148</v>
      </c>
      <c r="E590" s="177" t="str">
        <f t="shared" si="21"/>
        <v/>
      </c>
    </row>
    <row r="591" spans="3:5">
      <c r="C591" s="177" t="s">
        <v>148</v>
      </c>
      <c r="D591" s="177" t="s">
        <v>148</v>
      </c>
      <c r="E591" s="177" t="str">
        <f t="shared" si="21"/>
        <v/>
      </c>
    </row>
    <row r="592" spans="3:5">
      <c r="C592" s="177" t="s">
        <v>148</v>
      </c>
      <c r="D592" s="177" t="s">
        <v>148</v>
      </c>
      <c r="E592" s="177" t="str">
        <f t="shared" si="21"/>
        <v/>
      </c>
    </row>
    <row r="593" spans="3:5">
      <c r="C593" s="177" t="s">
        <v>148</v>
      </c>
      <c r="D593" s="177" t="s">
        <v>148</v>
      </c>
      <c r="E593" s="177" t="str">
        <f t="shared" si="21"/>
        <v/>
      </c>
    </row>
    <row r="594" spans="3:5">
      <c r="C594" s="177" t="s">
        <v>148</v>
      </c>
      <c r="D594" s="177" t="s">
        <v>148</v>
      </c>
      <c r="E594" s="177" t="str">
        <f t="shared" si="21"/>
        <v/>
      </c>
    </row>
    <row r="595" spans="3:5">
      <c r="C595" s="177" t="s">
        <v>148</v>
      </c>
      <c r="D595" s="177" t="s">
        <v>148</v>
      </c>
      <c r="E595" s="177" t="str">
        <f t="shared" si="21"/>
        <v/>
      </c>
    </row>
    <row r="596" spans="3:5">
      <c r="C596" s="177" t="s">
        <v>148</v>
      </c>
      <c r="D596" s="177" t="s">
        <v>148</v>
      </c>
      <c r="E596" s="177" t="str">
        <f t="shared" si="21"/>
        <v/>
      </c>
    </row>
    <row r="597" spans="3:5">
      <c r="C597" s="177" t="s">
        <v>148</v>
      </c>
      <c r="D597" s="177" t="s">
        <v>148</v>
      </c>
      <c r="E597" s="177" t="str">
        <f t="shared" si="21"/>
        <v/>
      </c>
    </row>
    <row r="598" spans="3:5">
      <c r="C598" s="177" t="s">
        <v>148</v>
      </c>
      <c r="D598" s="177" t="s">
        <v>148</v>
      </c>
      <c r="E598" s="177" t="str">
        <f t="shared" si="21"/>
        <v/>
      </c>
    </row>
    <row r="599" spans="3:5">
      <c r="C599" s="177" t="s">
        <v>148</v>
      </c>
      <c r="D599" s="177" t="s">
        <v>148</v>
      </c>
      <c r="E599" s="177" t="str">
        <f t="shared" si="21"/>
        <v/>
      </c>
    </row>
    <row r="600" spans="3:5">
      <c r="C600" s="177" t="s">
        <v>148</v>
      </c>
      <c r="D600" s="177" t="s">
        <v>148</v>
      </c>
      <c r="E600" s="177" t="str">
        <f t="shared" si="21"/>
        <v/>
      </c>
    </row>
    <row r="601" spans="3:5">
      <c r="C601" s="177" t="s">
        <v>148</v>
      </c>
      <c r="D601" s="177" t="s">
        <v>148</v>
      </c>
      <c r="E601" s="177" t="str">
        <f t="shared" si="21"/>
        <v/>
      </c>
    </row>
    <row r="602" spans="3:5">
      <c r="C602" s="177" t="s">
        <v>148</v>
      </c>
      <c r="D602" s="177" t="s">
        <v>148</v>
      </c>
      <c r="E602" s="177" t="str">
        <f t="shared" si="21"/>
        <v/>
      </c>
    </row>
    <row r="603" spans="3:5">
      <c r="C603" s="177" t="s">
        <v>148</v>
      </c>
      <c r="D603" s="177" t="s">
        <v>148</v>
      </c>
      <c r="E603" s="177" t="str">
        <f t="shared" si="21"/>
        <v/>
      </c>
    </row>
    <row r="604" spans="3:5">
      <c r="C604" s="177" t="s">
        <v>148</v>
      </c>
      <c r="D604" s="177" t="s">
        <v>148</v>
      </c>
      <c r="E604" s="177" t="str">
        <f t="shared" si="21"/>
        <v/>
      </c>
    </row>
    <row r="605" spans="3:5">
      <c r="C605" s="177" t="s">
        <v>148</v>
      </c>
      <c r="D605" s="177" t="s">
        <v>148</v>
      </c>
      <c r="E605" s="177" t="str">
        <f t="shared" si="21"/>
        <v/>
      </c>
    </row>
    <row r="606" spans="3:5">
      <c r="C606" s="177" t="s">
        <v>148</v>
      </c>
      <c r="D606" s="177" t="s">
        <v>148</v>
      </c>
      <c r="E606" s="177" t="str">
        <f t="shared" si="21"/>
        <v/>
      </c>
    </row>
    <row r="607" spans="3:5">
      <c r="C607" s="177" t="s">
        <v>148</v>
      </c>
      <c r="D607" s="177" t="s">
        <v>148</v>
      </c>
      <c r="E607" s="177" t="str">
        <f t="shared" si="21"/>
        <v/>
      </c>
    </row>
    <row r="608" spans="3:5">
      <c r="C608" s="177" t="s">
        <v>148</v>
      </c>
      <c r="D608" s="177" t="s">
        <v>148</v>
      </c>
      <c r="E608" s="177" t="str">
        <f t="shared" si="21"/>
        <v/>
      </c>
    </row>
    <row r="609" spans="3:5">
      <c r="C609" s="177" t="s">
        <v>148</v>
      </c>
      <c r="D609" s="177" t="s">
        <v>148</v>
      </c>
      <c r="E609" s="177" t="str">
        <f t="shared" si="21"/>
        <v/>
      </c>
    </row>
    <row r="610" spans="3:5">
      <c r="C610" s="177" t="s">
        <v>148</v>
      </c>
      <c r="D610" s="177" t="s">
        <v>148</v>
      </c>
      <c r="E610" s="177" t="str">
        <f t="shared" si="21"/>
        <v/>
      </c>
    </row>
    <row r="611" spans="3:5">
      <c r="C611" s="177" t="s">
        <v>148</v>
      </c>
      <c r="D611" s="177" t="s">
        <v>148</v>
      </c>
      <c r="E611" s="177" t="str">
        <f t="shared" si="21"/>
        <v/>
      </c>
    </row>
    <row r="612" spans="3:5">
      <c r="C612" s="177" t="s">
        <v>148</v>
      </c>
      <c r="D612" s="177" t="s">
        <v>148</v>
      </c>
      <c r="E612" s="177" t="str">
        <f t="shared" si="21"/>
        <v/>
      </c>
    </row>
    <row r="613" spans="3:5">
      <c r="C613" s="177" t="s">
        <v>148</v>
      </c>
      <c r="D613" s="177" t="s">
        <v>148</v>
      </c>
      <c r="E613" s="177" t="str">
        <f t="shared" si="21"/>
        <v/>
      </c>
    </row>
    <row r="614" spans="3:5">
      <c r="C614" s="177" t="s">
        <v>148</v>
      </c>
      <c r="D614" s="177" t="s">
        <v>148</v>
      </c>
      <c r="E614" s="177" t="str">
        <f t="shared" si="21"/>
        <v/>
      </c>
    </row>
    <row r="615" spans="3:5">
      <c r="C615" s="177" t="s">
        <v>148</v>
      </c>
      <c r="D615" s="177" t="s">
        <v>148</v>
      </c>
      <c r="E615" s="177" t="str">
        <f t="shared" si="21"/>
        <v/>
      </c>
    </row>
    <row r="616" spans="3:5">
      <c r="C616" s="177" t="s">
        <v>148</v>
      </c>
      <c r="D616" s="177" t="s">
        <v>148</v>
      </c>
      <c r="E616" s="177" t="str">
        <f t="shared" si="21"/>
        <v/>
      </c>
    </row>
    <row r="617" spans="3:5">
      <c r="C617" s="177" t="s">
        <v>148</v>
      </c>
      <c r="D617" s="177" t="s">
        <v>148</v>
      </c>
      <c r="E617" s="177" t="str">
        <f t="shared" si="21"/>
        <v/>
      </c>
    </row>
    <row r="618" spans="3:5">
      <c r="C618" s="177" t="s">
        <v>148</v>
      </c>
      <c r="D618" s="177" t="s">
        <v>148</v>
      </c>
      <c r="E618" s="177" t="str">
        <f t="shared" si="21"/>
        <v/>
      </c>
    </row>
    <row r="619" spans="3:5">
      <c r="C619" s="177" t="s">
        <v>148</v>
      </c>
      <c r="D619" s="177" t="s">
        <v>148</v>
      </c>
      <c r="E619" s="177" t="str">
        <f t="shared" si="21"/>
        <v/>
      </c>
    </row>
    <row r="620" spans="3:5">
      <c r="C620" s="177" t="s">
        <v>148</v>
      </c>
      <c r="D620" s="177" t="s">
        <v>148</v>
      </c>
      <c r="E620" s="177" t="str">
        <f t="shared" si="21"/>
        <v/>
      </c>
    </row>
    <row r="621" spans="3:5">
      <c r="C621" s="177" t="s">
        <v>148</v>
      </c>
      <c r="D621" s="177" t="s">
        <v>148</v>
      </c>
      <c r="E621" s="177" t="str">
        <f t="shared" si="21"/>
        <v/>
      </c>
    </row>
    <row r="622" spans="3:5">
      <c r="C622" s="177" t="s">
        <v>148</v>
      </c>
      <c r="D622" s="177" t="s">
        <v>148</v>
      </c>
      <c r="E622" s="177" t="str">
        <f t="shared" si="21"/>
        <v/>
      </c>
    </row>
    <row r="623" spans="3:5">
      <c r="C623" s="177" t="s">
        <v>148</v>
      </c>
      <c r="D623" s="177" t="s">
        <v>148</v>
      </c>
      <c r="E623" s="177" t="str">
        <f t="shared" si="21"/>
        <v/>
      </c>
    </row>
    <row r="624" spans="3:5">
      <c r="C624" s="177" t="s">
        <v>148</v>
      </c>
      <c r="D624" s="177" t="s">
        <v>148</v>
      </c>
      <c r="E624" s="177" t="str">
        <f t="shared" si="21"/>
        <v/>
      </c>
    </row>
    <row r="625" spans="3:5">
      <c r="C625" s="177" t="s">
        <v>148</v>
      </c>
      <c r="D625" s="177" t="s">
        <v>148</v>
      </c>
      <c r="E625" s="177" t="str">
        <f t="shared" si="21"/>
        <v/>
      </c>
    </row>
    <row r="626" spans="3:5">
      <c r="C626" s="177" t="s">
        <v>148</v>
      </c>
      <c r="D626" s="177" t="s">
        <v>148</v>
      </c>
      <c r="E626" s="177" t="str">
        <f t="shared" si="21"/>
        <v/>
      </c>
    </row>
    <row r="627" spans="3:5">
      <c r="C627" s="177" t="s">
        <v>148</v>
      </c>
      <c r="D627" s="177" t="s">
        <v>148</v>
      </c>
      <c r="E627" s="177" t="str">
        <f t="shared" si="21"/>
        <v/>
      </c>
    </row>
    <row r="628" spans="3:5">
      <c r="C628" s="177" t="s">
        <v>148</v>
      </c>
      <c r="D628" s="177" t="s">
        <v>148</v>
      </c>
      <c r="E628" s="177" t="str">
        <f t="shared" si="21"/>
        <v/>
      </c>
    </row>
    <row r="629" spans="3:5">
      <c r="C629" s="177" t="s">
        <v>148</v>
      </c>
      <c r="D629" s="177" t="s">
        <v>148</v>
      </c>
      <c r="E629" s="177" t="str">
        <f t="shared" si="21"/>
        <v/>
      </c>
    </row>
    <row r="630" spans="3:5">
      <c r="C630" s="177" t="s">
        <v>148</v>
      </c>
      <c r="D630" s="177" t="s">
        <v>148</v>
      </c>
      <c r="E630" s="177" t="str">
        <f t="shared" si="21"/>
        <v/>
      </c>
    </row>
    <row r="631" spans="3:5">
      <c r="C631" s="177" t="s">
        <v>148</v>
      </c>
      <c r="D631" s="177" t="s">
        <v>148</v>
      </c>
      <c r="E631" s="177" t="str">
        <f t="shared" si="21"/>
        <v/>
      </c>
    </row>
    <row r="632" spans="3:5">
      <c r="C632" s="177" t="s">
        <v>148</v>
      </c>
      <c r="D632" s="177" t="s">
        <v>148</v>
      </c>
      <c r="E632" s="177" t="str">
        <f t="shared" si="21"/>
        <v/>
      </c>
    </row>
    <row r="633" spans="3:5">
      <c r="C633" s="177" t="s">
        <v>148</v>
      </c>
      <c r="D633" s="177" t="s">
        <v>148</v>
      </c>
      <c r="E633" s="177" t="str">
        <f t="shared" si="21"/>
        <v/>
      </c>
    </row>
    <row r="634" spans="3:5">
      <c r="C634" s="177" t="s">
        <v>148</v>
      </c>
      <c r="D634" s="177" t="s">
        <v>148</v>
      </c>
      <c r="E634" s="177" t="str">
        <f t="shared" si="21"/>
        <v/>
      </c>
    </row>
    <row r="635" spans="3:5">
      <c r="C635" s="177" t="s">
        <v>148</v>
      </c>
      <c r="D635" s="177" t="s">
        <v>148</v>
      </c>
      <c r="E635" s="177" t="str">
        <f t="shared" si="21"/>
        <v/>
      </c>
    </row>
    <row r="636" spans="3:5">
      <c r="C636" s="177" t="s">
        <v>148</v>
      </c>
      <c r="D636" s="177" t="s">
        <v>148</v>
      </c>
      <c r="E636" s="177" t="str">
        <f t="shared" si="21"/>
        <v/>
      </c>
    </row>
    <row r="637" spans="3:5">
      <c r="C637" s="177" t="s">
        <v>148</v>
      </c>
      <c r="D637" s="177" t="s">
        <v>148</v>
      </c>
      <c r="E637" s="177" t="str">
        <f t="shared" si="21"/>
        <v/>
      </c>
    </row>
    <row r="638" spans="3:5">
      <c r="C638" s="177" t="s">
        <v>148</v>
      </c>
      <c r="D638" s="177" t="s">
        <v>148</v>
      </c>
      <c r="E638" s="177" t="str">
        <f t="shared" si="21"/>
        <v/>
      </c>
    </row>
    <row r="639" spans="3:5">
      <c r="C639" s="177" t="s">
        <v>148</v>
      </c>
      <c r="D639" s="177" t="s">
        <v>148</v>
      </c>
      <c r="E639" s="177" t="str">
        <f t="shared" si="21"/>
        <v/>
      </c>
    </row>
    <row r="640" spans="3:5">
      <c r="C640" s="177" t="s">
        <v>148</v>
      </c>
      <c r="D640" s="177" t="s">
        <v>148</v>
      </c>
      <c r="E640" s="177" t="str">
        <f t="shared" si="21"/>
        <v/>
      </c>
    </row>
    <row r="641" spans="3:5">
      <c r="C641" s="177" t="s">
        <v>148</v>
      </c>
      <c r="D641" s="177" t="s">
        <v>148</v>
      </c>
      <c r="E641" s="177" t="str">
        <f t="shared" si="21"/>
        <v/>
      </c>
    </row>
    <row r="642" spans="3:5">
      <c r="C642" s="177" t="s">
        <v>148</v>
      </c>
      <c r="D642" s="177" t="s">
        <v>148</v>
      </c>
      <c r="E642" s="177" t="str">
        <f t="shared" si="21"/>
        <v/>
      </c>
    </row>
    <row r="643" spans="3:5">
      <c r="C643" s="177" t="s">
        <v>148</v>
      </c>
      <c r="D643" s="177" t="s">
        <v>148</v>
      </c>
      <c r="E643" s="177" t="str">
        <f t="shared" si="21"/>
        <v/>
      </c>
    </row>
    <row r="644" spans="3:5">
      <c r="C644" s="177" t="s">
        <v>148</v>
      </c>
      <c r="D644" s="177" t="s">
        <v>148</v>
      </c>
      <c r="E644" s="177" t="str">
        <f t="shared" ref="E644:E707" si="22">IF(C644&lt;D644,C644,D644)</f>
        <v/>
      </c>
    </row>
    <row r="645" spans="3:5">
      <c r="C645" s="177" t="s">
        <v>148</v>
      </c>
      <c r="D645" s="177" t="s">
        <v>148</v>
      </c>
      <c r="E645" s="177" t="str">
        <f t="shared" si="22"/>
        <v/>
      </c>
    </row>
    <row r="646" spans="3:5">
      <c r="C646" s="177" t="s">
        <v>148</v>
      </c>
      <c r="D646" s="177" t="s">
        <v>148</v>
      </c>
      <c r="E646" s="177" t="str">
        <f t="shared" si="22"/>
        <v/>
      </c>
    </row>
    <row r="647" spans="3:5">
      <c r="C647" s="177" t="s">
        <v>148</v>
      </c>
      <c r="D647" s="177" t="s">
        <v>148</v>
      </c>
      <c r="E647" s="177" t="str">
        <f t="shared" si="22"/>
        <v/>
      </c>
    </row>
    <row r="648" spans="3:5">
      <c r="C648" s="177" t="s">
        <v>148</v>
      </c>
      <c r="D648" s="177" t="s">
        <v>148</v>
      </c>
      <c r="E648" s="177" t="str">
        <f t="shared" si="22"/>
        <v/>
      </c>
    </row>
    <row r="649" spans="3:5">
      <c r="C649" s="177" t="s">
        <v>148</v>
      </c>
      <c r="D649" s="177" t="s">
        <v>148</v>
      </c>
      <c r="E649" s="177" t="str">
        <f t="shared" si="22"/>
        <v/>
      </c>
    </row>
    <row r="650" spans="3:5">
      <c r="C650" s="177" t="s">
        <v>148</v>
      </c>
      <c r="D650" s="177" t="s">
        <v>148</v>
      </c>
      <c r="E650" s="177" t="str">
        <f t="shared" si="22"/>
        <v/>
      </c>
    </row>
    <row r="651" spans="3:5">
      <c r="C651" s="177" t="s">
        <v>148</v>
      </c>
      <c r="D651" s="177" t="s">
        <v>148</v>
      </c>
      <c r="E651" s="177" t="str">
        <f t="shared" si="22"/>
        <v/>
      </c>
    </row>
    <row r="652" spans="3:5">
      <c r="C652" s="177" t="s">
        <v>148</v>
      </c>
      <c r="D652" s="177" t="s">
        <v>148</v>
      </c>
      <c r="E652" s="177" t="str">
        <f t="shared" si="22"/>
        <v/>
      </c>
    </row>
    <row r="653" spans="3:5">
      <c r="C653" s="177" t="s">
        <v>148</v>
      </c>
      <c r="D653" s="177" t="s">
        <v>148</v>
      </c>
      <c r="E653" s="177" t="str">
        <f t="shared" si="22"/>
        <v/>
      </c>
    </row>
    <row r="654" spans="3:5">
      <c r="C654" s="177" t="s">
        <v>148</v>
      </c>
      <c r="D654" s="177" t="s">
        <v>148</v>
      </c>
      <c r="E654" s="177" t="str">
        <f t="shared" si="22"/>
        <v/>
      </c>
    </row>
    <row r="655" spans="3:5">
      <c r="C655" s="177" t="s">
        <v>148</v>
      </c>
      <c r="D655" s="177" t="s">
        <v>148</v>
      </c>
      <c r="E655" s="177" t="str">
        <f t="shared" si="22"/>
        <v/>
      </c>
    </row>
    <row r="656" spans="3:5">
      <c r="C656" s="177" t="s">
        <v>148</v>
      </c>
      <c r="D656" s="177" t="s">
        <v>148</v>
      </c>
      <c r="E656" s="177" t="str">
        <f t="shared" si="22"/>
        <v/>
      </c>
    </row>
    <row r="657" spans="3:5">
      <c r="C657" s="177" t="s">
        <v>148</v>
      </c>
      <c r="D657" s="177" t="s">
        <v>148</v>
      </c>
      <c r="E657" s="177" t="str">
        <f t="shared" si="22"/>
        <v/>
      </c>
    </row>
    <row r="658" spans="3:5">
      <c r="C658" s="177" t="s">
        <v>148</v>
      </c>
      <c r="D658" s="177" t="s">
        <v>148</v>
      </c>
      <c r="E658" s="177" t="str">
        <f t="shared" si="22"/>
        <v/>
      </c>
    </row>
    <row r="659" spans="3:5">
      <c r="C659" s="177" t="s">
        <v>148</v>
      </c>
      <c r="D659" s="177" t="s">
        <v>148</v>
      </c>
      <c r="E659" s="177" t="str">
        <f t="shared" si="22"/>
        <v/>
      </c>
    </row>
    <row r="660" spans="3:5">
      <c r="C660" s="177" t="s">
        <v>148</v>
      </c>
      <c r="D660" s="177" t="s">
        <v>148</v>
      </c>
      <c r="E660" s="177" t="str">
        <f t="shared" si="22"/>
        <v/>
      </c>
    </row>
    <row r="661" spans="3:5">
      <c r="C661" s="177" t="s">
        <v>148</v>
      </c>
      <c r="D661" s="177" t="s">
        <v>148</v>
      </c>
      <c r="E661" s="177" t="str">
        <f t="shared" si="22"/>
        <v/>
      </c>
    </row>
    <row r="662" spans="3:5">
      <c r="C662" s="177" t="s">
        <v>148</v>
      </c>
      <c r="D662" s="177" t="s">
        <v>148</v>
      </c>
      <c r="E662" s="177" t="str">
        <f t="shared" si="22"/>
        <v/>
      </c>
    </row>
    <row r="663" spans="3:5">
      <c r="C663" s="177" t="s">
        <v>148</v>
      </c>
      <c r="D663" s="177" t="s">
        <v>148</v>
      </c>
      <c r="E663" s="177" t="str">
        <f t="shared" si="22"/>
        <v/>
      </c>
    </row>
    <row r="664" spans="3:5">
      <c r="C664" s="177" t="s">
        <v>148</v>
      </c>
      <c r="D664" s="177" t="s">
        <v>148</v>
      </c>
      <c r="E664" s="177" t="str">
        <f t="shared" si="22"/>
        <v/>
      </c>
    </row>
    <row r="665" spans="3:5">
      <c r="C665" s="177" t="s">
        <v>148</v>
      </c>
      <c r="D665" s="177" t="s">
        <v>148</v>
      </c>
      <c r="E665" s="177" t="str">
        <f t="shared" si="22"/>
        <v/>
      </c>
    </row>
    <row r="666" spans="3:5">
      <c r="C666" s="177" t="s">
        <v>148</v>
      </c>
      <c r="D666" s="177" t="s">
        <v>148</v>
      </c>
      <c r="E666" s="177" t="str">
        <f t="shared" si="22"/>
        <v/>
      </c>
    </row>
    <row r="667" spans="3:5">
      <c r="C667" s="177" t="s">
        <v>148</v>
      </c>
      <c r="D667" s="177" t="s">
        <v>148</v>
      </c>
      <c r="E667" s="177" t="str">
        <f t="shared" si="22"/>
        <v/>
      </c>
    </row>
    <row r="668" spans="3:5">
      <c r="C668" s="177" t="s">
        <v>148</v>
      </c>
      <c r="D668" s="177" t="s">
        <v>148</v>
      </c>
      <c r="E668" s="177" t="str">
        <f t="shared" si="22"/>
        <v/>
      </c>
    </row>
    <row r="669" spans="3:5">
      <c r="C669" s="177" t="s">
        <v>148</v>
      </c>
      <c r="D669" s="177" t="s">
        <v>148</v>
      </c>
      <c r="E669" s="177" t="str">
        <f t="shared" si="22"/>
        <v/>
      </c>
    </row>
    <row r="670" spans="3:5">
      <c r="C670" s="177" t="s">
        <v>148</v>
      </c>
      <c r="D670" s="177" t="s">
        <v>148</v>
      </c>
      <c r="E670" s="177" t="str">
        <f t="shared" si="22"/>
        <v/>
      </c>
    </row>
    <row r="671" spans="3:5">
      <c r="C671" s="177" t="s">
        <v>148</v>
      </c>
      <c r="D671" s="177" t="s">
        <v>148</v>
      </c>
      <c r="E671" s="177" t="str">
        <f t="shared" si="22"/>
        <v/>
      </c>
    </row>
    <row r="672" spans="3:5">
      <c r="C672" s="177" t="s">
        <v>148</v>
      </c>
      <c r="D672" s="177" t="s">
        <v>148</v>
      </c>
      <c r="E672" s="177" t="str">
        <f t="shared" si="22"/>
        <v/>
      </c>
    </row>
    <row r="673" spans="3:5">
      <c r="C673" s="177" t="s">
        <v>148</v>
      </c>
      <c r="D673" s="177" t="s">
        <v>148</v>
      </c>
      <c r="E673" s="177" t="str">
        <f t="shared" si="22"/>
        <v/>
      </c>
    </row>
    <row r="674" spans="3:5">
      <c r="C674" s="177" t="s">
        <v>148</v>
      </c>
      <c r="D674" s="177" t="s">
        <v>148</v>
      </c>
      <c r="E674" s="177" t="str">
        <f t="shared" si="22"/>
        <v/>
      </c>
    </row>
    <row r="675" spans="3:5">
      <c r="C675" s="177" t="s">
        <v>148</v>
      </c>
      <c r="D675" s="177" t="s">
        <v>148</v>
      </c>
      <c r="E675" s="177" t="str">
        <f t="shared" si="22"/>
        <v/>
      </c>
    </row>
    <row r="676" spans="3:5">
      <c r="C676" s="177" t="s">
        <v>148</v>
      </c>
      <c r="D676" s="177" t="s">
        <v>148</v>
      </c>
      <c r="E676" s="177" t="str">
        <f t="shared" si="22"/>
        <v/>
      </c>
    </row>
    <row r="677" spans="3:5">
      <c r="C677" s="177" t="s">
        <v>148</v>
      </c>
      <c r="D677" s="177" t="s">
        <v>148</v>
      </c>
      <c r="E677" s="177" t="str">
        <f t="shared" si="22"/>
        <v/>
      </c>
    </row>
    <row r="678" spans="3:5">
      <c r="C678" s="177" t="s">
        <v>148</v>
      </c>
      <c r="D678" s="177" t="s">
        <v>148</v>
      </c>
      <c r="E678" s="177" t="str">
        <f t="shared" si="22"/>
        <v/>
      </c>
    </row>
    <row r="679" spans="3:5">
      <c r="C679" s="177" t="s">
        <v>148</v>
      </c>
      <c r="D679" s="177" t="s">
        <v>148</v>
      </c>
      <c r="E679" s="177" t="str">
        <f t="shared" si="22"/>
        <v/>
      </c>
    </row>
    <row r="680" spans="3:5">
      <c r="C680" s="177" t="s">
        <v>148</v>
      </c>
      <c r="D680" s="177" t="s">
        <v>148</v>
      </c>
      <c r="E680" s="177" t="str">
        <f t="shared" si="22"/>
        <v/>
      </c>
    </row>
    <row r="681" spans="3:5">
      <c r="C681" s="177" t="s">
        <v>148</v>
      </c>
      <c r="D681" s="177" t="s">
        <v>148</v>
      </c>
      <c r="E681" s="177" t="str">
        <f t="shared" si="22"/>
        <v/>
      </c>
    </row>
    <row r="682" spans="3:5">
      <c r="C682" s="177" t="s">
        <v>148</v>
      </c>
      <c r="D682" s="177" t="s">
        <v>148</v>
      </c>
      <c r="E682" s="177" t="str">
        <f t="shared" si="22"/>
        <v/>
      </c>
    </row>
    <row r="683" spans="3:5">
      <c r="C683" s="177" t="s">
        <v>148</v>
      </c>
      <c r="D683" s="177" t="s">
        <v>148</v>
      </c>
      <c r="E683" s="177" t="str">
        <f t="shared" si="22"/>
        <v/>
      </c>
    </row>
    <row r="684" spans="3:5">
      <c r="C684" s="177" t="s">
        <v>148</v>
      </c>
      <c r="D684" s="177" t="s">
        <v>148</v>
      </c>
      <c r="E684" s="177" t="str">
        <f t="shared" si="22"/>
        <v/>
      </c>
    </row>
    <row r="685" spans="3:5">
      <c r="C685" s="177" t="s">
        <v>148</v>
      </c>
      <c r="D685" s="177" t="s">
        <v>148</v>
      </c>
      <c r="E685" s="177" t="str">
        <f t="shared" si="22"/>
        <v/>
      </c>
    </row>
    <row r="686" spans="3:5">
      <c r="C686" s="177" t="s">
        <v>148</v>
      </c>
      <c r="D686" s="177" t="s">
        <v>148</v>
      </c>
      <c r="E686" s="177" t="str">
        <f t="shared" si="22"/>
        <v/>
      </c>
    </row>
    <row r="687" spans="3:5">
      <c r="C687" s="177" t="s">
        <v>148</v>
      </c>
      <c r="D687" s="177" t="s">
        <v>148</v>
      </c>
      <c r="E687" s="177" t="str">
        <f t="shared" si="22"/>
        <v/>
      </c>
    </row>
    <row r="688" spans="3:5">
      <c r="C688" s="177" t="s">
        <v>148</v>
      </c>
      <c r="D688" s="177" t="s">
        <v>148</v>
      </c>
      <c r="E688" s="177" t="str">
        <f t="shared" si="22"/>
        <v/>
      </c>
    </row>
    <row r="689" spans="3:5">
      <c r="C689" s="177" t="s">
        <v>148</v>
      </c>
      <c r="D689" s="177" t="s">
        <v>148</v>
      </c>
      <c r="E689" s="177" t="str">
        <f t="shared" si="22"/>
        <v/>
      </c>
    </row>
    <row r="690" spans="3:5">
      <c r="C690" s="177" t="s">
        <v>148</v>
      </c>
      <c r="D690" s="177" t="s">
        <v>148</v>
      </c>
      <c r="E690" s="177" t="str">
        <f t="shared" si="22"/>
        <v/>
      </c>
    </row>
    <row r="691" spans="3:5">
      <c r="C691" s="177" t="s">
        <v>148</v>
      </c>
      <c r="D691" s="177" t="s">
        <v>148</v>
      </c>
      <c r="E691" s="177" t="str">
        <f t="shared" si="22"/>
        <v/>
      </c>
    </row>
    <row r="692" spans="3:5">
      <c r="C692" s="177" t="s">
        <v>148</v>
      </c>
      <c r="D692" s="177" t="s">
        <v>148</v>
      </c>
      <c r="E692" s="177" t="str">
        <f t="shared" si="22"/>
        <v/>
      </c>
    </row>
    <row r="693" spans="3:5">
      <c r="C693" s="177" t="s">
        <v>148</v>
      </c>
      <c r="D693" s="177" t="s">
        <v>148</v>
      </c>
      <c r="E693" s="177" t="str">
        <f t="shared" si="22"/>
        <v/>
      </c>
    </row>
    <row r="694" spans="3:5">
      <c r="C694" s="177" t="s">
        <v>148</v>
      </c>
      <c r="D694" s="177" t="s">
        <v>148</v>
      </c>
      <c r="E694" s="177" t="str">
        <f t="shared" si="22"/>
        <v/>
      </c>
    </row>
    <row r="695" spans="3:5">
      <c r="C695" s="177" t="s">
        <v>148</v>
      </c>
      <c r="D695" s="177" t="s">
        <v>148</v>
      </c>
      <c r="E695" s="177" t="str">
        <f t="shared" si="22"/>
        <v/>
      </c>
    </row>
    <row r="696" spans="3:5">
      <c r="C696" s="177" t="s">
        <v>148</v>
      </c>
      <c r="D696" s="177" t="s">
        <v>148</v>
      </c>
      <c r="E696" s="177" t="str">
        <f t="shared" si="22"/>
        <v/>
      </c>
    </row>
    <row r="697" spans="3:5">
      <c r="C697" s="177" t="s">
        <v>148</v>
      </c>
      <c r="D697" s="177" t="s">
        <v>148</v>
      </c>
      <c r="E697" s="177" t="str">
        <f t="shared" si="22"/>
        <v/>
      </c>
    </row>
    <row r="698" spans="3:5">
      <c r="C698" s="177" t="s">
        <v>148</v>
      </c>
      <c r="D698" s="177" t="s">
        <v>148</v>
      </c>
      <c r="E698" s="177" t="str">
        <f t="shared" si="22"/>
        <v/>
      </c>
    </row>
    <row r="699" spans="3:5">
      <c r="C699" s="177" t="s">
        <v>148</v>
      </c>
      <c r="D699" s="177" t="s">
        <v>148</v>
      </c>
      <c r="E699" s="177" t="str">
        <f t="shared" si="22"/>
        <v/>
      </c>
    </row>
    <row r="700" spans="3:5">
      <c r="C700" s="177" t="s">
        <v>148</v>
      </c>
      <c r="D700" s="177" t="s">
        <v>148</v>
      </c>
      <c r="E700" s="177" t="str">
        <f t="shared" si="22"/>
        <v/>
      </c>
    </row>
    <row r="701" spans="3:5">
      <c r="C701" s="177" t="s">
        <v>148</v>
      </c>
      <c r="D701" s="177" t="s">
        <v>148</v>
      </c>
      <c r="E701" s="177" t="str">
        <f t="shared" si="22"/>
        <v/>
      </c>
    </row>
    <row r="702" spans="3:5">
      <c r="C702" s="177" t="s">
        <v>148</v>
      </c>
      <c r="D702" s="177" t="s">
        <v>148</v>
      </c>
      <c r="E702" s="177" t="str">
        <f t="shared" si="22"/>
        <v/>
      </c>
    </row>
    <row r="703" spans="3:5">
      <c r="C703" s="177" t="s">
        <v>148</v>
      </c>
      <c r="D703" s="177" t="s">
        <v>148</v>
      </c>
      <c r="E703" s="177" t="str">
        <f t="shared" si="22"/>
        <v/>
      </c>
    </row>
    <row r="704" spans="3:5">
      <c r="C704" s="177" t="s">
        <v>148</v>
      </c>
      <c r="D704" s="177" t="s">
        <v>148</v>
      </c>
      <c r="E704" s="177" t="str">
        <f t="shared" si="22"/>
        <v/>
      </c>
    </row>
    <row r="705" spans="3:5">
      <c r="C705" s="177" t="s">
        <v>148</v>
      </c>
      <c r="D705" s="177" t="s">
        <v>148</v>
      </c>
      <c r="E705" s="177" t="str">
        <f t="shared" si="22"/>
        <v/>
      </c>
    </row>
    <row r="706" spans="3:5">
      <c r="C706" s="177" t="s">
        <v>148</v>
      </c>
      <c r="D706" s="177" t="s">
        <v>148</v>
      </c>
      <c r="E706" s="177" t="str">
        <f t="shared" si="22"/>
        <v/>
      </c>
    </row>
    <row r="707" spans="3:5">
      <c r="C707" s="177" t="s">
        <v>148</v>
      </c>
      <c r="D707" s="177" t="s">
        <v>148</v>
      </c>
      <c r="E707" s="177" t="str">
        <f t="shared" si="22"/>
        <v/>
      </c>
    </row>
    <row r="708" spans="3:5">
      <c r="C708" s="177" t="s">
        <v>148</v>
      </c>
      <c r="D708" s="177" t="s">
        <v>148</v>
      </c>
      <c r="E708" s="177" t="str">
        <f t="shared" ref="E708:E771" si="23">IF(C708&lt;D708,C708,D708)</f>
        <v/>
      </c>
    </row>
    <row r="709" spans="3:5">
      <c r="C709" s="177" t="s">
        <v>148</v>
      </c>
      <c r="D709" s="177" t="s">
        <v>148</v>
      </c>
      <c r="E709" s="177" t="str">
        <f t="shared" si="23"/>
        <v/>
      </c>
    </row>
    <row r="710" spans="3:5">
      <c r="C710" s="177" t="s">
        <v>148</v>
      </c>
      <c r="D710" s="177" t="s">
        <v>148</v>
      </c>
      <c r="E710" s="177" t="str">
        <f t="shared" si="23"/>
        <v/>
      </c>
    </row>
    <row r="711" spans="3:5">
      <c r="C711" s="177" t="s">
        <v>148</v>
      </c>
      <c r="D711" s="177" t="s">
        <v>148</v>
      </c>
      <c r="E711" s="177" t="str">
        <f t="shared" si="23"/>
        <v/>
      </c>
    </row>
    <row r="712" spans="3:5">
      <c r="C712" s="177" t="s">
        <v>148</v>
      </c>
      <c r="D712" s="177" t="s">
        <v>148</v>
      </c>
      <c r="E712" s="177" t="str">
        <f t="shared" si="23"/>
        <v/>
      </c>
    </row>
    <row r="713" spans="3:5">
      <c r="C713" s="177" t="s">
        <v>148</v>
      </c>
      <c r="D713" s="177" t="s">
        <v>148</v>
      </c>
      <c r="E713" s="177" t="str">
        <f t="shared" si="23"/>
        <v/>
      </c>
    </row>
    <row r="714" spans="3:5">
      <c r="C714" s="177" t="s">
        <v>148</v>
      </c>
      <c r="D714" s="177" t="s">
        <v>148</v>
      </c>
      <c r="E714" s="177" t="str">
        <f t="shared" si="23"/>
        <v/>
      </c>
    </row>
    <row r="715" spans="3:5">
      <c r="C715" s="177" t="s">
        <v>148</v>
      </c>
      <c r="D715" s="177" t="s">
        <v>148</v>
      </c>
      <c r="E715" s="177" t="str">
        <f t="shared" si="23"/>
        <v/>
      </c>
    </row>
    <row r="716" spans="3:5">
      <c r="C716" s="177" t="s">
        <v>148</v>
      </c>
      <c r="D716" s="177" t="s">
        <v>148</v>
      </c>
      <c r="E716" s="177" t="str">
        <f t="shared" si="23"/>
        <v/>
      </c>
    </row>
    <row r="717" spans="3:5">
      <c r="C717" s="177" t="s">
        <v>148</v>
      </c>
      <c r="D717" s="177" t="s">
        <v>148</v>
      </c>
      <c r="E717" s="177" t="str">
        <f t="shared" si="23"/>
        <v/>
      </c>
    </row>
    <row r="718" spans="3:5">
      <c r="C718" s="177" t="s">
        <v>148</v>
      </c>
      <c r="D718" s="177" t="s">
        <v>148</v>
      </c>
      <c r="E718" s="177" t="str">
        <f t="shared" si="23"/>
        <v/>
      </c>
    </row>
    <row r="719" spans="3:5">
      <c r="C719" s="177" t="s">
        <v>148</v>
      </c>
      <c r="D719" s="177" t="s">
        <v>148</v>
      </c>
      <c r="E719" s="177" t="str">
        <f t="shared" si="23"/>
        <v/>
      </c>
    </row>
    <row r="720" spans="3:5">
      <c r="C720" s="177" t="s">
        <v>148</v>
      </c>
      <c r="D720" s="177" t="s">
        <v>148</v>
      </c>
      <c r="E720" s="177" t="str">
        <f t="shared" si="23"/>
        <v/>
      </c>
    </row>
    <row r="721" spans="3:5">
      <c r="C721" s="177" t="s">
        <v>148</v>
      </c>
      <c r="D721" s="177" t="s">
        <v>148</v>
      </c>
      <c r="E721" s="177" t="str">
        <f t="shared" si="23"/>
        <v/>
      </c>
    </row>
    <row r="722" spans="3:5">
      <c r="C722" s="177" t="s">
        <v>148</v>
      </c>
      <c r="D722" s="177" t="s">
        <v>148</v>
      </c>
      <c r="E722" s="177" t="str">
        <f t="shared" si="23"/>
        <v/>
      </c>
    </row>
    <row r="723" spans="3:5">
      <c r="C723" s="177" t="s">
        <v>148</v>
      </c>
      <c r="D723" s="177" t="s">
        <v>148</v>
      </c>
      <c r="E723" s="177" t="str">
        <f t="shared" si="23"/>
        <v/>
      </c>
    </row>
    <row r="724" spans="3:5">
      <c r="C724" s="177" t="s">
        <v>148</v>
      </c>
      <c r="D724" s="177" t="s">
        <v>148</v>
      </c>
      <c r="E724" s="177" t="str">
        <f t="shared" si="23"/>
        <v/>
      </c>
    </row>
    <row r="725" spans="3:5">
      <c r="C725" s="177" t="s">
        <v>148</v>
      </c>
      <c r="D725" s="177" t="s">
        <v>148</v>
      </c>
      <c r="E725" s="177" t="str">
        <f t="shared" si="23"/>
        <v/>
      </c>
    </row>
    <row r="726" spans="3:5">
      <c r="C726" s="177" t="s">
        <v>148</v>
      </c>
      <c r="D726" s="177" t="s">
        <v>148</v>
      </c>
      <c r="E726" s="177" t="str">
        <f t="shared" si="23"/>
        <v/>
      </c>
    </row>
    <row r="727" spans="3:5">
      <c r="C727" s="177" t="s">
        <v>148</v>
      </c>
      <c r="D727" s="177" t="s">
        <v>148</v>
      </c>
      <c r="E727" s="177" t="str">
        <f t="shared" si="23"/>
        <v/>
      </c>
    </row>
    <row r="728" spans="3:5">
      <c r="C728" s="177" t="s">
        <v>148</v>
      </c>
      <c r="D728" s="177" t="s">
        <v>148</v>
      </c>
      <c r="E728" s="177" t="str">
        <f t="shared" si="23"/>
        <v/>
      </c>
    </row>
    <row r="729" spans="3:5">
      <c r="C729" s="177" t="s">
        <v>148</v>
      </c>
      <c r="D729" s="177" t="s">
        <v>148</v>
      </c>
      <c r="E729" s="177" t="str">
        <f t="shared" si="23"/>
        <v/>
      </c>
    </row>
    <row r="730" spans="3:5">
      <c r="C730" s="177" t="s">
        <v>148</v>
      </c>
      <c r="D730" s="177" t="s">
        <v>148</v>
      </c>
      <c r="E730" s="177" t="str">
        <f t="shared" si="23"/>
        <v/>
      </c>
    </row>
    <row r="731" spans="3:5">
      <c r="C731" s="177" t="s">
        <v>148</v>
      </c>
      <c r="D731" s="177" t="s">
        <v>148</v>
      </c>
      <c r="E731" s="177" t="str">
        <f t="shared" si="23"/>
        <v/>
      </c>
    </row>
    <row r="732" spans="3:5">
      <c r="C732" s="177" t="s">
        <v>148</v>
      </c>
      <c r="D732" s="177" t="s">
        <v>148</v>
      </c>
      <c r="E732" s="177" t="str">
        <f t="shared" si="23"/>
        <v/>
      </c>
    </row>
    <row r="733" spans="3:5">
      <c r="C733" s="177" t="s">
        <v>148</v>
      </c>
      <c r="D733" s="177" t="s">
        <v>148</v>
      </c>
      <c r="E733" s="177" t="str">
        <f t="shared" si="23"/>
        <v/>
      </c>
    </row>
    <row r="734" spans="3:5">
      <c r="C734" s="177" t="s">
        <v>148</v>
      </c>
      <c r="D734" s="177" t="s">
        <v>148</v>
      </c>
      <c r="E734" s="177" t="str">
        <f t="shared" si="23"/>
        <v/>
      </c>
    </row>
    <row r="735" spans="3:5">
      <c r="C735" s="177" t="s">
        <v>148</v>
      </c>
      <c r="D735" s="177" t="s">
        <v>148</v>
      </c>
      <c r="E735" s="177" t="str">
        <f t="shared" si="23"/>
        <v/>
      </c>
    </row>
    <row r="736" spans="3:5">
      <c r="C736" s="177" t="s">
        <v>148</v>
      </c>
      <c r="D736" s="177" t="s">
        <v>148</v>
      </c>
      <c r="E736" s="177" t="str">
        <f t="shared" si="23"/>
        <v/>
      </c>
    </row>
    <row r="737" spans="3:5">
      <c r="C737" s="177" t="s">
        <v>148</v>
      </c>
      <c r="D737" s="177" t="s">
        <v>148</v>
      </c>
      <c r="E737" s="177" t="str">
        <f t="shared" si="23"/>
        <v/>
      </c>
    </row>
    <row r="738" spans="3:5">
      <c r="C738" s="177" t="s">
        <v>148</v>
      </c>
      <c r="D738" s="177" t="s">
        <v>148</v>
      </c>
      <c r="E738" s="177" t="str">
        <f t="shared" si="23"/>
        <v/>
      </c>
    </row>
    <row r="739" spans="3:5">
      <c r="C739" s="177" t="s">
        <v>148</v>
      </c>
      <c r="D739" s="177" t="s">
        <v>148</v>
      </c>
      <c r="E739" s="177" t="str">
        <f t="shared" si="23"/>
        <v/>
      </c>
    </row>
    <row r="740" spans="3:5">
      <c r="C740" s="177" t="s">
        <v>148</v>
      </c>
      <c r="D740" s="177" t="s">
        <v>148</v>
      </c>
      <c r="E740" s="177" t="str">
        <f t="shared" si="23"/>
        <v/>
      </c>
    </row>
    <row r="741" spans="3:5">
      <c r="C741" s="177" t="s">
        <v>148</v>
      </c>
      <c r="D741" s="177" t="s">
        <v>148</v>
      </c>
      <c r="E741" s="177" t="str">
        <f t="shared" si="23"/>
        <v/>
      </c>
    </row>
    <row r="742" spans="3:5">
      <c r="C742" s="177" t="s">
        <v>148</v>
      </c>
      <c r="D742" s="177" t="s">
        <v>148</v>
      </c>
      <c r="E742" s="177" t="str">
        <f t="shared" si="23"/>
        <v/>
      </c>
    </row>
    <row r="743" spans="3:5">
      <c r="C743" s="177" t="s">
        <v>148</v>
      </c>
      <c r="D743" s="177" t="s">
        <v>148</v>
      </c>
      <c r="E743" s="177" t="str">
        <f t="shared" si="23"/>
        <v/>
      </c>
    </row>
    <row r="744" spans="3:5">
      <c r="C744" s="177" t="s">
        <v>148</v>
      </c>
      <c r="D744" s="177" t="s">
        <v>148</v>
      </c>
      <c r="E744" s="177" t="str">
        <f t="shared" si="23"/>
        <v/>
      </c>
    </row>
    <row r="745" spans="3:5">
      <c r="C745" s="177" t="s">
        <v>148</v>
      </c>
      <c r="D745" s="177" t="s">
        <v>148</v>
      </c>
      <c r="E745" s="177" t="str">
        <f t="shared" si="23"/>
        <v/>
      </c>
    </row>
    <row r="746" spans="3:5">
      <c r="C746" s="177" t="s">
        <v>148</v>
      </c>
      <c r="D746" s="177" t="s">
        <v>148</v>
      </c>
      <c r="E746" s="177" t="str">
        <f t="shared" si="23"/>
        <v/>
      </c>
    </row>
    <row r="747" spans="3:5">
      <c r="C747" s="177" t="s">
        <v>148</v>
      </c>
      <c r="D747" s="177" t="s">
        <v>148</v>
      </c>
      <c r="E747" s="177" t="str">
        <f t="shared" si="23"/>
        <v/>
      </c>
    </row>
    <row r="748" spans="3:5">
      <c r="C748" s="177" t="s">
        <v>148</v>
      </c>
      <c r="D748" s="177" t="s">
        <v>148</v>
      </c>
      <c r="E748" s="177" t="str">
        <f t="shared" si="23"/>
        <v/>
      </c>
    </row>
    <row r="749" spans="3:5">
      <c r="C749" s="177" t="s">
        <v>148</v>
      </c>
      <c r="D749" s="177" t="s">
        <v>148</v>
      </c>
      <c r="E749" s="177" t="str">
        <f t="shared" si="23"/>
        <v/>
      </c>
    </row>
    <row r="750" spans="3:5">
      <c r="C750" s="177" t="s">
        <v>148</v>
      </c>
      <c r="D750" s="177" t="s">
        <v>148</v>
      </c>
      <c r="E750" s="177" t="str">
        <f t="shared" si="23"/>
        <v/>
      </c>
    </row>
    <row r="751" spans="3:5">
      <c r="C751" s="177" t="s">
        <v>148</v>
      </c>
      <c r="D751" s="177" t="s">
        <v>148</v>
      </c>
      <c r="E751" s="177" t="str">
        <f t="shared" si="23"/>
        <v/>
      </c>
    </row>
    <row r="752" spans="3:5">
      <c r="C752" s="177" t="s">
        <v>148</v>
      </c>
      <c r="D752" s="177" t="s">
        <v>148</v>
      </c>
      <c r="E752" s="177" t="str">
        <f t="shared" si="23"/>
        <v/>
      </c>
    </row>
    <row r="753" spans="3:5">
      <c r="C753" s="177" t="s">
        <v>148</v>
      </c>
      <c r="D753" s="177" t="s">
        <v>148</v>
      </c>
      <c r="E753" s="177" t="str">
        <f t="shared" si="23"/>
        <v/>
      </c>
    </row>
    <row r="754" spans="3:5">
      <c r="C754" s="177" t="s">
        <v>148</v>
      </c>
      <c r="D754" s="177" t="s">
        <v>148</v>
      </c>
      <c r="E754" s="177" t="str">
        <f t="shared" si="23"/>
        <v/>
      </c>
    </row>
    <row r="755" spans="3:5">
      <c r="C755" s="177" t="s">
        <v>148</v>
      </c>
      <c r="D755" s="177" t="s">
        <v>148</v>
      </c>
      <c r="E755" s="177" t="str">
        <f t="shared" si="23"/>
        <v/>
      </c>
    </row>
    <row r="756" spans="3:5">
      <c r="C756" s="177" t="s">
        <v>148</v>
      </c>
      <c r="D756" s="177" t="s">
        <v>148</v>
      </c>
      <c r="E756" s="177" t="str">
        <f t="shared" si="23"/>
        <v/>
      </c>
    </row>
    <row r="757" spans="3:5">
      <c r="C757" s="177" t="s">
        <v>148</v>
      </c>
      <c r="D757" s="177" t="s">
        <v>148</v>
      </c>
      <c r="E757" s="177" t="str">
        <f t="shared" si="23"/>
        <v/>
      </c>
    </row>
    <row r="758" spans="3:5">
      <c r="C758" s="177" t="s">
        <v>148</v>
      </c>
      <c r="D758" s="177" t="s">
        <v>148</v>
      </c>
      <c r="E758" s="177" t="str">
        <f t="shared" si="23"/>
        <v/>
      </c>
    </row>
    <row r="759" spans="3:5">
      <c r="C759" s="177" t="s">
        <v>148</v>
      </c>
      <c r="D759" s="177" t="s">
        <v>148</v>
      </c>
      <c r="E759" s="177" t="str">
        <f t="shared" si="23"/>
        <v/>
      </c>
    </row>
    <row r="760" spans="3:5">
      <c r="C760" s="177" t="s">
        <v>148</v>
      </c>
      <c r="D760" s="177" t="s">
        <v>148</v>
      </c>
      <c r="E760" s="177" t="str">
        <f t="shared" si="23"/>
        <v/>
      </c>
    </row>
    <row r="761" spans="3:5">
      <c r="C761" s="177" t="s">
        <v>148</v>
      </c>
      <c r="D761" s="177" t="s">
        <v>148</v>
      </c>
      <c r="E761" s="177" t="str">
        <f t="shared" si="23"/>
        <v/>
      </c>
    </row>
    <row r="762" spans="3:5">
      <c r="C762" s="177" t="s">
        <v>148</v>
      </c>
      <c r="D762" s="177" t="s">
        <v>148</v>
      </c>
      <c r="E762" s="177" t="str">
        <f t="shared" si="23"/>
        <v/>
      </c>
    </row>
    <row r="763" spans="3:5">
      <c r="C763" s="177" t="s">
        <v>148</v>
      </c>
      <c r="D763" s="177" t="s">
        <v>148</v>
      </c>
      <c r="E763" s="177" t="str">
        <f t="shared" si="23"/>
        <v/>
      </c>
    </row>
    <row r="764" spans="3:5">
      <c r="C764" s="177" t="s">
        <v>148</v>
      </c>
      <c r="D764" s="177" t="s">
        <v>148</v>
      </c>
      <c r="E764" s="177" t="str">
        <f t="shared" si="23"/>
        <v/>
      </c>
    </row>
    <row r="765" spans="3:5">
      <c r="C765" s="177" t="s">
        <v>148</v>
      </c>
      <c r="D765" s="177" t="s">
        <v>148</v>
      </c>
      <c r="E765" s="177" t="str">
        <f t="shared" si="23"/>
        <v/>
      </c>
    </row>
    <row r="766" spans="3:5">
      <c r="C766" s="177" t="s">
        <v>148</v>
      </c>
      <c r="D766" s="177" t="s">
        <v>148</v>
      </c>
      <c r="E766" s="177" t="str">
        <f t="shared" si="23"/>
        <v/>
      </c>
    </row>
    <row r="767" spans="3:5">
      <c r="C767" s="177" t="s">
        <v>148</v>
      </c>
      <c r="D767" s="177" t="s">
        <v>148</v>
      </c>
      <c r="E767" s="177" t="str">
        <f t="shared" si="23"/>
        <v/>
      </c>
    </row>
    <row r="768" spans="3:5">
      <c r="C768" s="177" t="s">
        <v>148</v>
      </c>
      <c r="D768" s="177" t="s">
        <v>148</v>
      </c>
      <c r="E768" s="177" t="str">
        <f t="shared" si="23"/>
        <v/>
      </c>
    </row>
    <row r="769" spans="3:5">
      <c r="C769" s="177" t="s">
        <v>148</v>
      </c>
      <c r="D769" s="177" t="s">
        <v>148</v>
      </c>
      <c r="E769" s="177" t="str">
        <f t="shared" si="23"/>
        <v/>
      </c>
    </row>
    <row r="770" spans="3:5">
      <c r="C770" s="177" t="s">
        <v>148</v>
      </c>
      <c r="D770" s="177" t="s">
        <v>148</v>
      </c>
      <c r="E770" s="177" t="str">
        <f t="shared" si="23"/>
        <v/>
      </c>
    </row>
    <row r="771" spans="3:5">
      <c r="C771" s="177" t="s">
        <v>148</v>
      </c>
      <c r="D771" s="177" t="s">
        <v>148</v>
      </c>
      <c r="E771" s="177" t="str">
        <f t="shared" si="23"/>
        <v/>
      </c>
    </row>
    <row r="772" spans="3:5">
      <c r="C772" s="177" t="s">
        <v>148</v>
      </c>
      <c r="D772" s="177" t="s">
        <v>148</v>
      </c>
      <c r="E772" s="177" t="str">
        <f t="shared" ref="E772:E835" si="24">IF(C772&lt;D772,C772,D772)</f>
        <v/>
      </c>
    </row>
    <row r="773" spans="3:5">
      <c r="C773" s="177" t="s">
        <v>148</v>
      </c>
      <c r="D773" s="177" t="s">
        <v>148</v>
      </c>
      <c r="E773" s="177" t="str">
        <f t="shared" si="24"/>
        <v/>
      </c>
    </row>
    <row r="774" spans="3:5">
      <c r="C774" s="177" t="s">
        <v>148</v>
      </c>
      <c r="D774" s="177" t="s">
        <v>148</v>
      </c>
      <c r="E774" s="177" t="str">
        <f t="shared" si="24"/>
        <v/>
      </c>
    </row>
    <row r="775" spans="3:5">
      <c r="C775" s="177" t="s">
        <v>148</v>
      </c>
      <c r="D775" s="177" t="s">
        <v>148</v>
      </c>
      <c r="E775" s="177" t="str">
        <f t="shared" si="24"/>
        <v/>
      </c>
    </row>
    <row r="776" spans="3:5">
      <c r="C776" s="177" t="s">
        <v>148</v>
      </c>
      <c r="D776" s="177" t="s">
        <v>148</v>
      </c>
      <c r="E776" s="177" t="str">
        <f t="shared" si="24"/>
        <v/>
      </c>
    </row>
    <row r="777" spans="3:5">
      <c r="C777" s="177" t="s">
        <v>148</v>
      </c>
      <c r="D777" s="177" t="s">
        <v>148</v>
      </c>
      <c r="E777" s="177" t="str">
        <f t="shared" si="24"/>
        <v/>
      </c>
    </row>
    <row r="778" spans="3:5">
      <c r="C778" s="177" t="s">
        <v>148</v>
      </c>
      <c r="D778" s="177" t="s">
        <v>148</v>
      </c>
      <c r="E778" s="177" t="str">
        <f t="shared" si="24"/>
        <v/>
      </c>
    </row>
    <row r="779" spans="3:5">
      <c r="C779" s="177" t="s">
        <v>148</v>
      </c>
      <c r="D779" s="177" t="s">
        <v>148</v>
      </c>
      <c r="E779" s="177" t="str">
        <f t="shared" si="24"/>
        <v/>
      </c>
    </row>
    <row r="780" spans="3:5">
      <c r="C780" s="177" t="s">
        <v>148</v>
      </c>
      <c r="D780" s="177" t="s">
        <v>148</v>
      </c>
      <c r="E780" s="177" t="str">
        <f t="shared" si="24"/>
        <v/>
      </c>
    </row>
    <row r="781" spans="3:5">
      <c r="C781" s="177" t="s">
        <v>148</v>
      </c>
      <c r="D781" s="177" t="s">
        <v>148</v>
      </c>
      <c r="E781" s="177" t="str">
        <f t="shared" si="24"/>
        <v/>
      </c>
    </row>
    <row r="782" spans="3:5">
      <c r="C782" s="177" t="s">
        <v>148</v>
      </c>
      <c r="D782" s="177" t="s">
        <v>148</v>
      </c>
      <c r="E782" s="177" t="str">
        <f t="shared" si="24"/>
        <v/>
      </c>
    </row>
    <row r="783" spans="3:5">
      <c r="C783" s="177" t="s">
        <v>148</v>
      </c>
      <c r="D783" s="177" t="s">
        <v>148</v>
      </c>
      <c r="E783" s="177" t="str">
        <f t="shared" si="24"/>
        <v/>
      </c>
    </row>
    <row r="784" spans="3:5">
      <c r="C784" s="177" t="s">
        <v>148</v>
      </c>
      <c r="D784" s="177" t="s">
        <v>148</v>
      </c>
      <c r="E784" s="177" t="str">
        <f t="shared" si="24"/>
        <v/>
      </c>
    </row>
    <row r="785" spans="3:5">
      <c r="C785" s="177" t="s">
        <v>148</v>
      </c>
      <c r="D785" s="177" t="s">
        <v>148</v>
      </c>
      <c r="E785" s="177" t="str">
        <f t="shared" si="24"/>
        <v/>
      </c>
    </row>
    <row r="786" spans="3:5">
      <c r="C786" s="177" t="s">
        <v>148</v>
      </c>
      <c r="D786" s="177" t="s">
        <v>148</v>
      </c>
      <c r="E786" s="177" t="str">
        <f t="shared" si="24"/>
        <v/>
      </c>
    </row>
    <row r="787" spans="3:5">
      <c r="C787" s="177" t="s">
        <v>148</v>
      </c>
      <c r="D787" s="177" t="s">
        <v>148</v>
      </c>
      <c r="E787" s="177" t="str">
        <f t="shared" si="24"/>
        <v/>
      </c>
    </row>
    <row r="788" spans="3:5">
      <c r="C788" s="177" t="s">
        <v>148</v>
      </c>
      <c r="D788" s="177" t="s">
        <v>148</v>
      </c>
      <c r="E788" s="177" t="str">
        <f t="shared" si="24"/>
        <v/>
      </c>
    </row>
    <row r="789" spans="3:5">
      <c r="C789" s="177" t="s">
        <v>148</v>
      </c>
      <c r="D789" s="177" t="s">
        <v>148</v>
      </c>
      <c r="E789" s="177" t="str">
        <f t="shared" si="24"/>
        <v/>
      </c>
    </row>
    <row r="790" spans="3:5">
      <c r="C790" s="177" t="s">
        <v>148</v>
      </c>
      <c r="D790" s="177" t="s">
        <v>148</v>
      </c>
      <c r="E790" s="177" t="str">
        <f t="shared" si="24"/>
        <v/>
      </c>
    </row>
    <row r="791" spans="3:5">
      <c r="C791" s="177" t="s">
        <v>148</v>
      </c>
      <c r="D791" s="177" t="s">
        <v>148</v>
      </c>
      <c r="E791" s="177" t="str">
        <f t="shared" si="24"/>
        <v/>
      </c>
    </row>
    <row r="792" spans="3:5">
      <c r="C792" s="177" t="s">
        <v>148</v>
      </c>
      <c r="D792" s="177" t="s">
        <v>148</v>
      </c>
      <c r="E792" s="177" t="str">
        <f t="shared" si="24"/>
        <v/>
      </c>
    </row>
    <row r="793" spans="3:5">
      <c r="C793" s="177" t="s">
        <v>148</v>
      </c>
      <c r="D793" s="177" t="s">
        <v>148</v>
      </c>
      <c r="E793" s="177" t="str">
        <f t="shared" si="24"/>
        <v/>
      </c>
    </row>
    <row r="794" spans="3:5">
      <c r="C794" s="177" t="s">
        <v>148</v>
      </c>
      <c r="D794" s="177" t="s">
        <v>148</v>
      </c>
      <c r="E794" s="177" t="str">
        <f t="shared" si="24"/>
        <v/>
      </c>
    </row>
    <row r="795" spans="3:5">
      <c r="C795" s="177" t="s">
        <v>148</v>
      </c>
      <c r="D795" s="177" t="s">
        <v>148</v>
      </c>
      <c r="E795" s="177" t="str">
        <f t="shared" si="24"/>
        <v/>
      </c>
    </row>
    <row r="796" spans="3:5">
      <c r="C796" s="177" t="s">
        <v>148</v>
      </c>
      <c r="D796" s="177" t="s">
        <v>148</v>
      </c>
      <c r="E796" s="177" t="str">
        <f t="shared" si="24"/>
        <v/>
      </c>
    </row>
    <row r="797" spans="3:5">
      <c r="C797" s="177" t="s">
        <v>148</v>
      </c>
      <c r="D797" s="177" t="s">
        <v>148</v>
      </c>
      <c r="E797" s="177" t="str">
        <f t="shared" si="24"/>
        <v/>
      </c>
    </row>
    <row r="798" spans="3:5">
      <c r="C798" s="177" t="s">
        <v>148</v>
      </c>
      <c r="D798" s="177" t="s">
        <v>148</v>
      </c>
      <c r="E798" s="177" t="str">
        <f t="shared" si="24"/>
        <v/>
      </c>
    </row>
    <row r="799" spans="3:5">
      <c r="C799" s="177" t="s">
        <v>148</v>
      </c>
      <c r="D799" s="177" t="s">
        <v>148</v>
      </c>
      <c r="E799" s="177" t="str">
        <f t="shared" si="24"/>
        <v/>
      </c>
    </row>
    <row r="800" spans="3:5">
      <c r="C800" s="177" t="s">
        <v>148</v>
      </c>
      <c r="D800" s="177" t="s">
        <v>148</v>
      </c>
      <c r="E800" s="177" t="str">
        <f t="shared" si="24"/>
        <v/>
      </c>
    </row>
    <row r="801" spans="3:5">
      <c r="C801" s="177" t="s">
        <v>148</v>
      </c>
      <c r="D801" s="177" t="s">
        <v>148</v>
      </c>
      <c r="E801" s="177" t="str">
        <f t="shared" si="24"/>
        <v/>
      </c>
    </row>
    <row r="802" spans="3:5">
      <c r="C802" s="177" t="s">
        <v>148</v>
      </c>
      <c r="D802" s="177" t="s">
        <v>148</v>
      </c>
      <c r="E802" s="177" t="str">
        <f t="shared" si="24"/>
        <v/>
      </c>
    </row>
    <row r="803" spans="3:5">
      <c r="C803" s="177" t="s">
        <v>148</v>
      </c>
      <c r="D803" s="177" t="s">
        <v>148</v>
      </c>
      <c r="E803" s="177" t="str">
        <f t="shared" si="24"/>
        <v/>
      </c>
    </row>
    <row r="804" spans="3:5">
      <c r="C804" s="177" t="s">
        <v>148</v>
      </c>
      <c r="D804" s="177" t="s">
        <v>148</v>
      </c>
      <c r="E804" s="177" t="str">
        <f t="shared" si="24"/>
        <v/>
      </c>
    </row>
    <row r="805" spans="3:5">
      <c r="C805" s="177" t="s">
        <v>148</v>
      </c>
      <c r="D805" s="177" t="s">
        <v>148</v>
      </c>
      <c r="E805" s="177" t="str">
        <f t="shared" si="24"/>
        <v/>
      </c>
    </row>
    <row r="806" spans="3:5">
      <c r="C806" s="177" t="s">
        <v>148</v>
      </c>
      <c r="D806" s="177" t="s">
        <v>148</v>
      </c>
      <c r="E806" s="177" t="str">
        <f t="shared" si="24"/>
        <v/>
      </c>
    </row>
    <row r="807" spans="3:5">
      <c r="C807" s="177" t="s">
        <v>148</v>
      </c>
      <c r="D807" s="177" t="s">
        <v>148</v>
      </c>
      <c r="E807" s="177" t="str">
        <f t="shared" si="24"/>
        <v/>
      </c>
    </row>
    <row r="808" spans="3:5">
      <c r="C808" s="177" t="s">
        <v>148</v>
      </c>
      <c r="D808" s="177" t="s">
        <v>148</v>
      </c>
      <c r="E808" s="177" t="str">
        <f t="shared" si="24"/>
        <v/>
      </c>
    </row>
    <row r="809" spans="3:5">
      <c r="C809" s="177" t="s">
        <v>148</v>
      </c>
      <c r="D809" s="177" t="s">
        <v>148</v>
      </c>
      <c r="E809" s="177" t="str">
        <f t="shared" si="24"/>
        <v/>
      </c>
    </row>
    <row r="810" spans="3:5">
      <c r="C810" s="177" t="s">
        <v>148</v>
      </c>
      <c r="D810" s="177" t="s">
        <v>148</v>
      </c>
      <c r="E810" s="177" t="str">
        <f t="shared" si="24"/>
        <v/>
      </c>
    </row>
    <row r="811" spans="3:5">
      <c r="C811" s="177" t="s">
        <v>148</v>
      </c>
      <c r="D811" s="177" t="s">
        <v>148</v>
      </c>
      <c r="E811" s="177" t="str">
        <f t="shared" si="24"/>
        <v/>
      </c>
    </row>
    <row r="812" spans="3:5">
      <c r="C812" s="177" t="s">
        <v>148</v>
      </c>
      <c r="D812" s="177" t="s">
        <v>148</v>
      </c>
      <c r="E812" s="177" t="str">
        <f t="shared" si="24"/>
        <v/>
      </c>
    </row>
    <row r="813" spans="3:5">
      <c r="C813" s="177" t="s">
        <v>148</v>
      </c>
      <c r="D813" s="177" t="s">
        <v>148</v>
      </c>
      <c r="E813" s="177" t="str">
        <f t="shared" si="24"/>
        <v/>
      </c>
    </row>
    <row r="814" spans="3:5">
      <c r="C814" s="177" t="s">
        <v>148</v>
      </c>
      <c r="D814" s="177" t="s">
        <v>148</v>
      </c>
      <c r="E814" s="177" t="str">
        <f t="shared" si="24"/>
        <v/>
      </c>
    </row>
    <row r="815" spans="3:5">
      <c r="C815" s="177" t="s">
        <v>148</v>
      </c>
      <c r="D815" s="177" t="s">
        <v>148</v>
      </c>
      <c r="E815" s="177" t="str">
        <f t="shared" si="24"/>
        <v/>
      </c>
    </row>
    <row r="816" spans="3:5">
      <c r="C816" s="177" t="s">
        <v>148</v>
      </c>
      <c r="D816" s="177" t="s">
        <v>148</v>
      </c>
      <c r="E816" s="177" t="str">
        <f t="shared" si="24"/>
        <v/>
      </c>
    </row>
    <row r="817" spans="3:5">
      <c r="C817" s="177" t="s">
        <v>148</v>
      </c>
      <c r="D817" s="177" t="s">
        <v>148</v>
      </c>
      <c r="E817" s="177" t="str">
        <f t="shared" si="24"/>
        <v/>
      </c>
    </row>
    <row r="818" spans="3:5">
      <c r="C818" s="177" t="s">
        <v>148</v>
      </c>
      <c r="D818" s="177" t="s">
        <v>148</v>
      </c>
      <c r="E818" s="177" t="str">
        <f t="shared" si="24"/>
        <v/>
      </c>
    </row>
    <row r="819" spans="3:5">
      <c r="C819" s="177" t="s">
        <v>148</v>
      </c>
      <c r="D819" s="177" t="s">
        <v>148</v>
      </c>
      <c r="E819" s="177" t="str">
        <f t="shared" si="24"/>
        <v/>
      </c>
    </row>
    <row r="820" spans="3:5">
      <c r="C820" s="177" t="s">
        <v>148</v>
      </c>
      <c r="D820" s="177" t="s">
        <v>148</v>
      </c>
      <c r="E820" s="177" t="str">
        <f t="shared" si="24"/>
        <v/>
      </c>
    </row>
    <row r="821" spans="3:5">
      <c r="C821" s="177" t="s">
        <v>148</v>
      </c>
      <c r="D821" s="177" t="s">
        <v>148</v>
      </c>
      <c r="E821" s="177" t="str">
        <f t="shared" si="24"/>
        <v/>
      </c>
    </row>
    <row r="822" spans="3:5">
      <c r="C822" s="177" t="s">
        <v>148</v>
      </c>
      <c r="D822" s="177" t="s">
        <v>148</v>
      </c>
      <c r="E822" s="177" t="str">
        <f t="shared" si="24"/>
        <v/>
      </c>
    </row>
    <row r="823" spans="3:5">
      <c r="C823" s="177" t="s">
        <v>148</v>
      </c>
      <c r="D823" s="177" t="s">
        <v>148</v>
      </c>
      <c r="E823" s="177" t="str">
        <f t="shared" si="24"/>
        <v/>
      </c>
    </row>
    <row r="824" spans="3:5">
      <c r="C824" s="177" t="s">
        <v>148</v>
      </c>
      <c r="D824" s="177" t="s">
        <v>148</v>
      </c>
      <c r="E824" s="177" t="str">
        <f t="shared" si="24"/>
        <v/>
      </c>
    </row>
    <row r="825" spans="3:5">
      <c r="C825" s="177" t="s">
        <v>148</v>
      </c>
      <c r="D825" s="177" t="s">
        <v>148</v>
      </c>
      <c r="E825" s="177" t="str">
        <f t="shared" si="24"/>
        <v/>
      </c>
    </row>
    <row r="826" spans="3:5">
      <c r="C826" s="177" t="s">
        <v>148</v>
      </c>
      <c r="D826" s="177" t="s">
        <v>148</v>
      </c>
      <c r="E826" s="177" t="str">
        <f t="shared" si="24"/>
        <v/>
      </c>
    </row>
    <row r="827" spans="3:5">
      <c r="C827" s="177" t="s">
        <v>148</v>
      </c>
      <c r="D827" s="177" t="s">
        <v>148</v>
      </c>
      <c r="E827" s="177" t="str">
        <f t="shared" si="24"/>
        <v/>
      </c>
    </row>
    <row r="828" spans="3:5">
      <c r="C828" s="177" t="s">
        <v>148</v>
      </c>
      <c r="D828" s="177" t="s">
        <v>148</v>
      </c>
      <c r="E828" s="177" t="str">
        <f t="shared" si="24"/>
        <v/>
      </c>
    </row>
    <row r="829" spans="3:5">
      <c r="C829" s="177" t="s">
        <v>148</v>
      </c>
      <c r="D829" s="177" t="s">
        <v>148</v>
      </c>
      <c r="E829" s="177" t="str">
        <f t="shared" si="24"/>
        <v/>
      </c>
    </row>
    <row r="830" spans="3:5">
      <c r="C830" s="177" t="s">
        <v>148</v>
      </c>
      <c r="D830" s="177" t="s">
        <v>148</v>
      </c>
      <c r="E830" s="177" t="str">
        <f t="shared" si="24"/>
        <v/>
      </c>
    </row>
    <row r="831" spans="3:5">
      <c r="C831" s="177" t="s">
        <v>148</v>
      </c>
      <c r="D831" s="177" t="s">
        <v>148</v>
      </c>
      <c r="E831" s="177" t="str">
        <f t="shared" si="24"/>
        <v/>
      </c>
    </row>
    <row r="832" spans="3:5">
      <c r="C832" s="177" t="s">
        <v>148</v>
      </c>
      <c r="D832" s="177" t="s">
        <v>148</v>
      </c>
      <c r="E832" s="177" t="str">
        <f t="shared" si="24"/>
        <v/>
      </c>
    </row>
    <row r="833" spans="3:5">
      <c r="C833" s="177" t="s">
        <v>148</v>
      </c>
      <c r="D833" s="177" t="s">
        <v>148</v>
      </c>
      <c r="E833" s="177" t="str">
        <f t="shared" si="24"/>
        <v/>
      </c>
    </row>
    <row r="834" spans="3:5">
      <c r="C834" s="177" t="s">
        <v>148</v>
      </c>
      <c r="D834" s="177" t="s">
        <v>148</v>
      </c>
      <c r="E834" s="177" t="str">
        <f t="shared" si="24"/>
        <v/>
      </c>
    </row>
    <row r="835" spans="3:5">
      <c r="C835" s="177" t="s">
        <v>148</v>
      </c>
      <c r="D835" s="177" t="s">
        <v>148</v>
      </c>
      <c r="E835" s="177" t="str">
        <f t="shared" si="24"/>
        <v/>
      </c>
    </row>
    <row r="836" spans="3:5">
      <c r="C836" s="177" t="s">
        <v>148</v>
      </c>
      <c r="D836" s="177" t="s">
        <v>148</v>
      </c>
      <c r="E836" s="177" t="str">
        <f t="shared" ref="E836:E899" si="25">IF(C836&lt;D836,C836,D836)</f>
        <v/>
      </c>
    </row>
    <row r="837" spans="3:5">
      <c r="C837" s="177" t="s">
        <v>148</v>
      </c>
      <c r="D837" s="177" t="s">
        <v>148</v>
      </c>
      <c r="E837" s="177" t="str">
        <f t="shared" si="25"/>
        <v/>
      </c>
    </row>
    <row r="838" spans="3:5">
      <c r="C838" s="177" t="s">
        <v>148</v>
      </c>
      <c r="D838" s="177" t="s">
        <v>148</v>
      </c>
      <c r="E838" s="177" t="str">
        <f t="shared" si="25"/>
        <v/>
      </c>
    </row>
    <row r="839" spans="3:5">
      <c r="C839" s="177" t="s">
        <v>148</v>
      </c>
      <c r="D839" s="177" t="s">
        <v>148</v>
      </c>
      <c r="E839" s="177" t="str">
        <f t="shared" si="25"/>
        <v/>
      </c>
    </row>
    <row r="840" spans="3:5">
      <c r="C840" s="177" t="s">
        <v>148</v>
      </c>
      <c r="D840" s="177" t="s">
        <v>148</v>
      </c>
      <c r="E840" s="177" t="str">
        <f t="shared" si="25"/>
        <v/>
      </c>
    </row>
    <row r="841" spans="3:5">
      <c r="C841" s="177" t="s">
        <v>148</v>
      </c>
      <c r="D841" s="177" t="s">
        <v>148</v>
      </c>
      <c r="E841" s="177" t="str">
        <f t="shared" si="25"/>
        <v/>
      </c>
    </row>
    <row r="842" spans="3:5">
      <c r="C842" s="177" t="s">
        <v>148</v>
      </c>
      <c r="D842" s="177" t="s">
        <v>148</v>
      </c>
      <c r="E842" s="177" t="str">
        <f t="shared" si="25"/>
        <v/>
      </c>
    </row>
    <row r="843" spans="3:5">
      <c r="C843" s="177" t="s">
        <v>148</v>
      </c>
      <c r="D843" s="177" t="s">
        <v>148</v>
      </c>
      <c r="E843" s="177" t="str">
        <f t="shared" si="25"/>
        <v/>
      </c>
    </row>
    <row r="844" spans="3:5">
      <c r="C844" s="177" t="s">
        <v>148</v>
      </c>
      <c r="D844" s="177" t="s">
        <v>148</v>
      </c>
      <c r="E844" s="177" t="str">
        <f t="shared" si="25"/>
        <v/>
      </c>
    </row>
    <row r="845" spans="3:5">
      <c r="C845" s="177" t="s">
        <v>148</v>
      </c>
      <c r="D845" s="177" t="s">
        <v>148</v>
      </c>
      <c r="E845" s="177" t="str">
        <f t="shared" si="25"/>
        <v/>
      </c>
    </row>
    <row r="846" spans="3:5">
      <c r="C846" s="177" t="s">
        <v>148</v>
      </c>
      <c r="D846" s="177" t="s">
        <v>148</v>
      </c>
      <c r="E846" s="177" t="str">
        <f t="shared" si="25"/>
        <v/>
      </c>
    </row>
    <row r="847" spans="3:5">
      <c r="C847" s="177" t="s">
        <v>148</v>
      </c>
      <c r="D847" s="177" t="s">
        <v>148</v>
      </c>
      <c r="E847" s="177" t="str">
        <f t="shared" si="25"/>
        <v/>
      </c>
    </row>
    <row r="848" spans="3:5">
      <c r="C848" s="177" t="s">
        <v>148</v>
      </c>
      <c r="D848" s="177" t="s">
        <v>148</v>
      </c>
      <c r="E848" s="177" t="str">
        <f t="shared" si="25"/>
        <v/>
      </c>
    </row>
    <row r="849" spans="3:5">
      <c r="C849" s="177" t="s">
        <v>148</v>
      </c>
      <c r="D849" s="177" t="s">
        <v>148</v>
      </c>
      <c r="E849" s="177" t="str">
        <f t="shared" si="25"/>
        <v/>
      </c>
    </row>
    <row r="850" spans="3:5">
      <c r="C850" s="177" t="s">
        <v>148</v>
      </c>
      <c r="D850" s="177" t="s">
        <v>148</v>
      </c>
      <c r="E850" s="177" t="str">
        <f t="shared" si="25"/>
        <v/>
      </c>
    </row>
    <row r="851" spans="3:5">
      <c r="C851" s="177" t="s">
        <v>148</v>
      </c>
      <c r="D851" s="177" t="s">
        <v>148</v>
      </c>
      <c r="E851" s="177" t="str">
        <f t="shared" si="25"/>
        <v/>
      </c>
    </row>
    <row r="852" spans="3:5">
      <c r="C852" s="177" t="s">
        <v>148</v>
      </c>
      <c r="D852" s="177" t="s">
        <v>148</v>
      </c>
      <c r="E852" s="177" t="str">
        <f t="shared" si="25"/>
        <v/>
      </c>
    </row>
    <row r="853" spans="3:5">
      <c r="C853" s="177" t="s">
        <v>148</v>
      </c>
      <c r="D853" s="177" t="s">
        <v>148</v>
      </c>
      <c r="E853" s="177" t="str">
        <f t="shared" si="25"/>
        <v/>
      </c>
    </row>
    <row r="854" spans="3:5">
      <c r="C854" s="177" t="s">
        <v>148</v>
      </c>
      <c r="D854" s="177" t="s">
        <v>148</v>
      </c>
      <c r="E854" s="177" t="str">
        <f t="shared" si="25"/>
        <v/>
      </c>
    </row>
    <row r="855" spans="3:5">
      <c r="C855" s="177" t="s">
        <v>148</v>
      </c>
      <c r="D855" s="177" t="s">
        <v>148</v>
      </c>
      <c r="E855" s="177" t="str">
        <f t="shared" si="25"/>
        <v/>
      </c>
    </row>
    <row r="856" spans="3:5">
      <c r="C856" s="177" t="s">
        <v>148</v>
      </c>
      <c r="D856" s="177" t="s">
        <v>148</v>
      </c>
      <c r="E856" s="177" t="str">
        <f t="shared" si="25"/>
        <v/>
      </c>
    </row>
    <row r="857" spans="3:5">
      <c r="C857" s="177" t="s">
        <v>148</v>
      </c>
      <c r="D857" s="177" t="s">
        <v>148</v>
      </c>
      <c r="E857" s="177" t="str">
        <f t="shared" si="25"/>
        <v/>
      </c>
    </row>
    <row r="858" spans="3:5">
      <c r="C858" s="177" t="s">
        <v>148</v>
      </c>
      <c r="D858" s="177" t="s">
        <v>148</v>
      </c>
      <c r="E858" s="177" t="str">
        <f t="shared" si="25"/>
        <v/>
      </c>
    </row>
    <row r="859" spans="3:5">
      <c r="C859" s="177" t="s">
        <v>148</v>
      </c>
      <c r="D859" s="177" t="s">
        <v>148</v>
      </c>
      <c r="E859" s="177" t="str">
        <f t="shared" si="25"/>
        <v/>
      </c>
    </row>
    <row r="860" spans="3:5">
      <c r="C860" s="177" t="s">
        <v>148</v>
      </c>
      <c r="D860" s="177" t="s">
        <v>148</v>
      </c>
      <c r="E860" s="177" t="str">
        <f t="shared" si="25"/>
        <v/>
      </c>
    </row>
    <row r="861" spans="3:5">
      <c r="C861" s="177" t="s">
        <v>148</v>
      </c>
      <c r="D861" s="177" t="s">
        <v>148</v>
      </c>
      <c r="E861" s="177" t="str">
        <f t="shared" si="25"/>
        <v/>
      </c>
    </row>
    <row r="862" spans="3:5">
      <c r="C862" s="177" t="s">
        <v>148</v>
      </c>
      <c r="D862" s="177" t="s">
        <v>148</v>
      </c>
      <c r="E862" s="177" t="str">
        <f t="shared" si="25"/>
        <v/>
      </c>
    </row>
    <row r="863" spans="3:5">
      <c r="C863" s="177" t="s">
        <v>148</v>
      </c>
      <c r="D863" s="177" t="s">
        <v>148</v>
      </c>
      <c r="E863" s="177" t="str">
        <f t="shared" si="25"/>
        <v/>
      </c>
    </row>
    <row r="864" spans="3:5">
      <c r="C864" s="177" t="s">
        <v>148</v>
      </c>
      <c r="D864" s="177" t="s">
        <v>148</v>
      </c>
      <c r="E864" s="177" t="str">
        <f t="shared" si="25"/>
        <v/>
      </c>
    </row>
    <row r="865" spans="3:5">
      <c r="C865" s="177" t="s">
        <v>148</v>
      </c>
      <c r="D865" s="177" t="s">
        <v>148</v>
      </c>
      <c r="E865" s="177" t="str">
        <f t="shared" si="25"/>
        <v/>
      </c>
    </row>
    <row r="866" spans="3:5">
      <c r="C866" s="177" t="s">
        <v>148</v>
      </c>
      <c r="D866" s="177" t="s">
        <v>148</v>
      </c>
      <c r="E866" s="177" t="str">
        <f t="shared" si="25"/>
        <v/>
      </c>
    </row>
    <row r="867" spans="3:5">
      <c r="C867" s="177" t="s">
        <v>148</v>
      </c>
      <c r="D867" s="177" t="s">
        <v>148</v>
      </c>
      <c r="E867" s="177" t="str">
        <f t="shared" si="25"/>
        <v/>
      </c>
    </row>
    <row r="868" spans="3:5">
      <c r="C868" s="177" t="s">
        <v>148</v>
      </c>
      <c r="D868" s="177" t="s">
        <v>148</v>
      </c>
      <c r="E868" s="177" t="str">
        <f t="shared" si="25"/>
        <v/>
      </c>
    </row>
    <row r="869" spans="3:5">
      <c r="C869" s="177" t="s">
        <v>148</v>
      </c>
      <c r="D869" s="177" t="s">
        <v>148</v>
      </c>
      <c r="E869" s="177" t="str">
        <f t="shared" si="25"/>
        <v/>
      </c>
    </row>
    <row r="870" spans="3:5">
      <c r="C870" s="177" t="s">
        <v>148</v>
      </c>
      <c r="D870" s="177" t="s">
        <v>148</v>
      </c>
      <c r="E870" s="177" t="str">
        <f t="shared" si="25"/>
        <v/>
      </c>
    </row>
    <row r="871" spans="3:5">
      <c r="C871" s="177" t="s">
        <v>148</v>
      </c>
      <c r="D871" s="177" t="s">
        <v>148</v>
      </c>
      <c r="E871" s="177" t="str">
        <f t="shared" si="25"/>
        <v/>
      </c>
    </row>
    <row r="872" spans="3:5">
      <c r="C872" s="177" t="s">
        <v>148</v>
      </c>
      <c r="D872" s="177" t="s">
        <v>148</v>
      </c>
      <c r="E872" s="177" t="str">
        <f t="shared" si="25"/>
        <v/>
      </c>
    </row>
    <row r="873" spans="3:5">
      <c r="C873" s="177" t="s">
        <v>148</v>
      </c>
      <c r="D873" s="177" t="s">
        <v>148</v>
      </c>
      <c r="E873" s="177" t="str">
        <f t="shared" si="25"/>
        <v/>
      </c>
    </row>
    <row r="874" spans="3:5">
      <c r="C874" s="177" t="s">
        <v>148</v>
      </c>
      <c r="D874" s="177" t="s">
        <v>148</v>
      </c>
      <c r="E874" s="177" t="str">
        <f t="shared" si="25"/>
        <v/>
      </c>
    </row>
    <row r="875" spans="3:5">
      <c r="C875" s="177" t="s">
        <v>148</v>
      </c>
      <c r="D875" s="177" t="s">
        <v>148</v>
      </c>
      <c r="E875" s="177" t="str">
        <f t="shared" si="25"/>
        <v/>
      </c>
    </row>
    <row r="876" spans="3:5">
      <c r="C876" s="177" t="s">
        <v>148</v>
      </c>
      <c r="D876" s="177" t="s">
        <v>148</v>
      </c>
      <c r="E876" s="177" t="str">
        <f t="shared" si="25"/>
        <v/>
      </c>
    </row>
    <row r="877" spans="3:5">
      <c r="C877" s="177" t="s">
        <v>148</v>
      </c>
      <c r="D877" s="177" t="s">
        <v>148</v>
      </c>
      <c r="E877" s="177" t="str">
        <f t="shared" si="25"/>
        <v/>
      </c>
    </row>
    <row r="878" spans="3:5">
      <c r="C878" s="177" t="s">
        <v>148</v>
      </c>
      <c r="D878" s="177" t="s">
        <v>148</v>
      </c>
      <c r="E878" s="177" t="str">
        <f t="shared" si="25"/>
        <v/>
      </c>
    </row>
    <row r="879" spans="3:5">
      <c r="C879" s="177" t="s">
        <v>148</v>
      </c>
      <c r="D879" s="177" t="s">
        <v>148</v>
      </c>
      <c r="E879" s="177" t="str">
        <f t="shared" si="25"/>
        <v/>
      </c>
    </row>
    <row r="880" spans="3:5">
      <c r="C880" s="177" t="s">
        <v>148</v>
      </c>
      <c r="D880" s="177" t="s">
        <v>148</v>
      </c>
      <c r="E880" s="177" t="str">
        <f t="shared" si="25"/>
        <v/>
      </c>
    </row>
    <row r="881" spans="3:5">
      <c r="C881" s="177" t="s">
        <v>148</v>
      </c>
      <c r="D881" s="177" t="s">
        <v>148</v>
      </c>
      <c r="E881" s="177" t="str">
        <f t="shared" si="25"/>
        <v/>
      </c>
    </row>
    <row r="882" spans="3:5">
      <c r="C882" s="177" t="s">
        <v>148</v>
      </c>
      <c r="D882" s="177" t="s">
        <v>148</v>
      </c>
      <c r="E882" s="177" t="str">
        <f t="shared" si="25"/>
        <v/>
      </c>
    </row>
    <row r="883" spans="3:5">
      <c r="C883" s="177" t="s">
        <v>148</v>
      </c>
      <c r="D883" s="177" t="s">
        <v>148</v>
      </c>
      <c r="E883" s="177" t="str">
        <f t="shared" si="25"/>
        <v/>
      </c>
    </row>
    <row r="884" spans="3:5">
      <c r="C884" s="177" t="s">
        <v>148</v>
      </c>
      <c r="D884" s="177" t="s">
        <v>148</v>
      </c>
      <c r="E884" s="177" t="str">
        <f t="shared" si="25"/>
        <v/>
      </c>
    </row>
    <row r="885" spans="3:5">
      <c r="C885" s="177" t="s">
        <v>148</v>
      </c>
      <c r="D885" s="177" t="s">
        <v>148</v>
      </c>
      <c r="E885" s="177" t="str">
        <f t="shared" si="25"/>
        <v/>
      </c>
    </row>
    <row r="886" spans="3:5">
      <c r="C886" s="177" t="s">
        <v>148</v>
      </c>
      <c r="D886" s="177" t="s">
        <v>148</v>
      </c>
      <c r="E886" s="177" t="str">
        <f t="shared" si="25"/>
        <v/>
      </c>
    </row>
    <row r="887" spans="3:5">
      <c r="C887" s="177" t="s">
        <v>148</v>
      </c>
      <c r="D887" s="177" t="s">
        <v>148</v>
      </c>
      <c r="E887" s="177" t="str">
        <f t="shared" si="25"/>
        <v/>
      </c>
    </row>
    <row r="888" spans="3:5">
      <c r="C888" s="177" t="s">
        <v>148</v>
      </c>
      <c r="D888" s="177" t="s">
        <v>148</v>
      </c>
      <c r="E888" s="177" t="str">
        <f t="shared" si="25"/>
        <v/>
      </c>
    </row>
    <row r="889" spans="3:5">
      <c r="C889" s="177" t="s">
        <v>148</v>
      </c>
      <c r="D889" s="177" t="s">
        <v>148</v>
      </c>
      <c r="E889" s="177" t="str">
        <f t="shared" si="25"/>
        <v/>
      </c>
    </row>
    <row r="890" spans="3:5">
      <c r="C890" s="177" t="s">
        <v>148</v>
      </c>
      <c r="D890" s="177" t="s">
        <v>148</v>
      </c>
      <c r="E890" s="177" t="str">
        <f t="shared" si="25"/>
        <v/>
      </c>
    </row>
    <row r="891" spans="3:5">
      <c r="C891" s="177" t="s">
        <v>148</v>
      </c>
      <c r="D891" s="177" t="s">
        <v>148</v>
      </c>
      <c r="E891" s="177" t="str">
        <f t="shared" si="25"/>
        <v/>
      </c>
    </row>
    <row r="892" spans="3:5">
      <c r="C892" s="177" t="s">
        <v>148</v>
      </c>
      <c r="D892" s="177" t="s">
        <v>148</v>
      </c>
      <c r="E892" s="177" t="str">
        <f t="shared" si="25"/>
        <v/>
      </c>
    </row>
    <row r="893" spans="3:5">
      <c r="C893" s="177" t="s">
        <v>148</v>
      </c>
      <c r="D893" s="177" t="s">
        <v>148</v>
      </c>
      <c r="E893" s="177" t="str">
        <f t="shared" si="25"/>
        <v/>
      </c>
    </row>
    <row r="894" spans="3:5">
      <c r="C894" s="177" t="s">
        <v>148</v>
      </c>
      <c r="D894" s="177" t="s">
        <v>148</v>
      </c>
      <c r="E894" s="177" t="str">
        <f t="shared" si="25"/>
        <v/>
      </c>
    </row>
    <row r="895" spans="3:5">
      <c r="C895" s="177" t="s">
        <v>148</v>
      </c>
      <c r="D895" s="177" t="s">
        <v>148</v>
      </c>
      <c r="E895" s="177" t="str">
        <f t="shared" si="25"/>
        <v/>
      </c>
    </row>
    <row r="896" spans="3:5">
      <c r="C896" s="177" t="s">
        <v>148</v>
      </c>
      <c r="D896" s="177" t="s">
        <v>148</v>
      </c>
      <c r="E896" s="177" t="str">
        <f t="shared" si="25"/>
        <v/>
      </c>
    </row>
    <row r="897" spans="3:5">
      <c r="C897" s="177" t="s">
        <v>148</v>
      </c>
      <c r="D897" s="177" t="s">
        <v>148</v>
      </c>
      <c r="E897" s="177" t="str">
        <f t="shared" si="25"/>
        <v/>
      </c>
    </row>
    <row r="898" spans="3:5">
      <c r="C898" s="177" t="s">
        <v>148</v>
      </c>
      <c r="D898" s="177" t="s">
        <v>148</v>
      </c>
      <c r="E898" s="177" t="str">
        <f t="shared" si="25"/>
        <v/>
      </c>
    </row>
    <row r="899" spans="3:5">
      <c r="C899" s="177" t="s">
        <v>148</v>
      </c>
      <c r="D899" s="177" t="s">
        <v>148</v>
      </c>
      <c r="E899" s="177" t="str">
        <f t="shared" si="25"/>
        <v/>
      </c>
    </row>
    <row r="900" spans="3:5">
      <c r="C900" s="177" t="s">
        <v>148</v>
      </c>
      <c r="D900" s="177" t="s">
        <v>148</v>
      </c>
      <c r="E900" s="177" t="str">
        <f t="shared" ref="E900:E963" si="26">IF(C900&lt;D900,C900,D900)</f>
        <v/>
      </c>
    </row>
    <row r="901" spans="3:5">
      <c r="C901" s="177" t="s">
        <v>148</v>
      </c>
      <c r="D901" s="177" t="s">
        <v>148</v>
      </c>
      <c r="E901" s="177" t="str">
        <f t="shared" si="26"/>
        <v/>
      </c>
    </row>
    <row r="902" spans="3:5">
      <c r="C902" s="177" t="s">
        <v>148</v>
      </c>
      <c r="D902" s="177" t="s">
        <v>148</v>
      </c>
      <c r="E902" s="177" t="str">
        <f t="shared" si="26"/>
        <v/>
      </c>
    </row>
    <row r="903" spans="3:5">
      <c r="C903" s="177" t="s">
        <v>148</v>
      </c>
      <c r="D903" s="177" t="s">
        <v>148</v>
      </c>
      <c r="E903" s="177" t="str">
        <f t="shared" si="26"/>
        <v/>
      </c>
    </row>
    <row r="904" spans="3:5">
      <c r="C904" s="177" t="s">
        <v>148</v>
      </c>
      <c r="D904" s="177" t="s">
        <v>148</v>
      </c>
      <c r="E904" s="177" t="str">
        <f t="shared" si="26"/>
        <v/>
      </c>
    </row>
    <row r="905" spans="3:5">
      <c r="C905" s="177" t="s">
        <v>148</v>
      </c>
      <c r="D905" s="177" t="s">
        <v>148</v>
      </c>
      <c r="E905" s="177" t="str">
        <f t="shared" si="26"/>
        <v/>
      </c>
    </row>
    <row r="906" spans="3:5">
      <c r="C906" s="177" t="s">
        <v>148</v>
      </c>
      <c r="D906" s="177" t="s">
        <v>148</v>
      </c>
      <c r="E906" s="177" t="str">
        <f t="shared" si="26"/>
        <v/>
      </c>
    </row>
    <row r="907" spans="3:5">
      <c r="C907" s="177" t="s">
        <v>148</v>
      </c>
      <c r="D907" s="177" t="s">
        <v>148</v>
      </c>
      <c r="E907" s="177" t="str">
        <f t="shared" si="26"/>
        <v/>
      </c>
    </row>
    <row r="908" spans="3:5">
      <c r="C908" s="177" t="s">
        <v>148</v>
      </c>
      <c r="D908" s="177" t="s">
        <v>148</v>
      </c>
      <c r="E908" s="177" t="str">
        <f t="shared" si="26"/>
        <v/>
      </c>
    </row>
    <row r="909" spans="3:5">
      <c r="C909" s="177" t="s">
        <v>148</v>
      </c>
      <c r="D909" s="177" t="s">
        <v>148</v>
      </c>
      <c r="E909" s="177" t="str">
        <f t="shared" si="26"/>
        <v/>
      </c>
    </row>
    <row r="910" spans="3:5">
      <c r="C910" s="177" t="s">
        <v>148</v>
      </c>
      <c r="D910" s="177" t="s">
        <v>148</v>
      </c>
      <c r="E910" s="177" t="str">
        <f t="shared" si="26"/>
        <v/>
      </c>
    </row>
    <row r="911" spans="3:5">
      <c r="C911" s="177" t="s">
        <v>148</v>
      </c>
      <c r="D911" s="177" t="s">
        <v>148</v>
      </c>
      <c r="E911" s="177" t="str">
        <f t="shared" si="26"/>
        <v/>
      </c>
    </row>
    <row r="912" spans="3:5">
      <c r="C912" s="177" t="s">
        <v>148</v>
      </c>
      <c r="D912" s="177" t="s">
        <v>148</v>
      </c>
      <c r="E912" s="177" t="str">
        <f t="shared" si="26"/>
        <v/>
      </c>
    </row>
    <row r="913" spans="3:5">
      <c r="C913" s="177" t="s">
        <v>148</v>
      </c>
      <c r="D913" s="177" t="s">
        <v>148</v>
      </c>
      <c r="E913" s="177" t="str">
        <f t="shared" si="26"/>
        <v/>
      </c>
    </row>
    <row r="914" spans="3:5">
      <c r="C914" s="177" t="s">
        <v>148</v>
      </c>
      <c r="D914" s="177" t="s">
        <v>148</v>
      </c>
      <c r="E914" s="177" t="str">
        <f t="shared" si="26"/>
        <v/>
      </c>
    </row>
    <row r="915" spans="3:5">
      <c r="C915" s="177" t="s">
        <v>148</v>
      </c>
      <c r="D915" s="177" t="s">
        <v>148</v>
      </c>
      <c r="E915" s="177" t="str">
        <f t="shared" si="26"/>
        <v/>
      </c>
    </row>
    <row r="916" spans="3:5">
      <c r="C916" s="177" t="s">
        <v>148</v>
      </c>
      <c r="D916" s="177" t="s">
        <v>148</v>
      </c>
      <c r="E916" s="177" t="str">
        <f t="shared" si="26"/>
        <v/>
      </c>
    </row>
    <row r="917" spans="3:5">
      <c r="C917" s="177" t="s">
        <v>148</v>
      </c>
      <c r="D917" s="177" t="s">
        <v>148</v>
      </c>
      <c r="E917" s="177" t="str">
        <f t="shared" si="26"/>
        <v/>
      </c>
    </row>
    <row r="918" spans="3:5">
      <c r="C918" s="177" t="s">
        <v>148</v>
      </c>
      <c r="D918" s="177" t="s">
        <v>148</v>
      </c>
      <c r="E918" s="177" t="str">
        <f t="shared" si="26"/>
        <v/>
      </c>
    </row>
    <row r="919" spans="3:5">
      <c r="C919" s="177" t="s">
        <v>148</v>
      </c>
      <c r="D919" s="177" t="s">
        <v>148</v>
      </c>
      <c r="E919" s="177" t="str">
        <f t="shared" si="26"/>
        <v/>
      </c>
    </row>
    <row r="920" spans="3:5">
      <c r="C920" s="177" t="s">
        <v>148</v>
      </c>
      <c r="D920" s="177" t="s">
        <v>148</v>
      </c>
      <c r="E920" s="177" t="str">
        <f t="shared" si="26"/>
        <v/>
      </c>
    </row>
    <row r="921" spans="3:5">
      <c r="C921" s="177" t="s">
        <v>148</v>
      </c>
      <c r="D921" s="177" t="s">
        <v>148</v>
      </c>
      <c r="E921" s="177" t="str">
        <f t="shared" si="26"/>
        <v/>
      </c>
    </row>
    <row r="922" spans="3:5">
      <c r="C922" s="177" t="s">
        <v>148</v>
      </c>
      <c r="D922" s="177" t="s">
        <v>148</v>
      </c>
      <c r="E922" s="177" t="str">
        <f t="shared" si="26"/>
        <v/>
      </c>
    </row>
    <row r="923" spans="3:5">
      <c r="C923" s="177" t="s">
        <v>148</v>
      </c>
      <c r="D923" s="177" t="s">
        <v>148</v>
      </c>
      <c r="E923" s="177" t="str">
        <f t="shared" si="26"/>
        <v/>
      </c>
    </row>
    <row r="924" spans="3:5">
      <c r="C924" s="177" t="s">
        <v>148</v>
      </c>
      <c r="D924" s="177" t="s">
        <v>148</v>
      </c>
      <c r="E924" s="177" t="str">
        <f t="shared" si="26"/>
        <v/>
      </c>
    </row>
    <row r="925" spans="3:5">
      <c r="C925" s="177" t="s">
        <v>148</v>
      </c>
      <c r="D925" s="177" t="s">
        <v>148</v>
      </c>
      <c r="E925" s="177" t="str">
        <f t="shared" si="26"/>
        <v/>
      </c>
    </row>
    <row r="926" spans="3:5">
      <c r="C926" s="177" t="s">
        <v>148</v>
      </c>
      <c r="D926" s="177" t="s">
        <v>148</v>
      </c>
      <c r="E926" s="177" t="str">
        <f t="shared" si="26"/>
        <v/>
      </c>
    </row>
    <row r="927" spans="3:5">
      <c r="C927" s="177" t="s">
        <v>148</v>
      </c>
      <c r="D927" s="177" t="s">
        <v>148</v>
      </c>
      <c r="E927" s="177" t="str">
        <f t="shared" si="26"/>
        <v/>
      </c>
    </row>
    <row r="928" spans="3:5">
      <c r="C928" s="177" t="s">
        <v>148</v>
      </c>
      <c r="D928" s="177" t="s">
        <v>148</v>
      </c>
      <c r="E928" s="177" t="str">
        <f t="shared" si="26"/>
        <v/>
      </c>
    </row>
    <row r="929" spans="3:5">
      <c r="C929" s="177" t="s">
        <v>148</v>
      </c>
      <c r="D929" s="177" t="s">
        <v>148</v>
      </c>
      <c r="E929" s="177" t="str">
        <f t="shared" si="26"/>
        <v/>
      </c>
    </row>
    <row r="930" spans="3:5">
      <c r="C930" s="177" t="s">
        <v>148</v>
      </c>
      <c r="D930" s="177" t="s">
        <v>148</v>
      </c>
      <c r="E930" s="177" t="str">
        <f t="shared" si="26"/>
        <v/>
      </c>
    </row>
    <row r="931" spans="3:5">
      <c r="C931" s="177" t="s">
        <v>148</v>
      </c>
      <c r="D931" s="177" t="s">
        <v>148</v>
      </c>
      <c r="E931" s="177" t="str">
        <f t="shared" si="26"/>
        <v/>
      </c>
    </row>
    <row r="932" spans="3:5">
      <c r="C932" s="177" t="s">
        <v>148</v>
      </c>
      <c r="D932" s="177" t="s">
        <v>148</v>
      </c>
      <c r="E932" s="177" t="str">
        <f t="shared" si="26"/>
        <v/>
      </c>
    </row>
    <row r="933" spans="3:5">
      <c r="C933" s="177" t="s">
        <v>148</v>
      </c>
      <c r="D933" s="177" t="s">
        <v>148</v>
      </c>
      <c r="E933" s="177" t="str">
        <f t="shared" si="26"/>
        <v/>
      </c>
    </row>
    <row r="934" spans="3:5">
      <c r="C934" s="177" t="s">
        <v>148</v>
      </c>
      <c r="D934" s="177" t="s">
        <v>148</v>
      </c>
      <c r="E934" s="177" t="str">
        <f t="shared" si="26"/>
        <v/>
      </c>
    </row>
    <row r="935" spans="3:5">
      <c r="C935" s="177" t="s">
        <v>148</v>
      </c>
      <c r="D935" s="177" t="s">
        <v>148</v>
      </c>
      <c r="E935" s="177" t="str">
        <f t="shared" si="26"/>
        <v/>
      </c>
    </row>
    <row r="936" spans="3:5">
      <c r="C936" s="177" t="s">
        <v>148</v>
      </c>
      <c r="D936" s="177" t="s">
        <v>148</v>
      </c>
      <c r="E936" s="177" t="str">
        <f t="shared" si="26"/>
        <v/>
      </c>
    </row>
    <row r="937" spans="3:5">
      <c r="C937" s="177" t="s">
        <v>148</v>
      </c>
      <c r="D937" s="177" t="s">
        <v>148</v>
      </c>
      <c r="E937" s="177" t="str">
        <f t="shared" si="26"/>
        <v/>
      </c>
    </row>
    <row r="938" spans="3:5">
      <c r="C938" s="177" t="s">
        <v>148</v>
      </c>
      <c r="D938" s="177" t="s">
        <v>148</v>
      </c>
      <c r="E938" s="177" t="str">
        <f t="shared" si="26"/>
        <v/>
      </c>
    </row>
    <row r="939" spans="3:5">
      <c r="C939" s="177" t="s">
        <v>148</v>
      </c>
      <c r="D939" s="177" t="s">
        <v>148</v>
      </c>
      <c r="E939" s="177" t="str">
        <f t="shared" si="26"/>
        <v/>
      </c>
    </row>
    <row r="940" spans="3:5">
      <c r="C940" s="177" t="s">
        <v>148</v>
      </c>
      <c r="D940" s="177" t="s">
        <v>148</v>
      </c>
      <c r="E940" s="177" t="str">
        <f t="shared" si="26"/>
        <v/>
      </c>
    </row>
    <row r="941" spans="3:5">
      <c r="C941" s="177" t="s">
        <v>148</v>
      </c>
      <c r="D941" s="177" t="s">
        <v>148</v>
      </c>
      <c r="E941" s="177" t="str">
        <f t="shared" si="26"/>
        <v/>
      </c>
    </row>
    <row r="942" spans="3:5">
      <c r="C942" s="177" t="s">
        <v>148</v>
      </c>
      <c r="D942" s="177" t="s">
        <v>148</v>
      </c>
      <c r="E942" s="177" t="str">
        <f t="shared" si="26"/>
        <v/>
      </c>
    </row>
    <row r="943" spans="3:5">
      <c r="C943" s="177" t="s">
        <v>148</v>
      </c>
      <c r="D943" s="177" t="s">
        <v>148</v>
      </c>
      <c r="E943" s="177" t="str">
        <f t="shared" si="26"/>
        <v/>
      </c>
    </row>
    <row r="944" spans="3:5">
      <c r="C944" s="177" t="s">
        <v>148</v>
      </c>
      <c r="D944" s="177" t="s">
        <v>148</v>
      </c>
      <c r="E944" s="177" t="str">
        <f t="shared" si="26"/>
        <v/>
      </c>
    </row>
    <row r="945" spans="3:5">
      <c r="C945" s="177" t="s">
        <v>148</v>
      </c>
      <c r="D945" s="177" t="s">
        <v>148</v>
      </c>
      <c r="E945" s="177" t="str">
        <f t="shared" si="26"/>
        <v/>
      </c>
    </row>
    <row r="946" spans="3:5">
      <c r="C946" s="177" t="s">
        <v>148</v>
      </c>
      <c r="D946" s="177" t="s">
        <v>148</v>
      </c>
      <c r="E946" s="177" t="str">
        <f t="shared" si="26"/>
        <v/>
      </c>
    </row>
    <row r="947" spans="3:5">
      <c r="C947" s="177" t="s">
        <v>148</v>
      </c>
      <c r="D947" s="177" t="s">
        <v>148</v>
      </c>
      <c r="E947" s="177" t="str">
        <f t="shared" si="26"/>
        <v/>
      </c>
    </row>
    <row r="948" spans="3:5">
      <c r="C948" s="177" t="s">
        <v>148</v>
      </c>
      <c r="D948" s="177" t="s">
        <v>148</v>
      </c>
      <c r="E948" s="177" t="str">
        <f t="shared" si="26"/>
        <v/>
      </c>
    </row>
    <row r="949" spans="3:5">
      <c r="C949" s="177" t="s">
        <v>148</v>
      </c>
      <c r="D949" s="177" t="s">
        <v>148</v>
      </c>
      <c r="E949" s="177" t="str">
        <f t="shared" si="26"/>
        <v/>
      </c>
    </row>
    <row r="950" spans="3:5">
      <c r="C950" s="177" t="s">
        <v>148</v>
      </c>
      <c r="D950" s="177" t="s">
        <v>148</v>
      </c>
      <c r="E950" s="177" t="str">
        <f t="shared" si="26"/>
        <v/>
      </c>
    </row>
    <row r="951" spans="3:5">
      <c r="C951" s="177" t="s">
        <v>148</v>
      </c>
      <c r="D951" s="177" t="s">
        <v>148</v>
      </c>
      <c r="E951" s="177" t="str">
        <f t="shared" si="26"/>
        <v/>
      </c>
    </row>
    <row r="952" spans="3:5">
      <c r="C952" s="177" t="s">
        <v>148</v>
      </c>
      <c r="D952" s="177" t="s">
        <v>148</v>
      </c>
      <c r="E952" s="177" t="str">
        <f t="shared" si="26"/>
        <v/>
      </c>
    </row>
    <row r="953" spans="3:5">
      <c r="C953" s="177" t="s">
        <v>148</v>
      </c>
      <c r="D953" s="177" t="s">
        <v>148</v>
      </c>
      <c r="E953" s="177" t="str">
        <f t="shared" si="26"/>
        <v/>
      </c>
    </row>
    <row r="954" spans="3:5">
      <c r="C954" s="177" t="s">
        <v>148</v>
      </c>
      <c r="D954" s="177" t="s">
        <v>148</v>
      </c>
      <c r="E954" s="177" t="str">
        <f t="shared" si="26"/>
        <v/>
      </c>
    </row>
    <row r="955" spans="3:5">
      <c r="C955" s="177" t="s">
        <v>148</v>
      </c>
      <c r="D955" s="177" t="s">
        <v>148</v>
      </c>
      <c r="E955" s="177" t="str">
        <f t="shared" si="26"/>
        <v/>
      </c>
    </row>
    <row r="956" spans="3:5">
      <c r="C956" s="177" t="s">
        <v>148</v>
      </c>
      <c r="D956" s="177" t="s">
        <v>148</v>
      </c>
      <c r="E956" s="177" t="str">
        <f t="shared" si="26"/>
        <v/>
      </c>
    </row>
    <row r="957" spans="3:5">
      <c r="C957" s="177" t="s">
        <v>148</v>
      </c>
      <c r="D957" s="177" t="s">
        <v>148</v>
      </c>
      <c r="E957" s="177" t="str">
        <f t="shared" si="26"/>
        <v/>
      </c>
    </row>
    <row r="958" spans="3:5">
      <c r="C958" s="177" t="s">
        <v>148</v>
      </c>
      <c r="D958" s="177" t="s">
        <v>148</v>
      </c>
      <c r="E958" s="177" t="str">
        <f t="shared" si="26"/>
        <v/>
      </c>
    </row>
    <row r="959" spans="3:5">
      <c r="C959" s="177" t="s">
        <v>148</v>
      </c>
      <c r="D959" s="177" t="s">
        <v>148</v>
      </c>
      <c r="E959" s="177" t="str">
        <f t="shared" si="26"/>
        <v/>
      </c>
    </row>
    <row r="960" spans="3:5">
      <c r="C960" s="177" t="s">
        <v>148</v>
      </c>
      <c r="D960" s="177" t="s">
        <v>148</v>
      </c>
      <c r="E960" s="177" t="str">
        <f t="shared" si="26"/>
        <v/>
      </c>
    </row>
    <row r="961" spans="3:5">
      <c r="C961" s="177" t="s">
        <v>148</v>
      </c>
      <c r="D961" s="177" t="s">
        <v>148</v>
      </c>
      <c r="E961" s="177" t="str">
        <f t="shared" si="26"/>
        <v/>
      </c>
    </row>
    <row r="962" spans="3:5">
      <c r="C962" s="177" t="s">
        <v>148</v>
      </c>
      <c r="D962" s="177" t="s">
        <v>148</v>
      </c>
      <c r="E962" s="177" t="str">
        <f t="shared" si="26"/>
        <v/>
      </c>
    </row>
    <row r="963" spans="3:5">
      <c r="C963" s="177" t="s">
        <v>148</v>
      </c>
      <c r="D963" s="177" t="s">
        <v>148</v>
      </c>
      <c r="E963" s="177" t="str">
        <f t="shared" si="26"/>
        <v/>
      </c>
    </row>
    <row r="964" spans="3:5">
      <c r="C964" s="177" t="s">
        <v>148</v>
      </c>
      <c r="D964" s="177" t="s">
        <v>148</v>
      </c>
      <c r="E964" s="177" t="str">
        <f t="shared" ref="E964:E1027" si="27">IF(C964&lt;D964,C964,D964)</f>
        <v/>
      </c>
    </row>
    <row r="965" spans="3:5">
      <c r="C965" s="177" t="s">
        <v>148</v>
      </c>
      <c r="D965" s="177" t="s">
        <v>148</v>
      </c>
      <c r="E965" s="177" t="str">
        <f t="shared" si="27"/>
        <v/>
      </c>
    </row>
    <row r="966" spans="3:5">
      <c r="C966" s="177" t="s">
        <v>148</v>
      </c>
      <c r="D966" s="177" t="s">
        <v>148</v>
      </c>
      <c r="E966" s="177" t="str">
        <f t="shared" si="27"/>
        <v/>
      </c>
    </row>
    <row r="967" spans="3:5">
      <c r="C967" s="177" t="s">
        <v>148</v>
      </c>
      <c r="D967" s="177" t="s">
        <v>148</v>
      </c>
      <c r="E967" s="177" t="str">
        <f t="shared" si="27"/>
        <v/>
      </c>
    </row>
    <row r="968" spans="3:5">
      <c r="C968" s="177" t="s">
        <v>148</v>
      </c>
      <c r="D968" s="177" t="s">
        <v>148</v>
      </c>
      <c r="E968" s="177" t="str">
        <f t="shared" si="27"/>
        <v/>
      </c>
    </row>
    <row r="969" spans="3:5">
      <c r="C969" s="177" t="s">
        <v>148</v>
      </c>
      <c r="D969" s="177" t="s">
        <v>148</v>
      </c>
      <c r="E969" s="177" t="str">
        <f t="shared" si="27"/>
        <v/>
      </c>
    </row>
    <row r="970" spans="3:5">
      <c r="C970" s="177" t="s">
        <v>148</v>
      </c>
      <c r="D970" s="177" t="s">
        <v>148</v>
      </c>
      <c r="E970" s="177" t="str">
        <f t="shared" si="27"/>
        <v/>
      </c>
    </row>
    <row r="971" spans="3:5">
      <c r="C971" s="177" t="s">
        <v>148</v>
      </c>
      <c r="D971" s="177" t="s">
        <v>148</v>
      </c>
      <c r="E971" s="177" t="str">
        <f t="shared" si="27"/>
        <v/>
      </c>
    </row>
    <row r="972" spans="3:5">
      <c r="C972" s="177" t="s">
        <v>148</v>
      </c>
      <c r="D972" s="177" t="s">
        <v>148</v>
      </c>
      <c r="E972" s="177" t="str">
        <f t="shared" si="27"/>
        <v/>
      </c>
    </row>
    <row r="973" spans="3:5">
      <c r="C973" s="177" t="s">
        <v>148</v>
      </c>
      <c r="D973" s="177" t="s">
        <v>148</v>
      </c>
      <c r="E973" s="177" t="str">
        <f t="shared" si="27"/>
        <v/>
      </c>
    </row>
    <row r="974" spans="3:5">
      <c r="C974" s="177" t="s">
        <v>148</v>
      </c>
      <c r="D974" s="177" t="s">
        <v>148</v>
      </c>
      <c r="E974" s="177" t="str">
        <f t="shared" si="27"/>
        <v/>
      </c>
    </row>
    <row r="975" spans="3:5">
      <c r="C975" s="177" t="s">
        <v>148</v>
      </c>
      <c r="D975" s="177" t="s">
        <v>148</v>
      </c>
      <c r="E975" s="177" t="str">
        <f t="shared" si="27"/>
        <v/>
      </c>
    </row>
    <row r="976" spans="3:5">
      <c r="C976" s="177" t="s">
        <v>148</v>
      </c>
      <c r="D976" s="177" t="s">
        <v>148</v>
      </c>
      <c r="E976" s="177" t="str">
        <f t="shared" si="27"/>
        <v/>
      </c>
    </row>
    <row r="977" spans="3:5">
      <c r="C977" s="177" t="s">
        <v>148</v>
      </c>
      <c r="D977" s="177" t="s">
        <v>148</v>
      </c>
      <c r="E977" s="177" t="str">
        <f t="shared" si="27"/>
        <v/>
      </c>
    </row>
    <row r="978" spans="3:5">
      <c r="C978" s="177" t="s">
        <v>148</v>
      </c>
      <c r="D978" s="177" t="s">
        <v>148</v>
      </c>
      <c r="E978" s="177" t="str">
        <f t="shared" si="27"/>
        <v/>
      </c>
    </row>
    <row r="979" spans="3:5">
      <c r="C979" s="177" t="s">
        <v>148</v>
      </c>
      <c r="D979" s="177" t="s">
        <v>148</v>
      </c>
      <c r="E979" s="177" t="str">
        <f t="shared" si="27"/>
        <v/>
      </c>
    </row>
    <row r="980" spans="3:5">
      <c r="C980" s="177" t="s">
        <v>148</v>
      </c>
      <c r="D980" s="177" t="s">
        <v>148</v>
      </c>
      <c r="E980" s="177" t="str">
        <f t="shared" si="27"/>
        <v/>
      </c>
    </row>
    <row r="981" spans="3:5">
      <c r="C981" s="177" t="s">
        <v>148</v>
      </c>
      <c r="D981" s="177" t="s">
        <v>148</v>
      </c>
      <c r="E981" s="177" t="str">
        <f t="shared" si="27"/>
        <v/>
      </c>
    </row>
    <row r="982" spans="3:5">
      <c r="C982" s="177" t="s">
        <v>148</v>
      </c>
      <c r="D982" s="177" t="s">
        <v>148</v>
      </c>
      <c r="E982" s="177" t="str">
        <f t="shared" si="27"/>
        <v/>
      </c>
    </row>
    <row r="983" spans="3:5">
      <c r="C983" s="177" t="s">
        <v>148</v>
      </c>
      <c r="D983" s="177" t="s">
        <v>148</v>
      </c>
      <c r="E983" s="177" t="str">
        <f t="shared" si="27"/>
        <v/>
      </c>
    </row>
    <row r="984" spans="3:5">
      <c r="C984" s="177" t="s">
        <v>148</v>
      </c>
      <c r="D984" s="177" t="s">
        <v>148</v>
      </c>
      <c r="E984" s="177" t="str">
        <f t="shared" si="27"/>
        <v/>
      </c>
    </row>
    <row r="985" spans="3:5">
      <c r="C985" s="177" t="s">
        <v>148</v>
      </c>
      <c r="D985" s="177" t="s">
        <v>148</v>
      </c>
      <c r="E985" s="177" t="str">
        <f t="shared" si="27"/>
        <v/>
      </c>
    </row>
    <row r="986" spans="3:5">
      <c r="C986" s="177" t="s">
        <v>148</v>
      </c>
      <c r="D986" s="177" t="s">
        <v>148</v>
      </c>
      <c r="E986" s="177" t="str">
        <f t="shared" si="27"/>
        <v/>
      </c>
    </row>
    <row r="987" spans="3:5">
      <c r="C987" s="177" t="s">
        <v>148</v>
      </c>
      <c r="D987" s="177" t="s">
        <v>148</v>
      </c>
      <c r="E987" s="177" t="str">
        <f t="shared" si="27"/>
        <v/>
      </c>
    </row>
    <row r="988" spans="3:5">
      <c r="C988" s="177" t="s">
        <v>148</v>
      </c>
      <c r="D988" s="177" t="s">
        <v>148</v>
      </c>
      <c r="E988" s="177" t="str">
        <f t="shared" si="27"/>
        <v/>
      </c>
    </row>
    <row r="989" spans="3:5">
      <c r="C989" s="177" t="s">
        <v>148</v>
      </c>
      <c r="D989" s="177" t="s">
        <v>148</v>
      </c>
      <c r="E989" s="177" t="str">
        <f t="shared" si="27"/>
        <v/>
      </c>
    </row>
    <row r="990" spans="3:5">
      <c r="C990" s="177" t="s">
        <v>148</v>
      </c>
      <c r="D990" s="177" t="s">
        <v>148</v>
      </c>
      <c r="E990" s="177" t="str">
        <f t="shared" si="27"/>
        <v/>
      </c>
    </row>
    <row r="991" spans="3:5">
      <c r="C991" s="177" t="s">
        <v>148</v>
      </c>
      <c r="D991" s="177" t="s">
        <v>148</v>
      </c>
      <c r="E991" s="177" t="str">
        <f t="shared" si="27"/>
        <v/>
      </c>
    </row>
    <row r="992" spans="3:5">
      <c r="C992" s="177" t="s">
        <v>148</v>
      </c>
      <c r="D992" s="177" t="s">
        <v>148</v>
      </c>
      <c r="E992" s="177" t="str">
        <f t="shared" si="27"/>
        <v/>
      </c>
    </row>
    <row r="993" spans="3:5">
      <c r="C993" s="177" t="s">
        <v>148</v>
      </c>
      <c r="D993" s="177" t="s">
        <v>148</v>
      </c>
      <c r="E993" s="177" t="str">
        <f t="shared" si="27"/>
        <v/>
      </c>
    </row>
    <row r="994" spans="3:5">
      <c r="C994" s="177" t="s">
        <v>148</v>
      </c>
      <c r="D994" s="177" t="s">
        <v>148</v>
      </c>
      <c r="E994" s="177" t="str">
        <f t="shared" si="27"/>
        <v/>
      </c>
    </row>
    <row r="995" spans="3:5">
      <c r="C995" s="177" t="s">
        <v>148</v>
      </c>
      <c r="D995" s="177" t="s">
        <v>148</v>
      </c>
      <c r="E995" s="177" t="str">
        <f t="shared" si="27"/>
        <v/>
      </c>
    </row>
    <row r="996" spans="3:5">
      <c r="C996" s="177" t="s">
        <v>148</v>
      </c>
      <c r="D996" s="177" t="s">
        <v>148</v>
      </c>
      <c r="E996" s="177" t="str">
        <f t="shared" si="27"/>
        <v/>
      </c>
    </row>
    <row r="997" spans="3:5">
      <c r="C997" s="177" t="s">
        <v>148</v>
      </c>
      <c r="D997" s="177" t="s">
        <v>148</v>
      </c>
      <c r="E997" s="177" t="str">
        <f t="shared" si="27"/>
        <v/>
      </c>
    </row>
    <row r="998" spans="3:5">
      <c r="C998" s="177" t="s">
        <v>148</v>
      </c>
      <c r="D998" s="177" t="s">
        <v>148</v>
      </c>
      <c r="E998" s="177" t="str">
        <f t="shared" si="27"/>
        <v/>
      </c>
    </row>
    <row r="999" spans="3:5">
      <c r="C999" s="177" t="s">
        <v>148</v>
      </c>
      <c r="D999" s="177" t="s">
        <v>148</v>
      </c>
      <c r="E999" s="177" t="str">
        <f t="shared" si="27"/>
        <v/>
      </c>
    </row>
    <row r="1000" spans="3:5">
      <c r="C1000" s="177" t="s">
        <v>148</v>
      </c>
      <c r="D1000" s="177" t="s">
        <v>148</v>
      </c>
      <c r="E1000" s="177" t="str">
        <f t="shared" si="27"/>
        <v/>
      </c>
    </row>
    <row r="1001" spans="3:5">
      <c r="C1001" s="177" t="s">
        <v>148</v>
      </c>
      <c r="D1001" s="177" t="s">
        <v>148</v>
      </c>
      <c r="E1001" s="177" t="str">
        <f t="shared" si="27"/>
        <v/>
      </c>
    </row>
    <row r="1002" spans="3:5">
      <c r="C1002" s="177" t="s">
        <v>148</v>
      </c>
      <c r="D1002" s="177" t="s">
        <v>148</v>
      </c>
      <c r="E1002" s="177" t="str">
        <f t="shared" si="27"/>
        <v/>
      </c>
    </row>
    <row r="1003" spans="3:5">
      <c r="C1003" s="177" t="s">
        <v>148</v>
      </c>
      <c r="D1003" s="177" t="s">
        <v>148</v>
      </c>
      <c r="E1003" s="177" t="str">
        <f t="shared" si="27"/>
        <v/>
      </c>
    </row>
    <row r="1004" spans="3:5">
      <c r="C1004" s="177" t="s">
        <v>148</v>
      </c>
      <c r="D1004" s="177" t="s">
        <v>148</v>
      </c>
      <c r="E1004" s="177" t="str">
        <f t="shared" si="27"/>
        <v/>
      </c>
    </row>
    <row r="1005" spans="3:5">
      <c r="C1005" s="177" t="s">
        <v>148</v>
      </c>
      <c r="D1005" s="177" t="s">
        <v>148</v>
      </c>
      <c r="E1005" s="177" t="str">
        <f t="shared" si="27"/>
        <v/>
      </c>
    </row>
    <row r="1006" spans="3:5">
      <c r="C1006" s="177" t="s">
        <v>148</v>
      </c>
      <c r="D1006" s="177" t="s">
        <v>148</v>
      </c>
      <c r="E1006" s="177" t="str">
        <f t="shared" si="27"/>
        <v/>
      </c>
    </row>
    <row r="1007" spans="3:5">
      <c r="C1007" s="177" t="s">
        <v>148</v>
      </c>
      <c r="D1007" s="177" t="s">
        <v>148</v>
      </c>
      <c r="E1007" s="177" t="str">
        <f t="shared" si="27"/>
        <v/>
      </c>
    </row>
    <row r="1008" spans="3:5">
      <c r="C1008" s="177" t="s">
        <v>148</v>
      </c>
      <c r="D1008" s="177" t="s">
        <v>148</v>
      </c>
      <c r="E1008" s="177" t="str">
        <f t="shared" si="27"/>
        <v/>
      </c>
    </row>
    <row r="1009" spans="3:5">
      <c r="C1009" s="177" t="s">
        <v>148</v>
      </c>
      <c r="D1009" s="177" t="s">
        <v>148</v>
      </c>
      <c r="E1009" s="177" t="str">
        <f t="shared" si="27"/>
        <v/>
      </c>
    </row>
    <row r="1010" spans="3:5">
      <c r="C1010" s="177" t="s">
        <v>148</v>
      </c>
      <c r="D1010" s="177" t="s">
        <v>148</v>
      </c>
      <c r="E1010" s="177" t="str">
        <f t="shared" si="27"/>
        <v/>
      </c>
    </row>
    <row r="1011" spans="3:5">
      <c r="C1011" s="177" t="s">
        <v>148</v>
      </c>
      <c r="D1011" s="177" t="s">
        <v>148</v>
      </c>
      <c r="E1011" s="177" t="str">
        <f t="shared" si="27"/>
        <v/>
      </c>
    </row>
    <row r="1012" spans="3:5">
      <c r="C1012" s="177" t="s">
        <v>148</v>
      </c>
      <c r="D1012" s="177" t="s">
        <v>148</v>
      </c>
      <c r="E1012" s="177" t="str">
        <f t="shared" si="27"/>
        <v/>
      </c>
    </row>
    <row r="1013" spans="3:5">
      <c r="C1013" s="177" t="s">
        <v>148</v>
      </c>
      <c r="D1013" s="177" t="s">
        <v>148</v>
      </c>
      <c r="E1013" s="177" t="str">
        <f t="shared" si="27"/>
        <v/>
      </c>
    </row>
    <row r="1014" spans="3:5">
      <c r="C1014" s="177" t="s">
        <v>148</v>
      </c>
      <c r="D1014" s="177" t="s">
        <v>148</v>
      </c>
      <c r="E1014" s="177" t="str">
        <f t="shared" si="27"/>
        <v/>
      </c>
    </row>
    <row r="1015" spans="3:5">
      <c r="C1015" s="177" t="s">
        <v>148</v>
      </c>
      <c r="D1015" s="177" t="s">
        <v>148</v>
      </c>
      <c r="E1015" s="177" t="str">
        <f t="shared" si="27"/>
        <v/>
      </c>
    </row>
    <row r="1016" spans="3:5">
      <c r="C1016" s="177" t="s">
        <v>148</v>
      </c>
      <c r="D1016" s="177" t="s">
        <v>148</v>
      </c>
      <c r="E1016" s="177" t="str">
        <f t="shared" si="27"/>
        <v/>
      </c>
    </row>
    <row r="1017" spans="3:5">
      <c r="C1017" s="177" t="s">
        <v>148</v>
      </c>
      <c r="D1017" s="177" t="s">
        <v>148</v>
      </c>
      <c r="E1017" s="177" t="str">
        <f t="shared" si="27"/>
        <v/>
      </c>
    </row>
    <row r="1018" spans="3:5">
      <c r="C1018" s="177" t="s">
        <v>148</v>
      </c>
      <c r="D1018" s="177" t="s">
        <v>148</v>
      </c>
      <c r="E1018" s="177" t="str">
        <f t="shared" si="27"/>
        <v/>
      </c>
    </row>
    <row r="1019" spans="3:5">
      <c r="C1019" s="177" t="s">
        <v>148</v>
      </c>
      <c r="D1019" s="177" t="s">
        <v>148</v>
      </c>
      <c r="E1019" s="177" t="str">
        <f t="shared" si="27"/>
        <v/>
      </c>
    </row>
    <row r="1020" spans="3:5">
      <c r="C1020" s="177" t="s">
        <v>148</v>
      </c>
      <c r="D1020" s="177" t="s">
        <v>148</v>
      </c>
      <c r="E1020" s="177" t="str">
        <f t="shared" si="27"/>
        <v/>
      </c>
    </row>
    <row r="1021" spans="3:5">
      <c r="C1021" s="177" t="s">
        <v>148</v>
      </c>
      <c r="D1021" s="177" t="s">
        <v>148</v>
      </c>
      <c r="E1021" s="177" t="str">
        <f t="shared" si="27"/>
        <v/>
      </c>
    </row>
    <row r="1022" spans="3:5">
      <c r="C1022" s="177" t="s">
        <v>148</v>
      </c>
      <c r="D1022" s="177" t="s">
        <v>148</v>
      </c>
      <c r="E1022" s="177" t="str">
        <f t="shared" si="27"/>
        <v/>
      </c>
    </row>
    <row r="1023" spans="3:5">
      <c r="C1023" s="177" t="s">
        <v>148</v>
      </c>
      <c r="D1023" s="177" t="s">
        <v>148</v>
      </c>
      <c r="E1023" s="177" t="str">
        <f t="shared" si="27"/>
        <v/>
      </c>
    </row>
    <row r="1024" spans="3:5">
      <c r="C1024" s="177" t="s">
        <v>148</v>
      </c>
      <c r="D1024" s="177" t="s">
        <v>148</v>
      </c>
      <c r="E1024" s="177" t="str">
        <f t="shared" si="27"/>
        <v/>
      </c>
    </row>
    <row r="1025" spans="3:5">
      <c r="C1025" s="177" t="s">
        <v>148</v>
      </c>
      <c r="D1025" s="177" t="s">
        <v>148</v>
      </c>
      <c r="E1025" s="177" t="str">
        <f t="shared" si="27"/>
        <v/>
      </c>
    </row>
    <row r="1026" spans="3:5">
      <c r="C1026" s="177" t="s">
        <v>148</v>
      </c>
      <c r="D1026" s="177" t="s">
        <v>148</v>
      </c>
      <c r="E1026" s="177" t="str">
        <f t="shared" si="27"/>
        <v/>
      </c>
    </row>
    <row r="1027" spans="3:5">
      <c r="C1027" s="177" t="s">
        <v>148</v>
      </c>
      <c r="D1027" s="177" t="s">
        <v>148</v>
      </c>
      <c r="E1027" s="177" t="str">
        <f t="shared" si="27"/>
        <v/>
      </c>
    </row>
    <row r="1028" spans="3:5">
      <c r="C1028" s="177" t="s">
        <v>148</v>
      </c>
      <c r="D1028" s="177" t="s">
        <v>148</v>
      </c>
      <c r="E1028" s="177" t="str">
        <f t="shared" ref="E1028:E1091" si="28">IF(C1028&lt;D1028,C1028,D1028)</f>
        <v/>
      </c>
    </row>
    <row r="1029" spans="3:5">
      <c r="C1029" s="177" t="s">
        <v>148</v>
      </c>
      <c r="D1029" s="177" t="s">
        <v>148</v>
      </c>
      <c r="E1029" s="177" t="str">
        <f t="shared" si="28"/>
        <v/>
      </c>
    </row>
    <row r="1030" spans="3:5">
      <c r="C1030" s="177" t="s">
        <v>148</v>
      </c>
      <c r="D1030" s="177" t="s">
        <v>148</v>
      </c>
      <c r="E1030" s="177" t="str">
        <f t="shared" si="28"/>
        <v/>
      </c>
    </row>
    <row r="1031" spans="3:5">
      <c r="C1031" s="177" t="s">
        <v>148</v>
      </c>
      <c r="D1031" s="177" t="s">
        <v>148</v>
      </c>
      <c r="E1031" s="177" t="str">
        <f t="shared" si="28"/>
        <v/>
      </c>
    </row>
    <row r="1032" spans="3:5">
      <c r="C1032" s="177" t="s">
        <v>148</v>
      </c>
      <c r="D1032" s="177" t="s">
        <v>148</v>
      </c>
      <c r="E1032" s="177" t="str">
        <f t="shared" si="28"/>
        <v/>
      </c>
    </row>
    <row r="1033" spans="3:5">
      <c r="C1033" s="177" t="s">
        <v>148</v>
      </c>
      <c r="D1033" s="177" t="s">
        <v>148</v>
      </c>
      <c r="E1033" s="177" t="str">
        <f t="shared" si="28"/>
        <v/>
      </c>
    </row>
    <row r="1034" spans="3:5">
      <c r="C1034" s="177" t="s">
        <v>148</v>
      </c>
      <c r="D1034" s="177" t="s">
        <v>148</v>
      </c>
      <c r="E1034" s="177" t="str">
        <f t="shared" si="28"/>
        <v/>
      </c>
    </row>
    <row r="1035" spans="3:5">
      <c r="C1035" s="177" t="s">
        <v>148</v>
      </c>
      <c r="D1035" s="177" t="s">
        <v>148</v>
      </c>
      <c r="E1035" s="177" t="str">
        <f t="shared" si="28"/>
        <v/>
      </c>
    </row>
    <row r="1036" spans="3:5">
      <c r="C1036" s="177" t="s">
        <v>148</v>
      </c>
      <c r="D1036" s="177" t="s">
        <v>148</v>
      </c>
      <c r="E1036" s="177" t="str">
        <f t="shared" si="28"/>
        <v/>
      </c>
    </row>
    <row r="1037" spans="3:5">
      <c r="C1037" s="177" t="s">
        <v>148</v>
      </c>
      <c r="D1037" s="177" t="s">
        <v>148</v>
      </c>
      <c r="E1037" s="177" t="str">
        <f t="shared" si="28"/>
        <v/>
      </c>
    </row>
    <row r="1038" spans="3:5">
      <c r="C1038" s="177" t="s">
        <v>148</v>
      </c>
      <c r="D1038" s="177" t="s">
        <v>148</v>
      </c>
      <c r="E1038" s="177" t="str">
        <f t="shared" si="28"/>
        <v/>
      </c>
    </row>
    <row r="1039" spans="3:5">
      <c r="C1039" s="177" t="s">
        <v>148</v>
      </c>
      <c r="D1039" s="177" t="s">
        <v>148</v>
      </c>
      <c r="E1039" s="177" t="str">
        <f t="shared" si="28"/>
        <v/>
      </c>
    </row>
    <row r="1040" spans="3:5">
      <c r="C1040" s="177" t="s">
        <v>148</v>
      </c>
      <c r="D1040" s="177" t="s">
        <v>148</v>
      </c>
      <c r="E1040" s="177" t="str">
        <f t="shared" si="28"/>
        <v/>
      </c>
    </row>
    <row r="1041" spans="3:5">
      <c r="C1041" s="177" t="s">
        <v>148</v>
      </c>
      <c r="D1041" s="177" t="s">
        <v>148</v>
      </c>
      <c r="E1041" s="177" t="str">
        <f t="shared" si="28"/>
        <v/>
      </c>
    </row>
    <row r="1042" spans="3:5">
      <c r="C1042" s="177" t="s">
        <v>148</v>
      </c>
      <c r="D1042" s="177" t="s">
        <v>148</v>
      </c>
      <c r="E1042" s="177" t="str">
        <f t="shared" si="28"/>
        <v/>
      </c>
    </row>
    <row r="1043" spans="3:5">
      <c r="C1043" s="177" t="s">
        <v>148</v>
      </c>
      <c r="D1043" s="177" t="s">
        <v>148</v>
      </c>
      <c r="E1043" s="177" t="str">
        <f t="shared" si="28"/>
        <v/>
      </c>
    </row>
    <row r="1044" spans="3:5">
      <c r="C1044" s="177" t="s">
        <v>148</v>
      </c>
      <c r="D1044" s="177" t="s">
        <v>148</v>
      </c>
      <c r="E1044" s="177" t="str">
        <f t="shared" si="28"/>
        <v/>
      </c>
    </row>
    <row r="1045" spans="3:5">
      <c r="C1045" s="177" t="s">
        <v>148</v>
      </c>
      <c r="D1045" s="177" t="s">
        <v>148</v>
      </c>
      <c r="E1045" s="177" t="str">
        <f t="shared" si="28"/>
        <v/>
      </c>
    </row>
    <row r="1046" spans="3:5">
      <c r="C1046" s="177" t="s">
        <v>148</v>
      </c>
      <c r="D1046" s="177" t="s">
        <v>148</v>
      </c>
      <c r="E1046" s="177" t="str">
        <f t="shared" si="28"/>
        <v/>
      </c>
    </row>
    <row r="1047" spans="3:5">
      <c r="C1047" s="177" t="s">
        <v>148</v>
      </c>
      <c r="D1047" s="177" t="s">
        <v>148</v>
      </c>
      <c r="E1047" s="177" t="str">
        <f t="shared" si="28"/>
        <v/>
      </c>
    </row>
    <row r="1048" spans="3:5">
      <c r="C1048" s="177" t="s">
        <v>148</v>
      </c>
      <c r="D1048" s="177" t="s">
        <v>148</v>
      </c>
      <c r="E1048" s="177" t="str">
        <f t="shared" si="28"/>
        <v/>
      </c>
    </row>
    <row r="1049" spans="3:5">
      <c r="C1049" s="177" t="s">
        <v>148</v>
      </c>
      <c r="D1049" s="177" t="s">
        <v>148</v>
      </c>
      <c r="E1049" s="177" t="str">
        <f t="shared" si="28"/>
        <v/>
      </c>
    </row>
    <row r="1050" spans="3:5">
      <c r="C1050" s="177" t="s">
        <v>148</v>
      </c>
      <c r="D1050" s="177" t="s">
        <v>148</v>
      </c>
      <c r="E1050" s="177" t="str">
        <f t="shared" si="28"/>
        <v/>
      </c>
    </row>
    <row r="1051" spans="3:5">
      <c r="C1051" s="177" t="s">
        <v>148</v>
      </c>
      <c r="D1051" s="177" t="s">
        <v>148</v>
      </c>
      <c r="E1051" s="177" t="str">
        <f t="shared" si="28"/>
        <v/>
      </c>
    </row>
    <row r="1052" spans="3:5">
      <c r="C1052" s="177" t="s">
        <v>148</v>
      </c>
      <c r="D1052" s="177" t="s">
        <v>148</v>
      </c>
      <c r="E1052" s="177" t="str">
        <f t="shared" si="28"/>
        <v/>
      </c>
    </row>
    <row r="1053" spans="3:5">
      <c r="C1053" s="177" t="s">
        <v>148</v>
      </c>
      <c r="D1053" s="177" t="s">
        <v>148</v>
      </c>
      <c r="E1053" s="177" t="str">
        <f t="shared" si="28"/>
        <v/>
      </c>
    </row>
    <row r="1054" spans="3:5">
      <c r="C1054" s="177" t="s">
        <v>148</v>
      </c>
      <c r="D1054" s="177" t="s">
        <v>148</v>
      </c>
      <c r="E1054" s="177" t="str">
        <f t="shared" si="28"/>
        <v/>
      </c>
    </row>
    <row r="1055" spans="3:5">
      <c r="C1055" s="177" t="s">
        <v>148</v>
      </c>
      <c r="D1055" s="177" t="s">
        <v>148</v>
      </c>
      <c r="E1055" s="177" t="str">
        <f t="shared" si="28"/>
        <v/>
      </c>
    </row>
    <row r="1056" spans="3:5">
      <c r="C1056" s="177" t="s">
        <v>148</v>
      </c>
      <c r="D1056" s="177" t="s">
        <v>148</v>
      </c>
      <c r="E1056" s="177" t="str">
        <f t="shared" si="28"/>
        <v/>
      </c>
    </row>
    <row r="1057" spans="3:5">
      <c r="C1057" s="177" t="s">
        <v>148</v>
      </c>
      <c r="D1057" s="177" t="s">
        <v>148</v>
      </c>
      <c r="E1057" s="177" t="str">
        <f t="shared" si="28"/>
        <v/>
      </c>
    </row>
    <row r="1058" spans="3:5">
      <c r="C1058" s="177" t="s">
        <v>148</v>
      </c>
      <c r="D1058" s="177" t="s">
        <v>148</v>
      </c>
      <c r="E1058" s="177" t="str">
        <f t="shared" si="28"/>
        <v/>
      </c>
    </row>
    <row r="1059" spans="3:5">
      <c r="C1059" s="177" t="s">
        <v>148</v>
      </c>
      <c r="D1059" s="177" t="s">
        <v>148</v>
      </c>
      <c r="E1059" s="177" t="str">
        <f t="shared" si="28"/>
        <v/>
      </c>
    </row>
    <row r="1060" spans="3:5">
      <c r="C1060" s="177" t="s">
        <v>148</v>
      </c>
      <c r="D1060" s="177" t="s">
        <v>148</v>
      </c>
      <c r="E1060" s="177" t="str">
        <f t="shared" si="28"/>
        <v/>
      </c>
    </row>
    <row r="1061" spans="3:5">
      <c r="C1061" s="177" t="s">
        <v>148</v>
      </c>
      <c r="D1061" s="177" t="s">
        <v>148</v>
      </c>
      <c r="E1061" s="177" t="str">
        <f t="shared" si="28"/>
        <v/>
      </c>
    </row>
    <row r="1062" spans="3:5">
      <c r="C1062" s="177" t="s">
        <v>148</v>
      </c>
      <c r="D1062" s="177" t="s">
        <v>148</v>
      </c>
      <c r="E1062" s="177" t="str">
        <f t="shared" si="28"/>
        <v/>
      </c>
    </row>
    <row r="1063" spans="3:5">
      <c r="C1063" s="177" t="s">
        <v>148</v>
      </c>
      <c r="D1063" s="177" t="s">
        <v>148</v>
      </c>
      <c r="E1063" s="177" t="str">
        <f t="shared" si="28"/>
        <v/>
      </c>
    </row>
    <row r="1064" spans="3:5">
      <c r="C1064" s="177" t="s">
        <v>148</v>
      </c>
      <c r="D1064" s="177" t="s">
        <v>148</v>
      </c>
      <c r="E1064" s="177" t="str">
        <f t="shared" si="28"/>
        <v/>
      </c>
    </row>
    <row r="1065" spans="3:5">
      <c r="C1065" s="177" t="s">
        <v>148</v>
      </c>
      <c r="D1065" s="177" t="s">
        <v>148</v>
      </c>
      <c r="E1065" s="177" t="str">
        <f t="shared" si="28"/>
        <v/>
      </c>
    </row>
    <row r="1066" spans="3:5">
      <c r="C1066" s="177" t="s">
        <v>148</v>
      </c>
      <c r="D1066" s="177" t="s">
        <v>148</v>
      </c>
      <c r="E1066" s="177" t="str">
        <f t="shared" si="28"/>
        <v/>
      </c>
    </row>
    <row r="1067" spans="3:5">
      <c r="C1067" s="177" t="s">
        <v>148</v>
      </c>
      <c r="D1067" s="177" t="s">
        <v>148</v>
      </c>
      <c r="E1067" s="177" t="str">
        <f t="shared" si="28"/>
        <v/>
      </c>
    </row>
    <row r="1068" spans="3:5">
      <c r="C1068" s="177" t="s">
        <v>148</v>
      </c>
      <c r="D1068" s="177" t="s">
        <v>148</v>
      </c>
      <c r="E1068" s="177" t="str">
        <f t="shared" si="28"/>
        <v/>
      </c>
    </row>
    <row r="1069" spans="3:5">
      <c r="C1069" s="177" t="s">
        <v>148</v>
      </c>
      <c r="D1069" s="177" t="s">
        <v>148</v>
      </c>
      <c r="E1069" s="177" t="str">
        <f t="shared" si="28"/>
        <v/>
      </c>
    </row>
    <row r="1070" spans="3:5">
      <c r="C1070" s="177" t="s">
        <v>148</v>
      </c>
      <c r="D1070" s="177" t="s">
        <v>148</v>
      </c>
      <c r="E1070" s="177" t="str">
        <f t="shared" si="28"/>
        <v/>
      </c>
    </row>
    <row r="1071" spans="3:5">
      <c r="C1071" s="177" t="s">
        <v>148</v>
      </c>
      <c r="D1071" s="177" t="s">
        <v>148</v>
      </c>
      <c r="E1071" s="177" t="str">
        <f t="shared" si="28"/>
        <v/>
      </c>
    </row>
    <row r="1072" spans="3:5">
      <c r="C1072" s="177" t="s">
        <v>148</v>
      </c>
      <c r="D1072" s="177" t="s">
        <v>148</v>
      </c>
      <c r="E1072" s="177" t="str">
        <f t="shared" si="28"/>
        <v/>
      </c>
    </row>
    <row r="1073" spans="3:5">
      <c r="C1073" s="177" t="s">
        <v>148</v>
      </c>
      <c r="D1073" s="177" t="s">
        <v>148</v>
      </c>
      <c r="E1073" s="177" t="str">
        <f t="shared" si="28"/>
        <v/>
      </c>
    </row>
    <row r="1074" spans="3:5">
      <c r="C1074" s="177" t="s">
        <v>148</v>
      </c>
      <c r="D1074" s="177" t="s">
        <v>148</v>
      </c>
      <c r="E1074" s="177" t="str">
        <f t="shared" si="28"/>
        <v/>
      </c>
    </row>
    <row r="1075" spans="3:5">
      <c r="C1075" s="177" t="s">
        <v>148</v>
      </c>
      <c r="D1075" s="177" t="s">
        <v>148</v>
      </c>
      <c r="E1075" s="177" t="str">
        <f t="shared" si="28"/>
        <v/>
      </c>
    </row>
    <row r="1076" spans="3:5">
      <c r="C1076" s="177" t="s">
        <v>148</v>
      </c>
      <c r="D1076" s="177" t="s">
        <v>148</v>
      </c>
      <c r="E1076" s="177" t="str">
        <f t="shared" si="28"/>
        <v/>
      </c>
    </row>
    <row r="1077" spans="3:5">
      <c r="C1077" s="177" t="s">
        <v>148</v>
      </c>
      <c r="D1077" s="177" t="s">
        <v>148</v>
      </c>
      <c r="E1077" s="177" t="str">
        <f t="shared" si="28"/>
        <v/>
      </c>
    </row>
    <row r="1078" spans="3:5">
      <c r="C1078" s="177" t="s">
        <v>148</v>
      </c>
      <c r="D1078" s="177" t="s">
        <v>148</v>
      </c>
      <c r="E1078" s="177" t="str">
        <f t="shared" si="28"/>
        <v/>
      </c>
    </row>
    <row r="1079" spans="3:5">
      <c r="C1079" s="177" t="s">
        <v>148</v>
      </c>
      <c r="D1079" s="177" t="s">
        <v>148</v>
      </c>
      <c r="E1079" s="177" t="str">
        <f t="shared" si="28"/>
        <v/>
      </c>
    </row>
    <row r="1080" spans="3:5">
      <c r="C1080" s="177" t="s">
        <v>148</v>
      </c>
      <c r="D1080" s="177" t="s">
        <v>148</v>
      </c>
      <c r="E1080" s="177" t="str">
        <f t="shared" si="28"/>
        <v/>
      </c>
    </row>
    <row r="1081" spans="3:5">
      <c r="C1081" s="177" t="s">
        <v>148</v>
      </c>
      <c r="D1081" s="177" t="s">
        <v>148</v>
      </c>
      <c r="E1081" s="177" t="str">
        <f t="shared" si="28"/>
        <v/>
      </c>
    </row>
    <row r="1082" spans="3:5">
      <c r="C1082" s="177" t="s">
        <v>148</v>
      </c>
      <c r="D1082" s="177" t="s">
        <v>148</v>
      </c>
      <c r="E1082" s="177" t="str">
        <f t="shared" si="28"/>
        <v/>
      </c>
    </row>
    <row r="1083" spans="3:5">
      <c r="C1083" s="177" t="s">
        <v>148</v>
      </c>
      <c r="D1083" s="177" t="s">
        <v>148</v>
      </c>
      <c r="E1083" s="177" t="str">
        <f t="shared" si="28"/>
        <v/>
      </c>
    </row>
    <row r="1084" spans="3:5">
      <c r="C1084" s="177" t="s">
        <v>148</v>
      </c>
      <c r="D1084" s="177" t="s">
        <v>148</v>
      </c>
      <c r="E1084" s="177" t="str">
        <f t="shared" si="28"/>
        <v/>
      </c>
    </row>
    <row r="1085" spans="3:5">
      <c r="C1085" s="177" t="s">
        <v>148</v>
      </c>
      <c r="D1085" s="177" t="s">
        <v>148</v>
      </c>
      <c r="E1085" s="177" t="str">
        <f t="shared" si="28"/>
        <v/>
      </c>
    </row>
    <row r="1086" spans="3:5">
      <c r="C1086" s="177" t="s">
        <v>148</v>
      </c>
      <c r="D1086" s="177" t="s">
        <v>148</v>
      </c>
      <c r="E1086" s="177" t="str">
        <f t="shared" si="28"/>
        <v/>
      </c>
    </row>
    <row r="1087" spans="3:5">
      <c r="C1087" s="177" t="s">
        <v>148</v>
      </c>
      <c r="D1087" s="177" t="s">
        <v>148</v>
      </c>
      <c r="E1087" s="177" t="str">
        <f t="shared" si="28"/>
        <v/>
      </c>
    </row>
    <row r="1088" spans="3:5">
      <c r="C1088" s="177" t="s">
        <v>148</v>
      </c>
      <c r="D1088" s="177" t="s">
        <v>148</v>
      </c>
      <c r="E1088" s="177" t="str">
        <f t="shared" si="28"/>
        <v/>
      </c>
    </row>
    <row r="1089" spans="3:5">
      <c r="C1089" s="177" t="s">
        <v>148</v>
      </c>
      <c r="D1089" s="177" t="s">
        <v>148</v>
      </c>
      <c r="E1089" s="177" t="str">
        <f t="shared" si="28"/>
        <v/>
      </c>
    </row>
    <row r="1090" spans="3:5">
      <c r="C1090" s="177" t="s">
        <v>148</v>
      </c>
      <c r="D1090" s="177" t="s">
        <v>148</v>
      </c>
      <c r="E1090" s="177" t="str">
        <f t="shared" si="28"/>
        <v/>
      </c>
    </row>
    <row r="1091" spans="3:5">
      <c r="C1091" s="177" t="s">
        <v>148</v>
      </c>
      <c r="D1091" s="177" t="s">
        <v>148</v>
      </c>
      <c r="E1091" s="177" t="str">
        <f t="shared" si="28"/>
        <v/>
      </c>
    </row>
    <row r="1092" spans="3:5">
      <c r="C1092" s="177" t="s">
        <v>148</v>
      </c>
      <c r="D1092" s="177" t="s">
        <v>148</v>
      </c>
      <c r="E1092" s="177" t="str">
        <f t="shared" ref="E1092:E1155" si="29">IF(C1092&lt;D1092,C1092,D1092)</f>
        <v/>
      </c>
    </row>
    <row r="1093" spans="3:5">
      <c r="C1093" s="177" t="s">
        <v>148</v>
      </c>
      <c r="D1093" s="177" t="s">
        <v>148</v>
      </c>
      <c r="E1093" s="177" t="str">
        <f t="shared" si="29"/>
        <v/>
      </c>
    </row>
    <row r="1094" spans="3:5">
      <c r="C1094" s="177" t="s">
        <v>148</v>
      </c>
      <c r="D1094" s="177" t="s">
        <v>148</v>
      </c>
      <c r="E1094" s="177" t="str">
        <f t="shared" si="29"/>
        <v/>
      </c>
    </row>
    <row r="1095" spans="3:5">
      <c r="C1095" s="177" t="s">
        <v>148</v>
      </c>
      <c r="D1095" s="177" t="s">
        <v>148</v>
      </c>
      <c r="E1095" s="177" t="str">
        <f t="shared" si="29"/>
        <v/>
      </c>
    </row>
    <row r="1096" spans="3:5">
      <c r="C1096" s="177" t="s">
        <v>148</v>
      </c>
      <c r="D1096" s="177" t="s">
        <v>148</v>
      </c>
      <c r="E1096" s="177" t="str">
        <f t="shared" si="29"/>
        <v/>
      </c>
    </row>
    <row r="1097" spans="3:5">
      <c r="C1097" s="177" t="s">
        <v>148</v>
      </c>
      <c r="D1097" s="177" t="s">
        <v>148</v>
      </c>
      <c r="E1097" s="177" t="str">
        <f t="shared" si="29"/>
        <v/>
      </c>
    </row>
    <row r="1098" spans="3:5">
      <c r="C1098" s="177" t="s">
        <v>148</v>
      </c>
      <c r="D1098" s="177" t="s">
        <v>148</v>
      </c>
      <c r="E1098" s="177" t="str">
        <f t="shared" si="29"/>
        <v/>
      </c>
    </row>
    <row r="1099" spans="3:5">
      <c r="C1099" s="177" t="s">
        <v>148</v>
      </c>
      <c r="D1099" s="177" t="s">
        <v>148</v>
      </c>
      <c r="E1099" s="177" t="str">
        <f t="shared" si="29"/>
        <v/>
      </c>
    </row>
    <row r="1100" spans="3:5">
      <c r="C1100" s="177" t="s">
        <v>148</v>
      </c>
      <c r="D1100" s="177" t="s">
        <v>148</v>
      </c>
      <c r="E1100" s="177" t="str">
        <f t="shared" si="29"/>
        <v/>
      </c>
    </row>
    <row r="1101" spans="3:5">
      <c r="C1101" s="177" t="s">
        <v>148</v>
      </c>
      <c r="D1101" s="177" t="s">
        <v>148</v>
      </c>
      <c r="E1101" s="177" t="str">
        <f t="shared" si="29"/>
        <v/>
      </c>
    </row>
    <row r="1102" spans="3:5">
      <c r="C1102" s="177" t="s">
        <v>148</v>
      </c>
      <c r="D1102" s="177" t="s">
        <v>148</v>
      </c>
      <c r="E1102" s="177" t="str">
        <f t="shared" si="29"/>
        <v/>
      </c>
    </row>
    <row r="1103" spans="3:5">
      <c r="C1103" s="177" t="s">
        <v>148</v>
      </c>
      <c r="D1103" s="177" t="s">
        <v>148</v>
      </c>
      <c r="E1103" s="177" t="str">
        <f t="shared" si="29"/>
        <v/>
      </c>
    </row>
    <row r="1104" spans="3:5">
      <c r="C1104" s="177" t="s">
        <v>148</v>
      </c>
      <c r="D1104" s="177" t="s">
        <v>148</v>
      </c>
      <c r="E1104" s="177" t="str">
        <f t="shared" si="29"/>
        <v/>
      </c>
    </row>
    <row r="1105" spans="3:5">
      <c r="C1105" s="177" t="s">
        <v>148</v>
      </c>
      <c r="D1105" s="177" t="s">
        <v>148</v>
      </c>
      <c r="E1105" s="177" t="str">
        <f t="shared" si="29"/>
        <v/>
      </c>
    </row>
    <row r="1106" spans="3:5">
      <c r="C1106" s="177" t="s">
        <v>148</v>
      </c>
      <c r="D1106" s="177" t="s">
        <v>148</v>
      </c>
      <c r="E1106" s="177" t="str">
        <f t="shared" si="29"/>
        <v/>
      </c>
    </row>
    <row r="1107" spans="3:5">
      <c r="C1107" s="177" t="s">
        <v>148</v>
      </c>
      <c r="D1107" s="177" t="s">
        <v>148</v>
      </c>
      <c r="E1107" s="177" t="str">
        <f t="shared" si="29"/>
        <v/>
      </c>
    </row>
    <row r="1108" spans="3:5">
      <c r="C1108" s="177" t="s">
        <v>148</v>
      </c>
      <c r="D1108" s="177" t="s">
        <v>148</v>
      </c>
      <c r="E1108" s="177" t="str">
        <f t="shared" si="29"/>
        <v/>
      </c>
    </row>
    <row r="1109" spans="3:5">
      <c r="C1109" s="177" t="s">
        <v>148</v>
      </c>
      <c r="D1109" s="177" t="s">
        <v>148</v>
      </c>
      <c r="E1109" s="177" t="str">
        <f t="shared" si="29"/>
        <v/>
      </c>
    </row>
    <row r="1110" spans="3:5">
      <c r="C1110" s="177" t="s">
        <v>148</v>
      </c>
      <c r="D1110" s="177" t="s">
        <v>148</v>
      </c>
      <c r="E1110" s="177" t="str">
        <f t="shared" si="29"/>
        <v/>
      </c>
    </row>
    <row r="1111" spans="3:5">
      <c r="C1111" s="177" t="s">
        <v>148</v>
      </c>
      <c r="D1111" s="177" t="s">
        <v>148</v>
      </c>
      <c r="E1111" s="177" t="str">
        <f t="shared" si="29"/>
        <v/>
      </c>
    </row>
    <row r="1112" spans="3:5">
      <c r="C1112" s="177" t="s">
        <v>148</v>
      </c>
      <c r="D1112" s="177" t="s">
        <v>148</v>
      </c>
      <c r="E1112" s="177" t="str">
        <f t="shared" si="29"/>
        <v/>
      </c>
    </row>
    <row r="1113" spans="3:5">
      <c r="C1113" s="177" t="s">
        <v>148</v>
      </c>
      <c r="D1113" s="177" t="s">
        <v>148</v>
      </c>
      <c r="E1113" s="177" t="str">
        <f t="shared" si="29"/>
        <v/>
      </c>
    </row>
    <row r="1114" spans="3:5">
      <c r="C1114" s="177" t="s">
        <v>148</v>
      </c>
      <c r="D1114" s="177" t="s">
        <v>148</v>
      </c>
      <c r="E1114" s="177" t="str">
        <f t="shared" si="29"/>
        <v/>
      </c>
    </row>
    <row r="1115" spans="3:5">
      <c r="C1115" s="177" t="s">
        <v>148</v>
      </c>
      <c r="D1115" s="177" t="s">
        <v>148</v>
      </c>
      <c r="E1115" s="177" t="str">
        <f t="shared" si="29"/>
        <v/>
      </c>
    </row>
    <row r="1116" spans="3:5">
      <c r="C1116" s="177" t="s">
        <v>148</v>
      </c>
      <c r="D1116" s="177" t="s">
        <v>148</v>
      </c>
      <c r="E1116" s="177" t="str">
        <f t="shared" si="29"/>
        <v/>
      </c>
    </row>
    <row r="1117" spans="3:5">
      <c r="C1117" s="177" t="s">
        <v>148</v>
      </c>
      <c r="D1117" s="177" t="s">
        <v>148</v>
      </c>
      <c r="E1117" s="177" t="str">
        <f t="shared" si="29"/>
        <v/>
      </c>
    </row>
    <row r="1118" spans="3:5">
      <c r="C1118" s="177" t="s">
        <v>148</v>
      </c>
      <c r="D1118" s="177" t="s">
        <v>148</v>
      </c>
      <c r="E1118" s="177" t="str">
        <f t="shared" si="29"/>
        <v/>
      </c>
    </row>
    <row r="1119" spans="3:5">
      <c r="C1119" s="177" t="s">
        <v>148</v>
      </c>
      <c r="D1119" s="177" t="s">
        <v>148</v>
      </c>
      <c r="E1119" s="177" t="str">
        <f t="shared" si="29"/>
        <v/>
      </c>
    </row>
    <row r="1120" spans="3:5">
      <c r="C1120" s="177" t="s">
        <v>148</v>
      </c>
      <c r="D1120" s="177" t="s">
        <v>148</v>
      </c>
      <c r="E1120" s="177" t="str">
        <f t="shared" si="29"/>
        <v/>
      </c>
    </row>
    <row r="1121" spans="3:5">
      <c r="C1121" s="177" t="s">
        <v>148</v>
      </c>
      <c r="D1121" s="177" t="s">
        <v>148</v>
      </c>
      <c r="E1121" s="177" t="str">
        <f t="shared" si="29"/>
        <v/>
      </c>
    </row>
    <row r="1122" spans="3:5">
      <c r="C1122" s="177" t="s">
        <v>148</v>
      </c>
      <c r="D1122" s="177" t="s">
        <v>148</v>
      </c>
      <c r="E1122" s="177" t="str">
        <f t="shared" si="29"/>
        <v/>
      </c>
    </row>
    <row r="1123" spans="3:5">
      <c r="C1123" s="177" t="s">
        <v>148</v>
      </c>
      <c r="D1123" s="177" t="s">
        <v>148</v>
      </c>
      <c r="E1123" s="177" t="str">
        <f t="shared" si="29"/>
        <v/>
      </c>
    </row>
    <row r="1124" spans="3:5">
      <c r="C1124" s="177" t="s">
        <v>148</v>
      </c>
      <c r="D1124" s="177" t="s">
        <v>148</v>
      </c>
      <c r="E1124" s="177" t="str">
        <f t="shared" si="29"/>
        <v/>
      </c>
    </row>
    <row r="1125" spans="3:5">
      <c r="C1125" s="177" t="s">
        <v>148</v>
      </c>
      <c r="D1125" s="177" t="s">
        <v>148</v>
      </c>
      <c r="E1125" s="177" t="str">
        <f t="shared" si="29"/>
        <v/>
      </c>
    </row>
    <row r="1126" spans="3:5">
      <c r="C1126" s="177" t="s">
        <v>148</v>
      </c>
      <c r="D1126" s="177" t="s">
        <v>148</v>
      </c>
      <c r="E1126" s="177" t="str">
        <f t="shared" si="29"/>
        <v/>
      </c>
    </row>
    <row r="1127" spans="3:5">
      <c r="C1127" s="177" t="s">
        <v>148</v>
      </c>
      <c r="D1127" s="177" t="s">
        <v>148</v>
      </c>
      <c r="E1127" s="177" t="str">
        <f t="shared" si="29"/>
        <v/>
      </c>
    </row>
    <row r="1128" spans="3:5">
      <c r="C1128" s="177" t="s">
        <v>148</v>
      </c>
      <c r="D1128" s="177" t="s">
        <v>148</v>
      </c>
      <c r="E1128" s="177" t="str">
        <f t="shared" si="29"/>
        <v/>
      </c>
    </row>
    <row r="1129" spans="3:5">
      <c r="C1129" s="177" t="s">
        <v>148</v>
      </c>
      <c r="D1129" s="177" t="s">
        <v>148</v>
      </c>
      <c r="E1129" s="177" t="str">
        <f t="shared" si="29"/>
        <v/>
      </c>
    </row>
    <row r="1130" spans="3:5">
      <c r="C1130" s="177" t="s">
        <v>148</v>
      </c>
      <c r="D1130" s="177" t="s">
        <v>148</v>
      </c>
      <c r="E1130" s="177" t="str">
        <f t="shared" si="29"/>
        <v/>
      </c>
    </row>
    <row r="1131" spans="3:5">
      <c r="C1131" s="177" t="s">
        <v>148</v>
      </c>
      <c r="D1131" s="177" t="s">
        <v>148</v>
      </c>
      <c r="E1131" s="177" t="str">
        <f t="shared" si="29"/>
        <v/>
      </c>
    </row>
    <row r="1132" spans="3:5">
      <c r="C1132" s="177" t="s">
        <v>148</v>
      </c>
      <c r="D1132" s="177" t="s">
        <v>148</v>
      </c>
      <c r="E1132" s="177" t="str">
        <f t="shared" si="29"/>
        <v/>
      </c>
    </row>
    <row r="1133" spans="3:5">
      <c r="C1133" s="177" t="s">
        <v>148</v>
      </c>
      <c r="D1133" s="177" t="s">
        <v>148</v>
      </c>
      <c r="E1133" s="177" t="str">
        <f t="shared" si="29"/>
        <v/>
      </c>
    </row>
    <row r="1134" spans="3:5">
      <c r="C1134" s="177" t="s">
        <v>148</v>
      </c>
      <c r="D1134" s="177" t="s">
        <v>148</v>
      </c>
      <c r="E1134" s="177" t="str">
        <f t="shared" si="29"/>
        <v/>
      </c>
    </row>
    <row r="1135" spans="3:5">
      <c r="C1135" s="177" t="s">
        <v>148</v>
      </c>
      <c r="D1135" s="177" t="s">
        <v>148</v>
      </c>
      <c r="E1135" s="177" t="str">
        <f t="shared" si="29"/>
        <v/>
      </c>
    </row>
    <row r="1136" spans="3:5">
      <c r="C1136" s="177" t="s">
        <v>148</v>
      </c>
      <c r="D1136" s="177" t="s">
        <v>148</v>
      </c>
      <c r="E1136" s="177" t="str">
        <f t="shared" si="29"/>
        <v/>
      </c>
    </row>
    <row r="1137" spans="3:5">
      <c r="C1137" s="177" t="s">
        <v>148</v>
      </c>
      <c r="D1137" s="177" t="s">
        <v>148</v>
      </c>
      <c r="E1137" s="177" t="str">
        <f t="shared" si="29"/>
        <v/>
      </c>
    </row>
    <row r="1138" spans="3:5">
      <c r="C1138" s="177" t="s">
        <v>148</v>
      </c>
      <c r="D1138" s="177" t="s">
        <v>148</v>
      </c>
      <c r="E1138" s="177" t="str">
        <f t="shared" si="29"/>
        <v/>
      </c>
    </row>
    <row r="1139" spans="3:5">
      <c r="C1139" s="177" t="s">
        <v>148</v>
      </c>
      <c r="D1139" s="177" t="s">
        <v>148</v>
      </c>
      <c r="E1139" s="177" t="str">
        <f t="shared" si="29"/>
        <v/>
      </c>
    </row>
    <row r="1140" spans="3:5">
      <c r="C1140" s="177" t="s">
        <v>148</v>
      </c>
      <c r="D1140" s="177" t="s">
        <v>148</v>
      </c>
      <c r="E1140" s="177" t="str">
        <f t="shared" si="29"/>
        <v/>
      </c>
    </row>
    <row r="1141" spans="3:5">
      <c r="C1141" s="177" t="s">
        <v>148</v>
      </c>
      <c r="D1141" s="177" t="s">
        <v>148</v>
      </c>
      <c r="E1141" s="177" t="str">
        <f t="shared" si="29"/>
        <v/>
      </c>
    </row>
    <row r="1142" spans="3:5">
      <c r="C1142" s="177" t="s">
        <v>148</v>
      </c>
      <c r="D1142" s="177" t="s">
        <v>148</v>
      </c>
      <c r="E1142" s="177" t="str">
        <f t="shared" si="29"/>
        <v/>
      </c>
    </row>
    <row r="1143" spans="3:5">
      <c r="C1143" s="177" t="s">
        <v>148</v>
      </c>
      <c r="D1143" s="177" t="s">
        <v>148</v>
      </c>
      <c r="E1143" s="177" t="str">
        <f t="shared" si="29"/>
        <v/>
      </c>
    </row>
    <row r="1144" spans="3:5">
      <c r="C1144" s="177" t="s">
        <v>148</v>
      </c>
      <c r="D1144" s="177" t="s">
        <v>148</v>
      </c>
      <c r="E1144" s="177" t="str">
        <f t="shared" si="29"/>
        <v/>
      </c>
    </row>
    <row r="1145" spans="3:5">
      <c r="C1145" s="177" t="s">
        <v>148</v>
      </c>
      <c r="D1145" s="177" t="s">
        <v>148</v>
      </c>
      <c r="E1145" s="177" t="str">
        <f t="shared" si="29"/>
        <v/>
      </c>
    </row>
    <row r="1146" spans="3:5">
      <c r="C1146" s="177" t="s">
        <v>148</v>
      </c>
      <c r="D1146" s="177" t="s">
        <v>148</v>
      </c>
      <c r="E1146" s="177" t="str">
        <f t="shared" si="29"/>
        <v/>
      </c>
    </row>
    <row r="1147" spans="3:5">
      <c r="C1147" s="177" t="s">
        <v>148</v>
      </c>
      <c r="D1147" s="177" t="s">
        <v>148</v>
      </c>
      <c r="E1147" s="177" t="str">
        <f t="shared" si="29"/>
        <v/>
      </c>
    </row>
    <row r="1148" spans="3:5">
      <c r="C1148" s="177" t="s">
        <v>148</v>
      </c>
      <c r="D1148" s="177" t="s">
        <v>148</v>
      </c>
      <c r="E1148" s="177" t="str">
        <f t="shared" si="29"/>
        <v/>
      </c>
    </row>
    <row r="1149" spans="3:5">
      <c r="C1149" s="177" t="s">
        <v>148</v>
      </c>
      <c r="D1149" s="177" t="s">
        <v>148</v>
      </c>
      <c r="E1149" s="177" t="str">
        <f t="shared" si="29"/>
        <v/>
      </c>
    </row>
    <row r="1150" spans="3:5">
      <c r="C1150" s="177" t="s">
        <v>148</v>
      </c>
      <c r="D1150" s="177" t="s">
        <v>148</v>
      </c>
      <c r="E1150" s="177" t="str">
        <f t="shared" si="29"/>
        <v/>
      </c>
    </row>
    <row r="1151" spans="3:5">
      <c r="C1151" s="177" t="s">
        <v>148</v>
      </c>
      <c r="D1151" s="177" t="s">
        <v>148</v>
      </c>
      <c r="E1151" s="177" t="str">
        <f t="shared" si="29"/>
        <v/>
      </c>
    </row>
    <row r="1152" spans="3:5">
      <c r="C1152" s="177" t="s">
        <v>148</v>
      </c>
      <c r="D1152" s="177" t="s">
        <v>148</v>
      </c>
      <c r="E1152" s="177" t="str">
        <f t="shared" si="29"/>
        <v/>
      </c>
    </row>
    <row r="1153" spans="3:5">
      <c r="C1153" s="177" t="s">
        <v>148</v>
      </c>
      <c r="D1153" s="177" t="s">
        <v>148</v>
      </c>
      <c r="E1153" s="177" t="str">
        <f t="shared" si="29"/>
        <v/>
      </c>
    </row>
    <row r="1154" spans="3:5">
      <c r="C1154" s="177" t="s">
        <v>148</v>
      </c>
      <c r="D1154" s="177" t="s">
        <v>148</v>
      </c>
      <c r="E1154" s="177" t="str">
        <f t="shared" si="29"/>
        <v/>
      </c>
    </row>
    <row r="1155" spans="3:5">
      <c r="C1155" s="177" t="s">
        <v>148</v>
      </c>
      <c r="D1155" s="177" t="s">
        <v>148</v>
      </c>
      <c r="E1155" s="177" t="str">
        <f t="shared" si="29"/>
        <v/>
      </c>
    </row>
    <row r="1156" spans="3:5">
      <c r="C1156" s="177" t="s">
        <v>148</v>
      </c>
      <c r="D1156" s="177" t="s">
        <v>148</v>
      </c>
      <c r="E1156" s="177" t="str">
        <f t="shared" ref="E1156:E1209" si="30">IF(C1156&lt;D1156,C1156,D1156)</f>
        <v/>
      </c>
    </row>
    <row r="1157" spans="3:5">
      <c r="C1157" s="177" t="s">
        <v>148</v>
      </c>
      <c r="D1157" s="177" t="s">
        <v>148</v>
      </c>
      <c r="E1157" s="177" t="str">
        <f t="shared" si="30"/>
        <v/>
      </c>
    </row>
    <row r="1158" spans="3:5">
      <c r="C1158" s="177" t="s">
        <v>148</v>
      </c>
      <c r="D1158" s="177" t="s">
        <v>148</v>
      </c>
      <c r="E1158" s="177" t="str">
        <f t="shared" si="30"/>
        <v/>
      </c>
    </row>
    <row r="1159" spans="3:5">
      <c r="C1159" s="177" t="s">
        <v>148</v>
      </c>
      <c r="D1159" s="177" t="s">
        <v>148</v>
      </c>
      <c r="E1159" s="177" t="str">
        <f t="shared" si="30"/>
        <v/>
      </c>
    </row>
    <row r="1160" spans="3:5">
      <c r="C1160" s="177" t="s">
        <v>148</v>
      </c>
      <c r="D1160" s="177" t="s">
        <v>148</v>
      </c>
      <c r="E1160" s="177" t="str">
        <f t="shared" si="30"/>
        <v/>
      </c>
    </row>
    <row r="1161" spans="3:5">
      <c r="C1161" s="177" t="s">
        <v>148</v>
      </c>
      <c r="D1161" s="177" t="s">
        <v>148</v>
      </c>
      <c r="E1161" s="177" t="str">
        <f t="shared" si="30"/>
        <v/>
      </c>
    </row>
    <row r="1162" spans="3:5">
      <c r="C1162" s="177" t="s">
        <v>148</v>
      </c>
      <c r="D1162" s="177" t="s">
        <v>148</v>
      </c>
      <c r="E1162" s="177" t="str">
        <f t="shared" si="30"/>
        <v/>
      </c>
    </row>
    <row r="1163" spans="3:5">
      <c r="C1163" s="177" t="s">
        <v>148</v>
      </c>
      <c r="D1163" s="177" t="s">
        <v>148</v>
      </c>
      <c r="E1163" s="177" t="str">
        <f t="shared" si="30"/>
        <v/>
      </c>
    </row>
    <row r="1164" spans="3:5">
      <c r="C1164" s="177" t="s">
        <v>148</v>
      </c>
      <c r="D1164" s="177" t="s">
        <v>148</v>
      </c>
      <c r="E1164" s="177" t="str">
        <f t="shared" si="30"/>
        <v/>
      </c>
    </row>
    <row r="1165" spans="3:5">
      <c r="C1165" s="177" t="s">
        <v>148</v>
      </c>
      <c r="D1165" s="177" t="s">
        <v>148</v>
      </c>
      <c r="E1165" s="177" t="str">
        <f t="shared" si="30"/>
        <v/>
      </c>
    </row>
    <row r="1166" spans="3:5">
      <c r="C1166" s="177" t="s">
        <v>148</v>
      </c>
      <c r="D1166" s="177" t="s">
        <v>148</v>
      </c>
      <c r="E1166" s="177" t="str">
        <f t="shared" si="30"/>
        <v/>
      </c>
    </row>
    <row r="1167" spans="3:5">
      <c r="C1167" s="177" t="s">
        <v>148</v>
      </c>
      <c r="D1167" s="177" t="s">
        <v>148</v>
      </c>
      <c r="E1167" s="177" t="str">
        <f t="shared" si="30"/>
        <v/>
      </c>
    </row>
    <row r="1168" spans="3:5">
      <c r="C1168" s="177" t="s">
        <v>148</v>
      </c>
      <c r="D1168" s="177" t="s">
        <v>148</v>
      </c>
      <c r="E1168" s="177" t="str">
        <f t="shared" si="30"/>
        <v/>
      </c>
    </row>
    <row r="1169" spans="3:5">
      <c r="C1169" s="177" t="s">
        <v>148</v>
      </c>
      <c r="D1169" s="177" t="s">
        <v>148</v>
      </c>
      <c r="E1169" s="177" t="str">
        <f t="shared" si="30"/>
        <v/>
      </c>
    </row>
    <row r="1170" spans="3:5">
      <c r="C1170" s="177" t="s">
        <v>148</v>
      </c>
      <c r="D1170" s="177" t="s">
        <v>148</v>
      </c>
      <c r="E1170" s="177" t="str">
        <f t="shared" si="30"/>
        <v/>
      </c>
    </row>
    <row r="1171" spans="3:5">
      <c r="C1171" s="177" t="s">
        <v>148</v>
      </c>
      <c r="D1171" s="177" t="s">
        <v>148</v>
      </c>
      <c r="E1171" s="177" t="str">
        <f t="shared" si="30"/>
        <v/>
      </c>
    </row>
    <row r="1172" spans="3:5">
      <c r="C1172" s="177" t="s">
        <v>148</v>
      </c>
      <c r="D1172" s="177" t="s">
        <v>148</v>
      </c>
      <c r="E1172" s="177" t="str">
        <f t="shared" si="30"/>
        <v/>
      </c>
    </row>
    <row r="1173" spans="3:5">
      <c r="C1173" s="177" t="s">
        <v>148</v>
      </c>
      <c r="D1173" s="177" t="s">
        <v>148</v>
      </c>
      <c r="E1173" s="177" t="str">
        <f t="shared" si="30"/>
        <v/>
      </c>
    </row>
    <row r="1174" spans="3:5">
      <c r="C1174" s="177" t="s">
        <v>148</v>
      </c>
      <c r="D1174" s="177" t="s">
        <v>148</v>
      </c>
      <c r="E1174" s="177" t="str">
        <f t="shared" si="30"/>
        <v/>
      </c>
    </row>
    <row r="1175" spans="3:5">
      <c r="C1175" s="177" t="s">
        <v>148</v>
      </c>
      <c r="D1175" s="177" t="s">
        <v>148</v>
      </c>
      <c r="E1175" s="177" t="str">
        <f t="shared" si="30"/>
        <v/>
      </c>
    </row>
    <row r="1176" spans="3:5">
      <c r="C1176" s="177" t="s">
        <v>148</v>
      </c>
      <c r="D1176" s="177" t="s">
        <v>148</v>
      </c>
      <c r="E1176" s="177" t="str">
        <f t="shared" si="30"/>
        <v/>
      </c>
    </row>
    <row r="1177" spans="3:5">
      <c r="C1177" s="177" t="s">
        <v>148</v>
      </c>
      <c r="D1177" s="177" t="s">
        <v>148</v>
      </c>
      <c r="E1177" s="177" t="str">
        <f t="shared" si="30"/>
        <v/>
      </c>
    </row>
    <row r="1178" spans="3:5">
      <c r="C1178" s="177" t="s">
        <v>148</v>
      </c>
      <c r="D1178" s="177" t="s">
        <v>148</v>
      </c>
      <c r="E1178" s="177" t="str">
        <f t="shared" si="30"/>
        <v/>
      </c>
    </row>
    <row r="1179" spans="3:5">
      <c r="C1179" s="177" t="s">
        <v>148</v>
      </c>
      <c r="D1179" s="177" t="s">
        <v>148</v>
      </c>
      <c r="E1179" s="177" t="str">
        <f t="shared" si="30"/>
        <v/>
      </c>
    </row>
    <row r="1180" spans="3:5">
      <c r="C1180" s="177" t="s">
        <v>148</v>
      </c>
      <c r="D1180" s="177" t="s">
        <v>148</v>
      </c>
      <c r="E1180" s="177" t="str">
        <f t="shared" si="30"/>
        <v/>
      </c>
    </row>
    <row r="1181" spans="3:5">
      <c r="C1181" s="177" t="s">
        <v>148</v>
      </c>
      <c r="D1181" s="177" t="s">
        <v>148</v>
      </c>
      <c r="E1181" s="177" t="str">
        <f t="shared" si="30"/>
        <v/>
      </c>
    </row>
    <row r="1182" spans="3:5">
      <c r="C1182" s="177" t="s">
        <v>148</v>
      </c>
      <c r="D1182" s="177" t="s">
        <v>148</v>
      </c>
      <c r="E1182" s="177" t="str">
        <f t="shared" si="30"/>
        <v/>
      </c>
    </row>
    <row r="1183" spans="3:5">
      <c r="C1183" s="177" t="s">
        <v>148</v>
      </c>
      <c r="D1183" s="177" t="s">
        <v>148</v>
      </c>
      <c r="E1183" s="177" t="str">
        <f t="shared" si="30"/>
        <v/>
      </c>
    </row>
    <row r="1184" spans="3:5">
      <c r="C1184" s="177" t="s">
        <v>148</v>
      </c>
      <c r="D1184" s="177" t="s">
        <v>148</v>
      </c>
      <c r="E1184" s="177" t="str">
        <f t="shared" si="30"/>
        <v/>
      </c>
    </row>
    <row r="1185" spans="3:5">
      <c r="C1185" s="177" t="s">
        <v>148</v>
      </c>
      <c r="D1185" s="177" t="s">
        <v>148</v>
      </c>
      <c r="E1185" s="177" t="str">
        <f t="shared" si="30"/>
        <v/>
      </c>
    </row>
    <row r="1186" spans="3:5">
      <c r="C1186" s="177" t="s">
        <v>148</v>
      </c>
      <c r="D1186" s="177" t="s">
        <v>148</v>
      </c>
      <c r="E1186" s="177" t="str">
        <f t="shared" si="30"/>
        <v/>
      </c>
    </row>
    <row r="1187" spans="3:5">
      <c r="C1187" s="177" t="s">
        <v>148</v>
      </c>
      <c r="D1187" s="177" t="s">
        <v>148</v>
      </c>
      <c r="E1187" s="177" t="str">
        <f t="shared" si="30"/>
        <v/>
      </c>
    </row>
    <row r="1188" spans="3:5">
      <c r="C1188" s="177" t="s">
        <v>148</v>
      </c>
      <c r="D1188" s="177" t="s">
        <v>148</v>
      </c>
      <c r="E1188" s="177" t="str">
        <f t="shared" si="30"/>
        <v/>
      </c>
    </row>
    <row r="1189" spans="3:5">
      <c r="C1189" s="177" t="s">
        <v>148</v>
      </c>
      <c r="D1189" s="177" t="s">
        <v>148</v>
      </c>
      <c r="E1189" s="177" t="str">
        <f t="shared" si="30"/>
        <v/>
      </c>
    </row>
    <row r="1190" spans="3:5">
      <c r="C1190" s="177" t="s">
        <v>148</v>
      </c>
      <c r="D1190" s="177" t="s">
        <v>148</v>
      </c>
      <c r="E1190" s="177" t="str">
        <f t="shared" si="30"/>
        <v/>
      </c>
    </row>
    <row r="1191" spans="3:5">
      <c r="C1191" s="177" t="s">
        <v>148</v>
      </c>
      <c r="D1191" s="177" t="s">
        <v>148</v>
      </c>
      <c r="E1191" s="177" t="str">
        <f t="shared" si="30"/>
        <v/>
      </c>
    </row>
    <row r="1192" spans="3:5">
      <c r="C1192" s="177" t="s">
        <v>148</v>
      </c>
      <c r="D1192" s="177" t="s">
        <v>148</v>
      </c>
      <c r="E1192" s="177" t="str">
        <f t="shared" si="30"/>
        <v/>
      </c>
    </row>
    <row r="1193" spans="3:5">
      <c r="C1193" s="177" t="s">
        <v>148</v>
      </c>
      <c r="D1193" s="177" t="s">
        <v>148</v>
      </c>
      <c r="E1193" s="177" t="str">
        <f t="shared" si="30"/>
        <v/>
      </c>
    </row>
    <row r="1194" spans="3:5">
      <c r="C1194" s="177" t="s">
        <v>148</v>
      </c>
      <c r="D1194" s="177" t="s">
        <v>148</v>
      </c>
      <c r="E1194" s="177" t="str">
        <f t="shared" si="30"/>
        <v/>
      </c>
    </row>
    <row r="1195" spans="3:5">
      <c r="C1195" s="177" t="s">
        <v>148</v>
      </c>
      <c r="D1195" s="177" t="s">
        <v>148</v>
      </c>
      <c r="E1195" s="177" t="str">
        <f t="shared" si="30"/>
        <v/>
      </c>
    </row>
    <row r="1196" spans="3:5">
      <c r="C1196" s="177" t="s">
        <v>148</v>
      </c>
      <c r="D1196" s="177" t="s">
        <v>148</v>
      </c>
      <c r="E1196" s="177" t="str">
        <f t="shared" si="30"/>
        <v/>
      </c>
    </row>
    <row r="1197" spans="3:5">
      <c r="C1197" s="177" t="s">
        <v>148</v>
      </c>
      <c r="D1197" s="177" t="s">
        <v>148</v>
      </c>
      <c r="E1197" s="177" t="str">
        <f t="shared" si="30"/>
        <v/>
      </c>
    </row>
    <row r="1198" spans="3:5">
      <c r="C1198" s="177" t="s">
        <v>148</v>
      </c>
      <c r="D1198" s="177" t="s">
        <v>148</v>
      </c>
      <c r="E1198" s="177" t="str">
        <f t="shared" si="30"/>
        <v/>
      </c>
    </row>
    <row r="1199" spans="3:5">
      <c r="C1199" s="177" t="s">
        <v>148</v>
      </c>
      <c r="D1199" s="177" t="s">
        <v>148</v>
      </c>
      <c r="E1199" s="177" t="str">
        <f t="shared" si="30"/>
        <v/>
      </c>
    </row>
    <row r="1200" spans="3:5">
      <c r="C1200" s="177" t="s">
        <v>148</v>
      </c>
      <c r="D1200" s="177" t="s">
        <v>148</v>
      </c>
      <c r="E1200" s="177" t="str">
        <f t="shared" si="30"/>
        <v/>
      </c>
    </row>
    <row r="1201" spans="3:5">
      <c r="C1201" s="177" t="s">
        <v>148</v>
      </c>
      <c r="D1201" s="177" t="s">
        <v>148</v>
      </c>
      <c r="E1201" s="177" t="str">
        <f t="shared" si="30"/>
        <v/>
      </c>
    </row>
    <row r="1202" spans="3:5">
      <c r="C1202" s="177" t="s">
        <v>148</v>
      </c>
      <c r="D1202" s="177" t="s">
        <v>148</v>
      </c>
      <c r="E1202" s="177" t="str">
        <f t="shared" si="30"/>
        <v/>
      </c>
    </row>
    <row r="1203" spans="3:5">
      <c r="C1203" s="177" t="s">
        <v>148</v>
      </c>
      <c r="D1203" s="177" t="s">
        <v>148</v>
      </c>
      <c r="E1203" s="177" t="str">
        <f t="shared" si="30"/>
        <v/>
      </c>
    </row>
    <row r="1204" spans="3:5">
      <c r="C1204" s="177" t="s">
        <v>148</v>
      </c>
      <c r="D1204" s="177" t="s">
        <v>148</v>
      </c>
      <c r="E1204" s="177" t="str">
        <f t="shared" si="30"/>
        <v/>
      </c>
    </row>
    <row r="1205" spans="3:5">
      <c r="C1205" s="177" t="s">
        <v>148</v>
      </c>
      <c r="D1205" s="177" t="s">
        <v>148</v>
      </c>
      <c r="E1205" s="177" t="str">
        <f t="shared" si="30"/>
        <v/>
      </c>
    </row>
    <row r="1206" spans="3:5">
      <c r="C1206" s="177" t="s">
        <v>148</v>
      </c>
      <c r="D1206" s="177" t="s">
        <v>148</v>
      </c>
      <c r="E1206" s="177" t="str">
        <f t="shared" si="30"/>
        <v/>
      </c>
    </row>
    <row r="1207" spans="3:5">
      <c r="C1207" s="177" t="s">
        <v>148</v>
      </c>
      <c r="D1207" s="177" t="s">
        <v>148</v>
      </c>
      <c r="E1207" s="177" t="str">
        <f t="shared" si="30"/>
        <v/>
      </c>
    </row>
    <row r="1208" spans="3:5">
      <c r="C1208" s="177" t="s">
        <v>148</v>
      </c>
      <c r="D1208" s="177" t="s">
        <v>148</v>
      </c>
      <c r="E1208" s="177" t="str">
        <f t="shared" si="30"/>
        <v/>
      </c>
    </row>
    <row r="1209" spans="3:5">
      <c r="C1209" s="177" t="s">
        <v>148</v>
      </c>
      <c r="D1209" s="177" t="s">
        <v>148</v>
      </c>
      <c r="E1209" s="177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B85" sqref="B85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199</v>
      </c>
      <c r="C4" s="238">
        <f>Dat_02!B3</f>
        <v>44287</v>
      </c>
      <c r="D4" s="239"/>
      <c r="E4" s="240">
        <f>Dat_02!C3</f>
        <v>63.758717450480532</v>
      </c>
      <c r="F4" s="240">
        <f>Dat_02!D3</f>
        <v>128.52573371940508</v>
      </c>
      <c r="G4" s="240">
        <f>Dat_02!E3</f>
        <v>63.758717450480532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44288</v>
      </c>
      <c r="D5" s="239"/>
      <c r="E5" s="240">
        <f>Dat_02!C4</f>
        <v>65.475719810482389</v>
      </c>
      <c r="F5" s="240">
        <f>Dat_02!D4</f>
        <v>128.52573371940508</v>
      </c>
      <c r="G5" s="240">
        <f>Dat_02!E4</f>
        <v>65.475719810482389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44289</v>
      </c>
      <c r="D6" s="237"/>
      <c r="E6" s="240">
        <f>Dat_02!C5</f>
        <v>42.401664066480528</v>
      </c>
      <c r="F6" s="240">
        <f>Dat_02!D5</f>
        <v>128.52573371940508</v>
      </c>
      <c r="G6" s="240">
        <f>Dat_02!E5</f>
        <v>42.401664066480528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44290</v>
      </c>
      <c r="D7" s="237"/>
      <c r="E7" s="240">
        <f>Dat_02!C6</f>
        <v>41.92707230247867</v>
      </c>
      <c r="F7" s="240">
        <f>Dat_02!D6</f>
        <v>128.52573371940508</v>
      </c>
      <c r="G7" s="240">
        <f>Dat_02!E6</f>
        <v>41.92707230247867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44291</v>
      </c>
      <c r="D8" s="237"/>
      <c r="E8" s="240">
        <f>Dat_02!C7</f>
        <v>57.362259402480532</v>
      </c>
      <c r="F8" s="240">
        <f>Dat_02!D7</f>
        <v>128.52573371940508</v>
      </c>
      <c r="G8" s="240">
        <f>Dat_02!E7</f>
        <v>57.362259402480532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44292</v>
      </c>
      <c r="D9" s="237"/>
      <c r="E9" s="240">
        <f>Dat_02!C8</f>
        <v>72.658767494480529</v>
      </c>
      <c r="F9" s="240">
        <f>Dat_02!D8</f>
        <v>128.52573371940508</v>
      </c>
      <c r="G9" s="240">
        <f>Dat_02!E8</f>
        <v>72.658767494480529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44293</v>
      </c>
      <c r="D10" s="237"/>
      <c r="E10" s="240">
        <f>Dat_02!C9</f>
        <v>73.095539716146561</v>
      </c>
      <c r="F10" s="240">
        <f>Dat_02!D9</f>
        <v>128.52573371940508</v>
      </c>
      <c r="G10" s="240">
        <f>Dat_02!E9</f>
        <v>73.095539716146561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44294</v>
      </c>
      <c r="D11" s="237"/>
      <c r="E11" s="240">
        <f>Dat_02!C10</f>
        <v>97.092477200148423</v>
      </c>
      <c r="F11" s="240">
        <f>Dat_02!D10</f>
        <v>128.52573371940508</v>
      </c>
      <c r="G11" s="240">
        <f>Dat_02!E10</f>
        <v>97.092477200148423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44295</v>
      </c>
      <c r="D12" s="237"/>
      <c r="E12" s="240">
        <f>Dat_02!C11</f>
        <v>89.228058520142852</v>
      </c>
      <c r="F12" s="240">
        <f>Dat_02!D11</f>
        <v>128.52573371940508</v>
      </c>
      <c r="G12" s="240">
        <f>Dat_02!E11</f>
        <v>89.228058520142852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44296</v>
      </c>
      <c r="D13" s="237"/>
      <c r="E13" s="240">
        <f>Dat_02!C12</f>
        <v>59.780380168146571</v>
      </c>
      <c r="F13" s="240">
        <f>Dat_02!D12</f>
        <v>128.52573371940508</v>
      </c>
      <c r="G13" s="240">
        <f>Dat_02!E12</f>
        <v>59.780380168146571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44297</v>
      </c>
      <c r="D14" s="237"/>
      <c r="E14" s="240">
        <f>Dat_02!C13</f>
        <v>36.121726652150308</v>
      </c>
      <c r="F14" s="240">
        <f>Dat_02!D13</f>
        <v>128.52573371940508</v>
      </c>
      <c r="G14" s="240">
        <f>Dat_02!E13</f>
        <v>36.121726652150308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44298</v>
      </c>
      <c r="D15" s="237"/>
      <c r="E15" s="240">
        <f>Dat_02!C14</f>
        <v>72.075104904144709</v>
      </c>
      <c r="F15" s="240">
        <f>Dat_02!D14</f>
        <v>128.52573371940508</v>
      </c>
      <c r="G15" s="240">
        <f>Dat_02!E14</f>
        <v>72.075104904144709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44299</v>
      </c>
      <c r="D16" s="237"/>
      <c r="E16" s="240">
        <f>Dat_02!C15</f>
        <v>87.965396396146573</v>
      </c>
      <c r="F16" s="240">
        <f>Dat_02!D15</f>
        <v>128.52573371940508</v>
      </c>
      <c r="G16" s="240">
        <f>Dat_02!E15</f>
        <v>87.965396396146573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44300</v>
      </c>
      <c r="D17" s="237"/>
      <c r="E17" s="240">
        <f>Dat_02!C16</f>
        <v>74.125054859665497</v>
      </c>
      <c r="F17" s="240">
        <f>Dat_02!D16</f>
        <v>128.52573371940508</v>
      </c>
      <c r="G17" s="240">
        <f>Dat_02!E16</f>
        <v>74.125054859665497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44301</v>
      </c>
      <c r="D18" s="237"/>
      <c r="E18" s="240">
        <f>Dat_02!C17</f>
        <v>65.712165103665498</v>
      </c>
      <c r="F18" s="240">
        <f>Dat_02!D17</f>
        <v>128.52573371940508</v>
      </c>
      <c r="G18" s="240">
        <f>Dat_02!E17</f>
        <v>65.712165103665498</v>
      </c>
      <c r="I18" s="301">
        <f>Dat_02!G17</f>
        <v>128.52573371940508</v>
      </c>
      <c r="J18" s="251" t="str">
        <f>IF(Dat_02!H17=0,"",Dat_02!H17)</f>
        <v/>
      </c>
    </row>
    <row r="19" spans="2:10">
      <c r="B19" s="237"/>
      <c r="C19" s="238">
        <f>Dat_02!B18</f>
        <v>44302</v>
      </c>
      <c r="D19" s="237"/>
      <c r="E19" s="240">
        <f>Dat_02!C18</f>
        <v>52.813819831667352</v>
      </c>
      <c r="F19" s="240">
        <f>Dat_02!D18</f>
        <v>128.52573371940508</v>
      </c>
      <c r="G19" s="240">
        <f>Dat_02!E18</f>
        <v>52.813819831667352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44303</v>
      </c>
      <c r="D20" s="237"/>
      <c r="E20" s="240">
        <f>Dat_02!C19</f>
        <v>28.149758551661769</v>
      </c>
      <c r="F20" s="240">
        <f>Dat_02!D19</f>
        <v>128.52573371940508</v>
      </c>
      <c r="G20" s="240">
        <f>Dat_02!E19</f>
        <v>28.149758551661769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44304</v>
      </c>
      <c r="D21" s="237"/>
      <c r="E21" s="240">
        <f>Dat_02!C20</f>
        <v>25.726585475665495</v>
      </c>
      <c r="F21" s="240">
        <f>Dat_02!D20</f>
        <v>128.52573371940508</v>
      </c>
      <c r="G21" s="240">
        <f>Dat_02!E20</f>
        <v>25.726585475665495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44305</v>
      </c>
      <c r="D22" s="237"/>
      <c r="E22" s="240">
        <f>Dat_02!C21</f>
        <v>67.815809807665502</v>
      </c>
      <c r="F22" s="240">
        <f>Dat_02!D21</f>
        <v>128.52573371940508</v>
      </c>
      <c r="G22" s="240">
        <f>Dat_02!E21</f>
        <v>67.815809807665502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44306</v>
      </c>
      <c r="D23" s="237"/>
      <c r="E23" s="240">
        <f>Dat_02!C22</f>
        <v>64.452200755665501</v>
      </c>
      <c r="F23" s="240">
        <f>Dat_02!D22</f>
        <v>128.52573371940508</v>
      </c>
      <c r="G23" s="240">
        <f>Dat_02!E22</f>
        <v>64.452200755665501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44307</v>
      </c>
      <c r="D24" s="237"/>
      <c r="E24" s="240">
        <f>Dat_02!C23</f>
        <v>77.42513781851595</v>
      </c>
      <c r="F24" s="240">
        <f>Dat_02!D23</f>
        <v>128.52573371940508</v>
      </c>
      <c r="G24" s="240">
        <f>Dat_02!E23</f>
        <v>77.42513781851595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44308</v>
      </c>
      <c r="D25" s="237"/>
      <c r="E25" s="240">
        <f>Dat_02!C24</f>
        <v>70.548939162521549</v>
      </c>
      <c r="F25" s="240">
        <f>Dat_02!D24</f>
        <v>128.52573371940508</v>
      </c>
      <c r="G25" s="240">
        <f>Dat_02!E24</f>
        <v>70.548939162521549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44309</v>
      </c>
      <c r="D26" s="237"/>
      <c r="E26" s="240">
        <f>Dat_02!C25</f>
        <v>33.423748286519682</v>
      </c>
      <c r="F26" s="240">
        <f>Dat_02!D25</f>
        <v>128.52573371940508</v>
      </c>
      <c r="G26" s="240">
        <f>Dat_02!E25</f>
        <v>33.423748286519682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44310</v>
      </c>
      <c r="D27" s="237"/>
      <c r="E27" s="240">
        <f>Dat_02!C26</f>
        <v>21.019840170515955</v>
      </c>
      <c r="F27" s="240">
        <f>Dat_02!D26</f>
        <v>128.52573371940508</v>
      </c>
      <c r="G27" s="240">
        <f>Dat_02!E26</f>
        <v>21.019840170515955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44311</v>
      </c>
      <c r="D28" s="237"/>
      <c r="E28" s="240">
        <f>Dat_02!C27</f>
        <v>30.011643190521543</v>
      </c>
      <c r="F28" s="240">
        <f>Dat_02!D27</f>
        <v>128.52573371940508</v>
      </c>
      <c r="G28" s="240">
        <f>Dat_02!E27</f>
        <v>30.011643190521543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44312</v>
      </c>
      <c r="D29" s="237"/>
      <c r="E29" s="240">
        <f>Dat_02!C28</f>
        <v>70.152131902517823</v>
      </c>
      <c r="F29" s="240">
        <f>Dat_02!D28</f>
        <v>128.52573371940508</v>
      </c>
      <c r="G29" s="240">
        <f>Dat_02!E28</f>
        <v>70.152131902517823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44313</v>
      </c>
      <c r="D30" s="237"/>
      <c r="E30" s="240">
        <f>Dat_02!C29</f>
        <v>69.739671770521539</v>
      </c>
      <c r="F30" s="240">
        <f>Dat_02!D29</f>
        <v>128.52573371940508</v>
      </c>
      <c r="G30" s="240">
        <f>Dat_02!E29</f>
        <v>69.739671770521539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44314</v>
      </c>
      <c r="D31" s="237"/>
      <c r="E31" s="240">
        <f>Dat_02!C30</f>
        <v>94.891897895477399</v>
      </c>
      <c r="F31" s="240">
        <f>Dat_02!D30</f>
        <v>128.52573371940508</v>
      </c>
      <c r="G31" s="240">
        <f>Dat_02!E30</f>
        <v>94.891897895477399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44315</v>
      </c>
      <c r="D32" s="237"/>
      <c r="E32" s="240">
        <f>Dat_02!C31</f>
        <v>98.647746667479254</v>
      </c>
      <c r="F32" s="240">
        <f>Dat_02!D31</f>
        <v>128.52573371940508</v>
      </c>
      <c r="G32" s="240">
        <f>Dat_02!E31</f>
        <v>98.647746667479254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44316</v>
      </c>
      <c r="D33" s="237"/>
      <c r="E33" s="240">
        <f>Dat_02!C32</f>
        <v>95.54463594747925</v>
      </c>
      <c r="F33" s="240">
        <f>Dat_02!D32</f>
        <v>128.52573371940508</v>
      </c>
      <c r="G33" s="240">
        <f>Dat_02!E32</f>
        <v>95.54463594747925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44317</v>
      </c>
      <c r="D34" s="239"/>
      <c r="E34" s="240">
        <f>Dat_02!C33</f>
        <v>42.317540663479249</v>
      </c>
      <c r="F34" s="240">
        <f>Dat_02!D33</f>
        <v>101.55332277089387</v>
      </c>
      <c r="G34" s="240">
        <f>Dat_02!E33</f>
        <v>42.317540663479249</v>
      </c>
      <c r="I34" s="241">
        <f>Dat_02!G33</f>
        <v>0</v>
      </c>
      <c r="J34" s="251" t="str">
        <f>IF(Dat_02!H33=0,"",Dat_02!H33)</f>
        <v/>
      </c>
    </row>
    <row r="35" spans="2:10">
      <c r="B35" s="237" t="s">
        <v>200</v>
      </c>
      <c r="C35" s="238">
        <f>Dat_02!B34</f>
        <v>44318</v>
      </c>
      <c r="D35" s="239"/>
      <c r="E35" s="240">
        <f>Dat_02!C34</f>
        <v>37.599351619477389</v>
      </c>
      <c r="F35" s="240">
        <f>Dat_02!D34</f>
        <v>101.55332277089387</v>
      </c>
      <c r="G35" s="240">
        <f>Dat_02!E34</f>
        <v>37.599351619477389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44319</v>
      </c>
      <c r="D36" s="239"/>
      <c r="E36" s="240">
        <f>Dat_02!C35</f>
        <v>62.325435219481122</v>
      </c>
      <c r="F36" s="240">
        <f>Dat_02!D35</f>
        <v>101.55332277089387</v>
      </c>
      <c r="G36" s="240">
        <f>Dat_02!E35</f>
        <v>62.325435219481122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44320</v>
      </c>
      <c r="D37" s="237"/>
      <c r="E37" s="240">
        <f>Dat_02!C36</f>
        <v>72.170788443477392</v>
      </c>
      <c r="F37" s="240">
        <f>Dat_02!D36</f>
        <v>101.55332277089387</v>
      </c>
      <c r="G37" s="240">
        <f>Dat_02!E36</f>
        <v>72.170788443477392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44321</v>
      </c>
      <c r="D38" s="237"/>
      <c r="E38" s="240">
        <f>Dat_02!C37</f>
        <v>65.01715479181297</v>
      </c>
      <c r="F38" s="240">
        <f>Dat_02!D37</f>
        <v>101.55332277089387</v>
      </c>
      <c r="G38" s="240">
        <f>Dat_02!E37</f>
        <v>65.01715479181297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44322</v>
      </c>
      <c r="D39" s="237"/>
      <c r="E39" s="240">
        <f>Dat_02!C38</f>
        <v>61.090652771811101</v>
      </c>
      <c r="F39" s="240">
        <f>Dat_02!D38</f>
        <v>101.55332277089387</v>
      </c>
      <c r="G39" s="240">
        <f>Dat_02!E38</f>
        <v>61.090652771811101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44323</v>
      </c>
      <c r="D40" s="237"/>
      <c r="E40" s="240">
        <f>Dat_02!C39</f>
        <v>70.627706851807375</v>
      </c>
      <c r="F40" s="240">
        <f>Dat_02!D39</f>
        <v>101.55332277089387</v>
      </c>
      <c r="G40" s="240">
        <f>Dat_02!E39</f>
        <v>70.627706851807375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44324</v>
      </c>
      <c r="D41" s="237"/>
      <c r="E41" s="240">
        <f>Dat_02!C40</f>
        <v>41.499977935811103</v>
      </c>
      <c r="F41" s="240">
        <f>Dat_02!D40</f>
        <v>101.55332277089387</v>
      </c>
      <c r="G41" s="240">
        <f>Dat_02!E40</f>
        <v>41.499977935811103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44325</v>
      </c>
      <c r="D42" s="237"/>
      <c r="E42" s="240">
        <f>Dat_02!C41</f>
        <v>41.427987751809248</v>
      </c>
      <c r="F42" s="240">
        <f>Dat_02!D41</f>
        <v>101.55332277089387</v>
      </c>
      <c r="G42" s="240">
        <f>Dat_02!E41</f>
        <v>41.427987751809248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44326</v>
      </c>
      <c r="D43" s="237"/>
      <c r="E43" s="240">
        <f>Dat_02!C42</f>
        <v>60.37740137980925</v>
      </c>
      <c r="F43" s="240">
        <f>Dat_02!D42</f>
        <v>101.55332277089387</v>
      </c>
      <c r="G43" s="240">
        <f>Dat_02!E42</f>
        <v>60.37740137980925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44327</v>
      </c>
      <c r="D44" s="237"/>
      <c r="E44" s="240">
        <f>Dat_02!C43</f>
        <v>56.289525323812967</v>
      </c>
      <c r="F44" s="240">
        <f>Dat_02!D43</f>
        <v>101.55332277089387</v>
      </c>
      <c r="G44" s="240">
        <f>Dat_02!E43</f>
        <v>56.289525323812967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44328</v>
      </c>
      <c r="D45" s="237"/>
      <c r="E45" s="240">
        <f>Dat_02!C44</f>
        <v>65.030452773205397</v>
      </c>
      <c r="F45" s="240">
        <f>Dat_02!D44</f>
        <v>101.55332277089387</v>
      </c>
      <c r="G45" s="240">
        <f>Dat_02!E44</f>
        <v>65.030452773205397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44329</v>
      </c>
      <c r="D46" s="237"/>
      <c r="E46" s="240">
        <f>Dat_02!C45</f>
        <v>70.339536309207261</v>
      </c>
      <c r="F46" s="240">
        <f>Dat_02!D45</f>
        <v>101.55332277089387</v>
      </c>
      <c r="G46" s="240">
        <f>Dat_02!E45</f>
        <v>70.339536309207261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44330</v>
      </c>
      <c r="D47" s="237"/>
      <c r="E47" s="240">
        <f>Dat_02!C46</f>
        <v>73.472742457207261</v>
      </c>
      <c r="F47" s="240">
        <f>Dat_02!D46</f>
        <v>101.55332277089387</v>
      </c>
      <c r="G47" s="240">
        <f>Dat_02!E46</f>
        <v>73.472742457207261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44331</v>
      </c>
      <c r="D48" s="237"/>
      <c r="E48" s="240">
        <f>Dat_02!C47</f>
        <v>61.432024237210989</v>
      </c>
      <c r="F48" s="240">
        <f>Dat_02!D47</f>
        <v>101.55332277089387</v>
      </c>
      <c r="G48" s="240">
        <f>Dat_02!E47</f>
        <v>61.432024237210989</v>
      </c>
      <c r="I48" s="241">
        <f>Dat_02!G47</f>
        <v>101.55332277089387</v>
      </c>
      <c r="J48" s="251" t="str">
        <f>IF(Dat_02!H47=0,"",Dat_02!H47)</f>
        <v/>
      </c>
    </row>
    <row r="49" spans="2:10">
      <c r="B49" s="237"/>
      <c r="C49" s="238">
        <f>Dat_02!B48</f>
        <v>44332</v>
      </c>
      <c r="D49" s="237"/>
      <c r="E49" s="240">
        <f>Dat_02!C48</f>
        <v>63.0199917972054</v>
      </c>
      <c r="F49" s="240">
        <f>Dat_02!D48</f>
        <v>101.55332277089387</v>
      </c>
      <c r="G49" s="240">
        <f>Dat_02!E48</f>
        <v>63.0199917972054</v>
      </c>
      <c r="I49" s="241">
        <f>Dat_02!G48</f>
        <v>0</v>
      </c>
      <c r="J49" s="251" t="str">
        <f>IF(Dat_02!H48=0,"",Dat_02!H48)</f>
        <v/>
      </c>
    </row>
    <row r="50" spans="2:10">
      <c r="B50" s="237"/>
      <c r="C50" s="238">
        <f>Dat_02!B49</f>
        <v>44333</v>
      </c>
      <c r="D50" s="237"/>
      <c r="E50" s="240">
        <f>Dat_02!C49</f>
        <v>84.853373105210991</v>
      </c>
      <c r="F50" s="240">
        <f>Dat_02!D49</f>
        <v>101.55332277089387</v>
      </c>
      <c r="G50" s="240">
        <f>Dat_02!E49</f>
        <v>84.853373105210991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44334</v>
      </c>
      <c r="D51" s="237"/>
      <c r="E51" s="240">
        <f>Dat_02!C50</f>
        <v>83.112247585209133</v>
      </c>
      <c r="F51" s="240">
        <f>Dat_02!D50</f>
        <v>101.55332277089387</v>
      </c>
      <c r="G51" s="240">
        <f>Dat_02!E50</f>
        <v>83.112247585209133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44335</v>
      </c>
      <c r="D52" s="237"/>
      <c r="E52" s="240">
        <f>Dat_02!C51</f>
        <v>88.561247961818538</v>
      </c>
      <c r="F52" s="240">
        <f>Dat_02!D51</f>
        <v>101.55332277089387</v>
      </c>
      <c r="G52" s="240">
        <f>Dat_02!E51</f>
        <v>88.561247961818538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44336</v>
      </c>
      <c r="D53" s="237"/>
      <c r="E53" s="240">
        <f>Dat_02!C52</f>
        <v>87.578146521816677</v>
      </c>
      <c r="F53" s="240">
        <f>Dat_02!D52</f>
        <v>101.55332277089387</v>
      </c>
      <c r="G53" s="240">
        <f>Dat_02!E52</f>
        <v>87.578146521816677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44337</v>
      </c>
      <c r="D54" s="237"/>
      <c r="E54" s="240">
        <f>Dat_02!C53</f>
        <v>81.931180337818532</v>
      </c>
      <c r="F54" s="240">
        <f>Dat_02!D53</f>
        <v>101.55332277089387</v>
      </c>
      <c r="G54" s="240">
        <f>Dat_02!E53</f>
        <v>81.931180337818532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44338</v>
      </c>
      <c r="D55" s="237"/>
      <c r="E55" s="240">
        <f>Dat_02!C54</f>
        <v>85.491071121820397</v>
      </c>
      <c r="F55" s="240">
        <f>Dat_02!D54</f>
        <v>101.55332277089387</v>
      </c>
      <c r="G55" s="240">
        <f>Dat_02!E54</f>
        <v>85.491071121820397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44339</v>
      </c>
      <c r="D56" s="237"/>
      <c r="E56" s="240">
        <f>Dat_02!C55</f>
        <v>63.778950921816673</v>
      </c>
      <c r="F56" s="240">
        <f>Dat_02!D55</f>
        <v>101.55332277089387</v>
      </c>
      <c r="G56" s="240">
        <f>Dat_02!E55</f>
        <v>63.778950921816673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44340</v>
      </c>
      <c r="D57" s="237"/>
      <c r="E57" s="240">
        <f>Dat_02!C56</f>
        <v>71.950054133820402</v>
      </c>
      <c r="F57" s="240">
        <f>Dat_02!D56</f>
        <v>101.55332277089387</v>
      </c>
      <c r="G57" s="240">
        <f>Dat_02!E56</f>
        <v>71.950054133820402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44341</v>
      </c>
      <c r="D58" s="237"/>
      <c r="E58" s="240">
        <f>Dat_02!C57</f>
        <v>76.787076453822252</v>
      </c>
      <c r="F58" s="240">
        <f>Dat_02!D57</f>
        <v>101.55332277089387</v>
      </c>
      <c r="G58" s="240">
        <f>Dat_02!E57</f>
        <v>76.787076453822252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44342</v>
      </c>
      <c r="D59" s="237"/>
      <c r="E59" s="240">
        <f>Dat_02!C58</f>
        <v>45.036094361653767</v>
      </c>
      <c r="F59" s="240">
        <f>Dat_02!D58</f>
        <v>101.55332277089387</v>
      </c>
      <c r="G59" s="240">
        <f>Dat_02!E58</f>
        <v>45.036094361653767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44343</v>
      </c>
      <c r="D60" s="237"/>
      <c r="E60" s="240">
        <f>Dat_02!C59</f>
        <v>84.634084257655644</v>
      </c>
      <c r="F60" s="240">
        <f>Dat_02!D59</f>
        <v>101.55332277089387</v>
      </c>
      <c r="G60" s="240">
        <f>Dat_02!E59</f>
        <v>84.634084257655644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44344</v>
      </c>
      <c r="D61" s="237"/>
      <c r="E61" s="240">
        <f>Dat_02!C60</f>
        <v>51.411297629655643</v>
      </c>
      <c r="F61" s="240">
        <f>Dat_02!D60</f>
        <v>101.55332277089387</v>
      </c>
      <c r="G61" s="240">
        <f>Dat_02!E60</f>
        <v>51.411297629655643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44345</v>
      </c>
      <c r="D62" s="237"/>
      <c r="E62" s="240">
        <f>Dat_02!C61</f>
        <v>47.267614169655644</v>
      </c>
      <c r="F62" s="240">
        <f>Dat_02!D61</f>
        <v>101.55332277089387</v>
      </c>
      <c r="G62" s="240">
        <f>Dat_02!E61</f>
        <v>47.267614169655644</v>
      </c>
      <c r="I62" s="241">
        <f>Dat_02!G61</f>
        <v>0</v>
      </c>
      <c r="J62" s="251" t="str">
        <f>IF(Dat_02!H61=0,"",Dat_02!H61)</f>
        <v/>
      </c>
    </row>
    <row r="63" spans="2:10">
      <c r="B63" s="237" t="s">
        <v>201</v>
      </c>
      <c r="C63" s="238">
        <f>Dat_02!B62</f>
        <v>44346</v>
      </c>
      <c r="D63" s="237"/>
      <c r="E63" s="240">
        <f>Dat_02!C62</f>
        <v>31.001360121657505</v>
      </c>
      <c r="F63" s="240">
        <f>Dat_02!D62</f>
        <v>101.55332277089387</v>
      </c>
      <c r="G63" s="240">
        <f>Dat_02!E62</f>
        <v>31.001360121657505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44347</v>
      </c>
      <c r="D64" s="237"/>
      <c r="E64" s="240">
        <f>Dat_02!C63</f>
        <v>46.43987483365192</v>
      </c>
      <c r="F64" s="240">
        <f>Dat_02!D63</f>
        <v>101.55332277089387</v>
      </c>
      <c r="G64" s="240">
        <f>Dat_02!E63</f>
        <v>46.43987483365192</v>
      </c>
      <c r="I64" s="241">
        <f>Dat_02!G63</f>
        <v>0</v>
      </c>
      <c r="J64" s="251" t="str">
        <f>IF(Dat_02!H63=0,"",Dat_02!H63)</f>
        <v/>
      </c>
    </row>
    <row r="65" spans="2:10">
      <c r="B65" s="239"/>
      <c r="C65" s="238">
        <f>Dat_02!B64</f>
        <v>44348</v>
      </c>
      <c r="D65" s="239"/>
      <c r="E65" s="240">
        <f>Dat_02!C64</f>
        <v>49.740938881657506</v>
      </c>
      <c r="F65" s="240">
        <f>Dat_02!D64</f>
        <v>64.00894044961241</v>
      </c>
      <c r="G65" s="240">
        <f>Dat_02!E64</f>
        <v>49.740938881657506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44349</v>
      </c>
      <c r="D66" s="239"/>
      <c r="E66" s="240">
        <f>Dat_02!C65</f>
        <v>59.626562735076746</v>
      </c>
      <c r="F66" s="240">
        <f>Dat_02!D65</f>
        <v>64.00894044961241</v>
      </c>
      <c r="G66" s="240">
        <f>Dat_02!E65</f>
        <v>59.626562735076746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44350</v>
      </c>
      <c r="D67" s="237"/>
      <c r="E67" s="240">
        <f>Dat_02!C66</f>
        <v>43.384016879082331</v>
      </c>
      <c r="F67" s="240">
        <f>Dat_02!D66</f>
        <v>64.00894044961241</v>
      </c>
      <c r="G67" s="240">
        <f>Dat_02!E66</f>
        <v>43.384016879082331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44351</v>
      </c>
      <c r="D68" s="237"/>
      <c r="E68" s="240">
        <f>Dat_02!C67</f>
        <v>51.379159187080468</v>
      </c>
      <c r="F68" s="240">
        <f>Dat_02!D67</f>
        <v>64.00894044961241</v>
      </c>
      <c r="G68" s="240">
        <f>Dat_02!E67</f>
        <v>51.379159187080468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44352</v>
      </c>
      <c r="D69" s="237"/>
      <c r="E69" s="240">
        <f>Dat_02!C68</f>
        <v>46.980016771082333</v>
      </c>
      <c r="F69" s="240">
        <f>Dat_02!D68</f>
        <v>64.00894044961241</v>
      </c>
      <c r="G69" s="240">
        <f>Dat_02!E68</f>
        <v>46.980016771082333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44353</v>
      </c>
      <c r="D70" s="237"/>
      <c r="E70" s="240">
        <f>Dat_02!C69</f>
        <v>38.850407715080465</v>
      </c>
      <c r="F70" s="240">
        <f>Dat_02!D69</f>
        <v>64.00894044961241</v>
      </c>
      <c r="G70" s="240">
        <f>Dat_02!E69</f>
        <v>38.850407715080465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44354</v>
      </c>
      <c r="D71" s="237"/>
      <c r="E71" s="240">
        <f>Dat_02!C70</f>
        <v>42.253056895078601</v>
      </c>
      <c r="F71" s="240">
        <f>Dat_02!D70</f>
        <v>64.00894044961241</v>
      </c>
      <c r="G71" s="240">
        <f>Dat_02!E70</f>
        <v>42.253056895078601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44355</v>
      </c>
      <c r="D72" s="237"/>
      <c r="E72" s="240">
        <f>Dat_02!C71</f>
        <v>48.83241618308233</v>
      </c>
      <c r="F72" s="240">
        <f>Dat_02!D71</f>
        <v>64.00894044961241</v>
      </c>
      <c r="G72" s="240">
        <f>Dat_02!E71</f>
        <v>48.83241618308233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44356</v>
      </c>
      <c r="D73" s="237"/>
      <c r="E73" s="240">
        <f>Dat_02!C72</f>
        <v>39.656640428078113</v>
      </c>
      <c r="F73" s="240">
        <f>Dat_02!D72</f>
        <v>64.00894044961241</v>
      </c>
      <c r="G73" s="240">
        <f>Dat_02!E72</f>
        <v>39.656640428078113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44357</v>
      </c>
      <c r="D74" s="237"/>
      <c r="E74" s="240">
        <f>Dat_02!C73</f>
        <v>56.535118168078114</v>
      </c>
      <c r="F74" s="240">
        <f>Dat_02!D73</f>
        <v>64.00894044961241</v>
      </c>
      <c r="G74" s="240">
        <f>Dat_02!E73</f>
        <v>56.535118168078114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44358</v>
      </c>
      <c r="D75" s="237"/>
      <c r="E75" s="240">
        <f>Dat_02!C74</f>
        <v>35.849534328079969</v>
      </c>
      <c r="F75" s="240">
        <f>Dat_02!D74</f>
        <v>64.00894044961241</v>
      </c>
      <c r="G75" s="240">
        <f>Dat_02!E74</f>
        <v>35.849534328079969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44359</v>
      </c>
      <c r="D76" s="237"/>
      <c r="E76" s="240">
        <f>Dat_02!C75</f>
        <v>39.188961216074382</v>
      </c>
      <c r="F76" s="240">
        <f>Dat_02!D75</f>
        <v>64.00894044961241</v>
      </c>
      <c r="G76" s="240">
        <f>Dat_02!E75</f>
        <v>39.188961216074382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44360</v>
      </c>
      <c r="D77" s="237"/>
      <c r="E77" s="240">
        <f>Dat_02!C76</f>
        <v>34.75959014007811</v>
      </c>
      <c r="F77" s="240">
        <f>Dat_02!D76</f>
        <v>64.00894044961241</v>
      </c>
      <c r="G77" s="240">
        <f>Dat_02!E76</f>
        <v>34.75959014007811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44361</v>
      </c>
      <c r="D78" s="237"/>
      <c r="E78" s="240">
        <f>Dat_02!C77</f>
        <v>71.69865695207811</v>
      </c>
      <c r="F78" s="240">
        <f>Dat_02!D77</f>
        <v>64.00894044961241</v>
      </c>
      <c r="G78" s="240">
        <f>Dat_02!E77</f>
        <v>64.00894044961241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44362</v>
      </c>
      <c r="D79" s="237"/>
      <c r="E79" s="240">
        <f>Dat_02!C78</f>
        <v>67.651463800076243</v>
      </c>
      <c r="F79" s="240">
        <f>Dat_02!D78</f>
        <v>64.00894044961241</v>
      </c>
      <c r="G79" s="240">
        <f>Dat_02!E78</f>
        <v>64.00894044961241</v>
      </c>
      <c r="I79" s="241">
        <f>Dat_02!G78</f>
        <v>64.00894044961241</v>
      </c>
      <c r="J79" s="251" t="str">
        <f>IF(Dat_02!H78=0,"",Dat_02!H78)</f>
        <v/>
      </c>
    </row>
    <row r="80" spans="2:10">
      <c r="B80" s="237"/>
      <c r="C80" s="238">
        <f>Dat_02!B79</f>
        <v>44363</v>
      </c>
      <c r="D80" s="237"/>
      <c r="E80" s="240">
        <f>Dat_02!C79</f>
        <v>62.761168339110462</v>
      </c>
      <c r="F80" s="240">
        <f>Dat_02!D79</f>
        <v>64.00894044961241</v>
      </c>
      <c r="G80" s="240">
        <f>Dat_02!E79</f>
        <v>62.761168339110462</v>
      </c>
      <c r="I80" s="241">
        <f>Dat_02!G79</f>
        <v>0</v>
      </c>
      <c r="J80" s="251" t="str">
        <f>IF(Dat_02!H79=0,"",Dat_02!H79)</f>
        <v/>
      </c>
    </row>
    <row r="81" spans="2:10">
      <c r="B81" s="237"/>
      <c r="C81" s="238">
        <f>Dat_02!B80</f>
        <v>44364</v>
      </c>
      <c r="D81" s="237"/>
      <c r="E81" s="240">
        <f>Dat_02!C80</f>
        <v>64.331895743110465</v>
      </c>
      <c r="F81" s="240">
        <f>Dat_02!D80</f>
        <v>64.00894044961241</v>
      </c>
      <c r="G81" s="240">
        <f>Dat_02!E80</f>
        <v>64.00894044961241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44365</v>
      </c>
      <c r="D82" s="237"/>
      <c r="E82" s="240">
        <f>Dat_02!C81</f>
        <v>51.750105331110461</v>
      </c>
      <c r="F82" s="240">
        <f>Dat_02!D81</f>
        <v>64.00894044961241</v>
      </c>
      <c r="G82" s="240">
        <f>Dat_02!E81</f>
        <v>51.750105331110461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44366</v>
      </c>
      <c r="D83" s="237"/>
      <c r="E83" s="240">
        <f>Dat_02!C82</f>
        <v>42.611285635112317</v>
      </c>
      <c r="F83" s="240">
        <f>Dat_02!D82</f>
        <v>64.00894044961241</v>
      </c>
      <c r="G83" s="240">
        <f>Dat_02!E82</f>
        <v>42.611285635112317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44367</v>
      </c>
      <c r="D84" s="237"/>
      <c r="E84" s="240">
        <f>Dat_02!C83</f>
        <v>30.118779127108596</v>
      </c>
      <c r="F84" s="240">
        <f>Dat_02!D83</f>
        <v>64.00894044961241</v>
      </c>
      <c r="G84" s="240">
        <f>Dat_02!E83</f>
        <v>30.118779127108596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44368</v>
      </c>
      <c r="D85" s="237"/>
      <c r="E85" s="240">
        <f>Dat_02!C84</f>
        <v>41.493578483112316</v>
      </c>
      <c r="F85" s="240">
        <f>Dat_02!D84</f>
        <v>64.00894044961241</v>
      </c>
      <c r="G85" s="240">
        <f>Dat_02!E84</f>
        <v>41.493578483112316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44369</v>
      </c>
      <c r="D86" s="237"/>
      <c r="E86" s="240">
        <f>Dat_02!C85</f>
        <v>51.606623843110455</v>
      </c>
      <c r="F86" s="240">
        <f>Dat_02!D85</f>
        <v>64.00894044961241</v>
      </c>
      <c r="G86" s="240">
        <f>Dat_02!E85</f>
        <v>51.606623843110455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44370</v>
      </c>
      <c r="D87" s="237"/>
      <c r="E87" s="240">
        <f>Dat_02!C86</f>
        <v>56.153062707417426</v>
      </c>
      <c r="F87" s="240">
        <f>Dat_02!D86</f>
        <v>64.00894044961241</v>
      </c>
      <c r="G87" s="240">
        <f>Dat_02!E86</f>
        <v>56.153062707417426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44371</v>
      </c>
      <c r="D88" s="237"/>
      <c r="E88" s="240">
        <f>Dat_02!C87</f>
        <v>62.08737866341928</v>
      </c>
      <c r="F88" s="240">
        <f>Dat_02!D87</f>
        <v>64.00894044961241</v>
      </c>
      <c r="G88" s="240">
        <f>Dat_02!E87</f>
        <v>62.08737866341928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44372</v>
      </c>
      <c r="D89" s="237"/>
      <c r="E89" s="240">
        <f>Dat_02!C88</f>
        <v>59.582867003419288</v>
      </c>
      <c r="F89" s="240">
        <f>Dat_02!D88</f>
        <v>64.00894044961241</v>
      </c>
      <c r="G89" s="240">
        <f>Dat_02!E88</f>
        <v>59.582867003419288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44373</v>
      </c>
      <c r="D90" s="237"/>
      <c r="E90" s="240">
        <f>Dat_02!C89</f>
        <v>44.03432207541929</v>
      </c>
      <c r="F90" s="240">
        <f>Dat_02!D89</f>
        <v>64.00894044961241</v>
      </c>
      <c r="G90" s="240">
        <f>Dat_02!E89</f>
        <v>44.03432207541929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44374</v>
      </c>
      <c r="D91" s="237"/>
      <c r="E91" s="240">
        <f>Dat_02!C90</f>
        <v>35.423002939419291</v>
      </c>
      <c r="F91" s="240">
        <f>Dat_02!D90</f>
        <v>64.00894044961241</v>
      </c>
      <c r="G91" s="240">
        <f>Dat_02!E90</f>
        <v>35.423002939419291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44375</v>
      </c>
      <c r="D92" s="237"/>
      <c r="E92" s="240">
        <f>Dat_02!C91</f>
        <v>57.752474875419281</v>
      </c>
      <c r="F92" s="240">
        <f>Dat_02!D91</f>
        <v>64.00894044961241</v>
      </c>
      <c r="G92" s="240">
        <f>Dat_02!E91</f>
        <v>57.752474875419281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44376</v>
      </c>
      <c r="D93" s="237"/>
      <c r="E93" s="240">
        <f>Dat_02!C92</f>
        <v>56.62067234341928</v>
      </c>
      <c r="F93" s="240">
        <f>Dat_02!D92</f>
        <v>64.00894044961241</v>
      </c>
      <c r="G93" s="240">
        <f>Dat_02!E92</f>
        <v>56.62067234341928</v>
      </c>
      <c r="I93" s="241">
        <f>Dat_02!G92</f>
        <v>0</v>
      </c>
      <c r="J93" s="251" t="str">
        <f>IF(Dat_02!H92=0,"",Dat_02!H92)</f>
        <v/>
      </c>
    </row>
    <row r="94" spans="2:10">
      <c r="B94" s="237" t="s">
        <v>202</v>
      </c>
      <c r="C94" s="238">
        <f>Dat_02!B93</f>
        <v>44377</v>
      </c>
      <c r="D94" s="237"/>
      <c r="E94" s="240">
        <f>Dat_02!C93</f>
        <v>38.6761881303024</v>
      </c>
      <c r="F94" s="240">
        <f>Dat_02!D93</f>
        <v>64.00894044961241</v>
      </c>
      <c r="G94" s="240">
        <f>Dat_02!E93</f>
        <v>38.6761881303024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44378</v>
      </c>
      <c r="D95" s="239"/>
      <c r="E95" s="240">
        <f>Dat_02!C94</f>
        <v>44.62471131430425</v>
      </c>
      <c r="F95" s="240">
        <f>Dat_02!D94</f>
        <v>28.26541708637771</v>
      </c>
      <c r="G95" s="240">
        <f>Dat_02!E94</f>
        <v>28.26541708637771</v>
      </c>
      <c r="I95" s="241">
        <f>Dat_02!G94</f>
        <v>0</v>
      </c>
      <c r="J95" s="251" t="str">
        <f>IF(Dat_02!H94=0,"",Dat_02!H94)</f>
        <v/>
      </c>
    </row>
    <row r="96" spans="2:10">
      <c r="B96" s="239"/>
      <c r="C96" s="238">
        <f>Dat_02!B95</f>
        <v>44379</v>
      </c>
      <c r="D96" s="239"/>
      <c r="E96" s="240">
        <f>Dat_02!C95</f>
        <v>42.429424178304252</v>
      </c>
      <c r="F96" s="240">
        <f>Dat_02!D95</f>
        <v>28.26541708637771</v>
      </c>
      <c r="G96" s="240">
        <f>Dat_02!E95</f>
        <v>28.26541708637771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44380</v>
      </c>
      <c r="D97" s="239"/>
      <c r="E97" s="240">
        <f>Dat_02!C96</f>
        <v>38.563100278302386</v>
      </c>
      <c r="F97" s="240">
        <f>Dat_02!D96</f>
        <v>28.26541708637771</v>
      </c>
      <c r="G97" s="240">
        <f>Dat_02!E96</f>
        <v>28.26541708637771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44381</v>
      </c>
      <c r="D98" s="237"/>
      <c r="E98" s="240">
        <f>Dat_02!C97</f>
        <v>4.5934732943023917</v>
      </c>
      <c r="F98" s="240">
        <f>Dat_02!D97</f>
        <v>28.26541708637771</v>
      </c>
      <c r="G98" s="240">
        <f>Dat_02!E97</f>
        <v>4.5934732943023917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44382</v>
      </c>
      <c r="D99" s="237"/>
      <c r="E99" s="240">
        <f>Dat_02!C98</f>
        <v>37.484665742304266</v>
      </c>
      <c r="F99" s="240">
        <f>Dat_02!D98</f>
        <v>28.26541708637771</v>
      </c>
      <c r="G99" s="240">
        <f>Dat_02!E98</f>
        <v>28.26541708637771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44383</v>
      </c>
      <c r="D100" s="237"/>
      <c r="E100" s="240">
        <f>Dat_02!C99</f>
        <v>40.497175394304257</v>
      </c>
      <c r="F100" s="240">
        <f>Dat_02!D99</f>
        <v>28.26541708637771</v>
      </c>
      <c r="G100" s="240">
        <f>Dat_02!E99</f>
        <v>28.26541708637771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44384</v>
      </c>
      <c r="D101" s="237"/>
      <c r="E101" s="240">
        <f>Dat_02!C100</f>
        <v>37.492404876303219</v>
      </c>
      <c r="F101" s="240">
        <f>Dat_02!D100</f>
        <v>28.26541708637771</v>
      </c>
      <c r="G101" s="240">
        <f>Dat_02!E100</f>
        <v>28.26541708637771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44385</v>
      </c>
      <c r="D102" s="237"/>
      <c r="E102" s="240">
        <f>Dat_02!C101</f>
        <v>25.250259888306942</v>
      </c>
      <c r="F102" s="240">
        <f>Dat_02!D101</f>
        <v>28.26541708637771</v>
      </c>
      <c r="G102" s="240">
        <f>Dat_02!E101</f>
        <v>25.250259888306942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44386</v>
      </c>
      <c r="D103" s="237"/>
      <c r="E103" s="240">
        <f>Dat_02!C102</f>
        <v>24.846315244305078</v>
      </c>
      <c r="F103" s="240">
        <f>Dat_02!D102</f>
        <v>28.26541708637771</v>
      </c>
      <c r="G103" s="240">
        <f>Dat_02!E102</f>
        <v>24.846315244305078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44387</v>
      </c>
      <c r="D104" s="237"/>
      <c r="E104" s="240">
        <f>Dat_02!C103</f>
        <v>24.875425528305072</v>
      </c>
      <c r="F104" s="240">
        <f>Dat_02!D103</f>
        <v>28.26541708637771</v>
      </c>
      <c r="G104" s="240">
        <f>Dat_02!E103</f>
        <v>24.875425528305072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44388</v>
      </c>
      <c r="D105" s="237"/>
      <c r="E105" s="240">
        <f>Dat_02!C104</f>
        <v>24.555974760305077</v>
      </c>
      <c r="F105" s="240">
        <f>Dat_02!D104</f>
        <v>28.26541708637771</v>
      </c>
      <c r="G105" s="240">
        <f>Dat_02!E104</f>
        <v>24.555974760305077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44389</v>
      </c>
      <c r="D106" s="237"/>
      <c r="E106" s="240">
        <f>Dat_02!C105</f>
        <v>14.567424316305084</v>
      </c>
      <c r="F106" s="240">
        <f>Dat_02!D105</f>
        <v>28.26541708637771</v>
      </c>
      <c r="G106" s="240">
        <f>Dat_02!E105</f>
        <v>14.567424316305084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44390</v>
      </c>
      <c r="D107" s="237"/>
      <c r="E107" s="240">
        <f>Dat_02!C106</f>
        <v>17.458720352305086</v>
      </c>
      <c r="F107" s="240">
        <f>Dat_02!D106</f>
        <v>28.26541708637771</v>
      </c>
      <c r="G107" s="240">
        <f>Dat_02!E106</f>
        <v>17.458720352305086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44391</v>
      </c>
      <c r="D108" s="237"/>
      <c r="E108" s="240">
        <f>Dat_02!C107</f>
        <v>3.2801613586414167</v>
      </c>
      <c r="F108" s="240">
        <f>Dat_02!D107</f>
        <v>28.26541708637771</v>
      </c>
      <c r="G108" s="240">
        <f>Dat_02!E107</f>
        <v>3.2801613586414167</v>
      </c>
      <c r="I108" s="241">
        <f>Dat_02!G107</f>
        <v>0</v>
      </c>
      <c r="J108" s="251" t="str">
        <f>IF(Dat_02!H107=0,"",Dat_02!H107)</f>
        <v/>
      </c>
    </row>
    <row r="109" spans="2:10">
      <c r="B109" s="237"/>
      <c r="C109" s="238">
        <f>Dat_02!B108</f>
        <v>44392</v>
      </c>
      <c r="D109" s="237"/>
      <c r="E109" s="240">
        <f>Dat_02!C108</f>
        <v>3.7021285986414152</v>
      </c>
      <c r="F109" s="240">
        <f>Dat_02!D108</f>
        <v>28.26541708637771</v>
      </c>
      <c r="G109" s="240">
        <f>Dat_02!E108</f>
        <v>3.7021285986414152</v>
      </c>
      <c r="I109" s="241">
        <f>Dat_02!G108</f>
        <v>28.26541708637771</v>
      </c>
      <c r="J109" s="251" t="str">
        <f>IF(Dat_02!H108=0,"",Dat_02!H108)</f>
        <v/>
      </c>
    </row>
    <row r="110" spans="2:10">
      <c r="B110" s="237"/>
      <c r="C110" s="238">
        <f>Dat_02!B109</f>
        <v>44393</v>
      </c>
      <c r="D110" s="237"/>
      <c r="E110" s="240">
        <f>Dat_02!C109</f>
        <v>3.4328874426414258</v>
      </c>
      <c r="F110" s="240">
        <f>Dat_02!D109</f>
        <v>28.26541708637771</v>
      </c>
      <c r="G110" s="240">
        <f>Dat_02!E109</f>
        <v>3.4328874426414258</v>
      </c>
      <c r="I110" s="241">
        <f>Dat_02!G109</f>
        <v>0</v>
      </c>
      <c r="J110" s="251" t="str">
        <f>IF(Dat_02!H109=0,"",Dat_02!H109)</f>
        <v/>
      </c>
    </row>
    <row r="111" spans="2:10">
      <c r="B111" s="237"/>
      <c r="C111" s="238">
        <f>Dat_02!B110</f>
        <v>44394</v>
      </c>
      <c r="D111" s="237"/>
      <c r="E111" s="240">
        <f>Dat_02!C110</f>
        <v>6.1905694026414126</v>
      </c>
      <c r="F111" s="240">
        <f>Dat_02!D110</f>
        <v>28.26541708637771</v>
      </c>
      <c r="G111" s="240">
        <f>Dat_02!E110</f>
        <v>6.1905694026414126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44395</v>
      </c>
      <c r="D112" s="237"/>
      <c r="E112" s="240">
        <f>Dat_02!C111</f>
        <v>2.9161338986432819</v>
      </c>
      <c r="F112" s="240">
        <f>Dat_02!D111</f>
        <v>28.26541708637771</v>
      </c>
      <c r="G112" s="240">
        <f>Dat_02!E111</f>
        <v>2.9161338986432819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44396</v>
      </c>
      <c r="D113" s="237"/>
      <c r="E113" s="240">
        <f>Dat_02!C112</f>
        <v>3.8112047226414143</v>
      </c>
      <c r="F113" s="240">
        <f>Dat_02!D112</f>
        <v>28.26541708637771</v>
      </c>
      <c r="G113" s="240">
        <f>Dat_02!E112</f>
        <v>3.8112047226414143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44397</v>
      </c>
      <c r="D114" s="237"/>
      <c r="E114" s="240">
        <f>Dat_02!C113</f>
        <v>0.74533419064328332</v>
      </c>
      <c r="F114" s="240">
        <f>Dat_02!D113</f>
        <v>28.26541708637771</v>
      </c>
      <c r="G114" s="240">
        <f>Dat_02!E113</f>
        <v>0.74533419064328332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44398</v>
      </c>
      <c r="D115" s="237"/>
      <c r="E115" s="240">
        <f>Dat_02!C114</f>
        <v>19.407550297499554</v>
      </c>
      <c r="F115" s="240">
        <f>Dat_02!D114</f>
        <v>28.26541708637771</v>
      </c>
      <c r="G115" s="240">
        <f>Dat_02!E114</f>
        <v>19.407550297499554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44399</v>
      </c>
      <c r="D116" s="237"/>
      <c r="E116" s="240">
        <f>Dat_02!C115</f>
        <v>16.555754301501416</v>
      </c>
      <c r="F116" s="240">
        <f>Dat_02!D115</f>
        <v>28.26541708637771</v>
      </c>
      <c r="G116" s="240">
        <f>Dat_02!E115</f>
        <v>16.555754301501416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44400</v>
      </c>
      <c r="D117" s="237"/>
      <c r="E117" s="240">
        <f>Dat_02!C116</f>
        <v>13.259645153499557</v>
      </c>
      <c r="F117" s="240">
        <f>Dat_02!D116</f>
        <v>28.26541708637771</v>
      </c>
      <c r="G117" s="240">
        <f>Dat_02!E116</f>
        <v>13.259645153499557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44401</v>
      </c>
      <c r="D118" s="237"/>
      <c r="E118" s="240">
        <f>Dat_02!C117</f>
        <v>11.605605877501418</v>
      </c>
      <c r="F118" s="240">
        <f>Dat_02!D117</f>
        <v>28.26541708637771</v>
      </c>
      <c r="G118" s="240">
        <f>Dat_02!E117</f>
        <v>11.605605877501418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44402</v>
      </c>
      <c r="D119" s="237"/>
      <c r="E119" s="240">
        <f>Dat_02!C118</f>
        <v>7.0987854214995529</v>
      </c>
      <c r="F119" s="240">
        <f>Dat_02!D118</f>
        <v>28.26541708637771</v>
      </c>
      <c r="G119" s="240">
        <f>Dat_02!E118</f>
        <v>7.0987854214995529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44403</v>
      </c>
      <c r="D120" s="237"/>
      <c r="E120" s="240">
        <f>Dat_02!C119</f>
        <v>10.141006933501419</v>
      </c>
      <c r="F120" s="240">
        <f>Dat_02!D119</f>
        <v>28.26541708637771</v>
      </c>
      <c r="G120" s="240">
        <f>Dat_02!E119</f>
        <v>10.141006933501419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44404</v>
      </c>
      <c r="D121" s="237"/>
      <c r="E121" s="240">
        <f>Dat_02!C120</f>
        <v>9.3542710974995575</v>
      </c>
      <c r="F121" s="240">
        <f>Dat_02!D120</f>
        <v>28.26541708637771</v>
      </c>
      <c r="G121" s="240">
        <f>Dat_02!E120</f>
        <v>9.3542710974995575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44405</v>
      </c>
      <c r="D122" s="237"/>
      <c r="E122" s="240">
        <f>Dat_02!C121</f>
        <v>6.3809409010995806</v>
      </c>
      <c r="F122" s="240">
        <f>Dat_02!D121</f>
        <v>28.26541708637771</v>
      </c>
      <c r="G122" s="240">
        <f>Dat_02!E121</f>
        <v>6.3809409010995806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44406</v>
      </c>
      <c r="D123" s="237"/>
      <c r="E123" s="240">
        <f>Dat_02!C122</f>
        <v>18.61382452909772</v>
      </c>
      <c r="F123" s="240">
        <f>Dat_02!D122</f>
        <v>28.26541708637771</v>
      </c>
      <c r="G123" s="240">
        <f>Dat_02!E122</f>
        <v>18.61382452909772</v>
      </c>
      <c r="I123" s="241">
        <f>Dat_02!G122</f>
        <v>0</v>
      </c>
      <c r="J123" s="251" t="str">
        <f>IF(Dat_02!H122=0,"",Dat_02!H122)</f>
        <v/>
      </c>
    </row>
    <row r="124" spans="2:10">
      <c r="B124" s="237" t="s">
        <v>204</v>
      </c>
      <c r="C124" s="238">
        <f>Dat_02!B123</f>
        <v>44407</v>
      </c>
      <c r="D124" s="237"/>
      <c r="E124" s="240">
        <f>Dat_02!C123</f>
        <v>20.12006257709772</v>
      </c>
      <c r="F124" s="240">
        <f>Dat_02!D123</f>
        <v>28.26541708637771</v>
      </c>
      <c r="G124" s="240">
        <f>Dat_02!E123</f>
        <v>20.12006257709772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44408</v>
      </c>
      <c r="D125" s="237"/>
      <c r="E125" s="240">
        <f>Dat_02!C124</f>
        <v>1.8893583750977123</v>
      </c>
      <c r="F125" s="240">
        <f>Dat_02!D124</f>
        <v>28.26541708637771</v>
      </c>
      <c r="G125" s="240">
        <f>Dat_02!E124</f>
        <v>1.8893583750977123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44409</v>
      </c>
      <c r="D126" s="239"/>
      <c r="E126" s="240">
        <f>Dat_02!C125</f>
        <v>4.5655955870995752</v>
      </c>
      <c r="F126" s="240">
        <f>Dat_02!D125</f>
        <v>17.065966880459293</v>
      </c>
      <c r="G126" s="240">
        <f>Dat_02!E125</f>
        <v>4.5655955870995752</v>
      </c>
      <c r="I126" s="241">
        <f>Dat_02!G125</f>
        <v>0</v>
      </c>
      <c r="J126" s="251" t="str">
        <f>IF(Dat_02!H125=0,"",Dat_02!H125)</f>
        <v/>
      </c>
    </row>
    <row r="127" spans="2:10">
      <c r="B127" s="239"/>
      <c r="C127" s="238">
        <f>Dat_02!B126</f>
        <v>44410</v>
      </c>
      <c r="D127" s="239"/>
      <c r="E127" s="240">
        <f>Dat_02!C126</f>
        <v>24.369447137101439</v>
      </c>
      <c r="F127" s="240">
        <f>Dat_02!D126</f>
        <v>17.065966880459293</v>
      </c>
      <c r="G127" s="240">
        <f>Dat_02!E126</f>
        <v>17.065966880459293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44411</v>
      </c>
      <c r="D128" s="239"/>
      <c r="E128" s="240">
        <f>Dat_02!C127</f>
        <v>22.849233373095849</v>
      </c>
      <c r="F128" s="240">
        <f>Dat_02!D127</f>
        <v>17.065966880459293</v>
      </c>
      <c r="G128" s="240">
        <f>Dat_02!E127</f>
        <v>17.065966880459293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44412</v>
      </c>
      <c r="D129" s="237"/>
      <c r="E129" s="240">
        <f>Dat_02!C128</f>
        <v>20.851566048340771</v>
      </c>
      <c r="F129" s="240">
        <f>Dat_02!D128</f>
        <v>17.065966880459293</v>
      </c>
      <c r="G129" s="240">
        <f>Dat_02!E128</f>
        <v>17.065966880459293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44413</v>
      </c>
      <c r="D130" s="237"/>
      <c r="E130" s="240">
        <f>Dat_02!C129</f>
        <v>20.527216116342636</v>
      </c>
      <c r="F130" s="240">
        <f>Dat_02!D129</f>
        <v>17.065966880459293</v>
      </c>
      <c r="G130" s="240">
        <f>Dat_02!E129</f>
        <v>17.065966880459293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44414</v>
      </c>
      <c r="D131" s="237"/>
      <c r="E131" s="240">
        <f>Dat_02!C130</f>
        <v>8.4270759103407684</v>
      </c>
      <c r="F131" s="240">
        <f>Dat_02!D130</f>
        <v>17.065966880459293</v>
      </c>
      <c r="G131" s="240">
        <f>Dat_02!E130</f>
        <v>8.4270759103407684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44415</v>
      </c>
      <c r="D132" s="237"/>
      <c r="E132" s="240">
        <f>Dat_02!C131</f>
        <v>3.1181593463426327</v>
      </c>
      <c r="F132" s="240">
        <f>Dat_02!D131</f>
        <v>17.065966880459293</v>
      </c>
      <c r="G132" s="240">
        <f>Dat_02!E131</f>
        <v>3.1181593463426327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44416</v>
      </c>
      <c r="D133" s="237"/>
      <c r="E133" s="240">
        <f>Dat_02!C132</f>
        <v>0.97960024234076992</v>
      </c>
      <c r="F133" s="240">
        <f>Dat_02!D132</f>
        <v>17.065966880459293</v>
      </c>
      <c r="G133" s="240">
        <f>Dat_02!E132</f>
        <v>0.97960024234076992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44417</v>
      </c>
      <c r="D134" s="237"/>
      <c r="E134" s="240">
        <f>Dat_02!C133</f>
        <v>14.443968728340769</v>
      </c>
      <c r="F134" s="240">
        <f>Dat_02!D133</f>
        <v>17.065966880459293</v>
      </c>
      <c r="G134" s="240">
        <f>Dat_02!E133</f>
        <v>14.443968728340769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44418</v>
      </c>
      <c r="D135" s="237"/>
      <c r="E135" s="240">
        <f>Dat_02!C134</f>
        <v>12.368461616340777</v>
      </c>
      <c r="F135" s="240">
        <f>Dat_02!D134</f>
        <v>17.065966880459293</v>
      </c>
      <c r="G135" s="240">
        <f>Dat_02!E134</f>
        <v>12.368461616340777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44419</v>
      </c>
      <c r="D136" s="237"/>
      <c r="E136" s="240">
        <f>Dat_02!C135</f>
        <v>12.890011353729017</v>
      </c>
      <c r="F136" s="240">
        <f>Dat_02!D135</f>
        <v>17.065966880459293</v>
      </c>
      <c r="G136" s="240">
        <f>Dat_02!E135</f>
        <v>12.890011353729017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44420</v>
      </c>
      <c r="D137" s="237"/>
      <c r="E137" s="240">
        <f>Dat_02!C136</f>
        <v>11.795801197727153</v>
      </c>
      <c r="F137" s="240">
        <f>Dat_02!D136</f>
        <v>17.065966880459293</v>
      </c>
      <c r="G137" s="240">
        <f>Dat_02!E136</f>
        <v>11.795801197727153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44421</v>
      </c>
      <c r="D138" s="237"/>
      <c r="E138" s="240">
        <f>Dat_02!C137</f>
        <v>10.709613341727149</v>
      </c>
      <c r="F138" s="240">
        <f>Dat_02!D137</f>
        <v>17.065966880459293</v>
      </c>
      <c r="G138" s="240">
        <f>Dat_02!E137</f>
        <v>10.709613341727149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44422</v>
      </c>
      <c r="D139" s="237"/>
      <c r="E139" s="240">
        <f>Dat_02!C138</f>
        <v>8.390193413727145</v>
      </c>
      <c r="F139" s="240">
        <f>Dat_02!D138</f>
        <v>17.065966880459293</v>
      </c>
      <c r="G139" s="240">
        <f>Dat_02!E138</f>
        <v>8.390193413727145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44423</v>
      </c>
      <c r="D140" s="237"/>
      <c r="E140" s="240">
        <f>Dat_02!C139</f>
        <v>3.8323451297280844</v>
      </c>
      <c r="F140" s="240">
        <f>Dat_02!D139</f>
        <v>17.065966880459293</v>
      </c>
      <c r="G140" s="240">
        <f>Dat_02!E139</f>
        <v>3.8323451297280844</v>
      </c>
      <c r="I140" s="241">
        <f>Dat_02!G139</f>
        <v>17.065966880459293</v>
      </c>
      <c r="J140" s="251" t="str">
        <f>IF(Dat_02!H139=0,"",Dat_02!H139)</f>
        <v/>
      </c>
    </row>
    <row r="141" spans="2:10">
      <c r="B141" s="237"/>
      <c r="C141" s="238">
        <f>Dat_02!B140</f>
        <v>44424</v>
      </c>
      <c r="D141" s="237"/>
      <c r="E141" s="240">
        <f>Dat_02!C140</f>
        <v>1.5208754617262239</v>
      </c>
      <c r="F141" s="240">
        <f>Dat_02!D140</f>
        <v>17.065966880459293</v>
      </c>
      <c r="G141" s="240">
        <f>Dat_02!E140</f>
        <v>1.5208754617262239</v>
      </c>
      <c r="I141" s="241">
        <f>Dat_02!G140</f>
        <v>0</v>
      </c>
      <c r="J141" s="251" t="str">
        <f>IF(Dat_02!H140=0,"",Dat_02!H140)</f>
        <v/>
      </c>
    </row>
    <row r="142" spans="2:10">
      <c r="B142" s="237"/>
      <c r="C142" s="238">
        <f>Dat_02!B141</f>
        <v>44425</v>
      </c>
      <c r="D142" s="237"/>
      <c r="E142" s="240">
        <f>Dat_02!C141</f>
        <v>1.6454641217280805</v>
      </c>
      <c r="F142" s="240">
        <f>Dat_02!D141</f>
        <v>17.065966880459293</v>
      </c>
      <c r="G142" s="240">
        <f>Dat_02!E141</f>
        <v>1.6454641217280805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44426</v>
      </c>
      <c r="D143" s="237"/>
      <c r="E143" s="240">
        <f>Dat_02!C142</f>
        <v>1.1239345109318819</v>
      </c>
      <c r="F143" s="240">
        <f>Dat_02!D142</f>
        <v>17.065966880459293</v>
      </c>
      <c r="G143" s="240">
        <f>Dat_02!E142</f>
        <v>1.1239345109318819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44427</v>
      </c>
      <c r="D144" s="237"/>
      <c r="E144" s="240">
        <f>Dat_02!C143</f>
        <v>12.31830282093188</v>
      </c>
      <c r="F144" s="240">
        <f>Dat_02!D143</f>
        <v>17.065966880459293</v>
      </c>
      <c r="G144" s="240">
        <f>Dat_02!E143</f>
        <v>12.31830282093188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44428</v>
      </c>
      <c r="D145" s="237"/>
      <c r="E145" s="240">
        <f>Dat_02!C144</f>
        <v>10.13184883293188</v>
      </c>
      <c r="F145" s="240">
        <f>Dat_02!D144</f>
        <v>17.065966880459293</v>
      </c>
      <c r="G145" s="240">
        <f>Dat_02!E144</f>
        <v>10.13184883293188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44429</v>
      </c>
      <c r="D146" s="237"/>
      <c r="E146" s="240">
        <f>Dat_02!C145</f>
        <v>3.855074796932815</v>
      </c>
      <c r="F146" s="240">
        <f>Dat_02!D145</f>
        <v>17.065966880459293</v>
      </c>
      <c r="G146" s="240">
        <f>Dat_02!E145</f>
        <v>3.855074796932815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44430</v>
      </c>
      <c r="D147" s="237"/>
      <c r="E147" s="240">
        <f>Dat_02!C146</f>
        <v>0.51473324493095429</v>
      </c>
      <c r="F147" s="240">
        <f>Dat_02!D146</f>
        <v>17.065966880459293</v>
      </c>
      <c r="G147" s="240">
        <f>Dat_02!E146</f>
        <v>0.51473324493095429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44431</v>
      </c>
      <c r="D148" s="237"/>
      <c r="E148" s="240">
        <f>Dat_02!C147</f>
        <v>1.0608810569318812</v>
      </c>
      <c r="F148" s="240">
        <f>Dat_02!D147</f>
        <v>17.065966880459293</v>
      </c>
      <c r="G148" s="240">
        <f>Dat_02!E147</f>
        <v>1.0608810569318812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44432</v>
      </c>
      <c r="D149" s="237"/>
      <c r="E149" s="240">
        <f>Dat_02!C148</f>
        <v>0.95651898293281556</v>
      </c>
      <c r="F149" s="240">
        <f>Dat_02!D148</f>
        <v>17.065966880459293</v>
      </c>
      <c r="G149" s="240">
        <f>Dat_02!E148</f>
        <v>0.95651898293281556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44433</v>
      </c>
      <c r="D150" s="237"/>
      <c r="E150" s="240">
        <f>Dat_02!C149</f>
        <v>7.1533921176681394</v>
      </c>
      <c r="F150" s="240">
        <f>Dat_02!D149</f>
        <v>17.065966880459293</v>
      </c>
      <c r="G150" s="240">
        <f>Dat_02!E149</f>
        <v>7.1533921176681394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44434</v>
      </c>
      <c r="D151" s="237"/>
      <c r="E151" s="240">
        <f>Dat_02!C150</f>
        <v>9.1958073616690665</v>
      </c>
      <c r="F151" s="240">
        <f>Dat_02!D150</f>
        <v>17.065966880459293</v>
      </c>
      <c r="G151" s="240">
        <f>Dat_02!E150</f>
        <v>9.1958073616690665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44435</v>
      </c>
      <c r="D152" s="237"/>
      <c r="E152" s="240">
        <f>Dat_02!C151</f>
        <v>4.1350082336709315</v>
      </c>
      <c r="F152" s="240">
        <f>Dat_02!D151</f>
        <v>17.065966880459293</v>
      </c>
      <c r="G152" s="240">
        <f>Dat_02!E151</f>
        <v>4.1350082336709315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44436</v>
      </c>
      <c r="D153" s="237"/>
      <c r="E153" s="240">
        <f>Dat_02!C152</f>
        <v>0.77185449366814285</v>
      </c>
      <c r="F153" s="240">
        <f>Dat_02!D152</f>
        <v>17.065966880459293</v>
      </c>
      <c r="G153" s="240">
        <f>Dat_02!E152</f>
        <v>0.77185449366814285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44437</v>
      </c>
      <c r="D154" s="237"/>
      <c r="E154" s="240">
        <f>Dat_02!C153</f>
        <v>1.0640044536700006</v>
      </c>
      <c r="F154" s="240">
        <f>Dat_02!D153</f>
        <v>17.065966880459293</v>
      </c>
      <c r="G154" s="240">
        <f>Dat_02!E153</f>
        <v>1.0640044536700006</v>
      </c>
      <c r="I154" s="241">
        <f>Dat_02!G153</f>
        <v>0</v>
      </c>
      <c r="J154" s="251" t="str">
        <f>IF(Dat_02!H153=0,"",Dat_02!H153)</f>
        <v/>
      </c>
    </row>
    <row r="155" spans="2:10">
      <c r="B155" s="237" t="s">
        <v>221</v>
      </c>
      <c r="C155" s="238">
        <f>Dat_02!B154</f>
        <v>44438</v>
      </c>
      <c r="D155" s="237"/>
      <c r="E155" s="240">
        <f>Dat_02!C154</f>
        <v>10.140573249667206</v>
      </c>
      <c r="F155" s="240">
        <f>Dat_02!D154</f>
        <v>17.065966880459293</v>
      </c>
      <c r="G155" s="240">
        <f>Dat_02!E154</f>
        <v>10.140573249667206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44439</v>
      </c>
      <c r="D156" s="239"/>
      <c r="E156" s="240">
        <f>Dat_02!C155</f>
        <v>13.94423220567093</v>
      </c>
      <c r="F156" s="240">
        <f>Dat_02!D155</f>
        <v>17.065966880459293</v>
      </c>
      <c r="G156" s="240">
        <f>Dat_02!E155</f>
        <v>13.94423220567093</v>
      </c>
      <c r="I156" s="241">
        <f>Dat_02!G155</f>
        <v>0</v>
      </c>
      <c r="J156" s="251" t="str">
        <f>IF(Dat_02!H155=0,"",Dat_02!H155)</f>
        <v/>
      </c>
    </row>
    <row r="157" spans="2:10">
      <c r="B157" s="239"/>
      <c r="C157" s="238">
        <f>Dat_02!B156</f>
        <v>44440</v>
      </c>
      <c r="D157" s="239"/>
      <c r="E157" s="240">
        <f>Dat_02!C156</f>
        <v>24.232942552924062</v>
      </c>
      <c r="F157" s="240">
        <f>Dat_02!D156</f>
        <v>21.014323006984561</v>
      </c>
      <c r="G157" s="240">
        <f>Dat_02!E156</f>
        <v>21.014323006984561</v>
      </c>
      <c r="I157" s="241">
        <f>Dat_02!G156</f>
        <v>0</v>
      </c>
      <c r="J157" s="251" t="str">
        <f>IF(Dat_02!H156=0,"",Dat_02!H156)</f>
        <v/>
      </c>
    </row>
    <row r="158" spans="2:10">
      <c r="B158" s="239"/>
      <c r="C158" s="238">
        <f>Dat_02!B157</f>
        <v>44441</v>
      </c>
      <c r="D158" s="239"/>
      <c r="E158" s="240">
        <f>Dat_02!C157</f>
        <v>23.923948540925927</v>
      </c>
      <c r="F158" s="240">
        <f>Dat_02!D157</f>
        <v>21.014323006984561</v>
      </c>
      <c r="G158" s="240">
        <f>Dat_02!E157</f>
        <v>21.014323006984561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44442</v>
      </c>
      <c r="D159" s="237"/>
      <c r="E159" s="240">
        <f>Dat_02!C158</f>
        <v>22.820461948923132</v>
      </c>
      <c r="F159" s="240">
        <f>Dat_02!D158</f>
        <v>21.014323006984561</v>
      </c>
      <c r="G159" s="240">
        <f>Dat_02!E158</f>
        <v>21.014323006984561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44443</v>
      </c>
      <c r="D160" s="237"/>
      <c r="E160" s="240">
        <f>Dat_02!C159</f>
        <v>16.785473316926858</v>
      </c>
      <c r="F160" s="240">
        <f>Dat_02!D159</f>
        <v>21.014323006984561</v>
      </c>
      <c r="G160" s="240">
        <f>Dat_02!E159</f>
        <v>16.785473316926858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44444</v>
      </c>
      <c r="D161" s="237"/>
      <c r="E161" s="240">
        <f>Dat_02!C160</f>
        <v>10.244637292924068</v>
      </c>
      <c r="F161" s="240">
        <f>Dat_02!D160</f>
        <v>21.014323006984561</v>
      </c>
      <c r="G161" s="240">
        <f>Dat_02!E160</f>
        <v>10.244637292924068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44445</v>
      </c>
      <c r="D162" s="237"/>
      <c r="E162" s="240">
        <f>Dat_02!C161</f>
        <v>15.825120408925926</v>
      </c>
      <c r="F162" s="240">
        <f>Dat_02!D161</f>
        <v>21.014323006984561</v>
      </c>
      <c r="G162" s="240">
        <f>Dat_02!E161</f>
        <v>15.825120408925926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44446</v>
      </c>
      <c r="D163" s="237"/>
      <c r="E163" s="240">
        <f>Dat_02!C162</f>
        <v>6.2947448249249938</v>
      </c>
      <c r="F163" s="240">
        <f>Dat_02!D162</f>
        <v>21.014323006984561</v>
      </c>
      <c r="G163" s="240">
        <f>Dat_02!E162</f>
        <v>6.2947448249249938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44447</v>
      </c>
      <c r="D164" s="237"/>
      <c r="E164" s="240">
        <f>Dat_02!C163</f>
        <v>20.115420491951163</v>
      </c>
      <c r="F164" s="240">
        <f>Dat_02!D163</f>
        <v>21.014323006984561</v>
      </c>
      <c r="G164" s="240">
        <f>Dat_02!E163</f>
        <v>20.115420491951163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44448</v>
      </c>
      <c r="D165" s="237"/>
      <c r="E165" s="240">
        <f>Dat_02!C164</f>
        <v>20.943244847952091</v>
      </c>
      <c r="F165" s="240">
        <f>Dat_02!D164</f>
        <v>21.014323006984561</v>
      </c>
      <c r="G165" s="240">
        <f>Dat_02!E164</f>
        <v>20.943244847952091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44449</v>
      </c>
      <c r="D166" s="237"/>
      <c r="E166" s="240">
        <f>Dat_02!C165</f>
        <v>20.22736524795209</v>
      </c>
      <c r="F166" s="240">
        <f>Dat_02!D165</f>
        <v>21.014323006984561</v>
      </c>
      <c r="G166" s="240">
        <f>Dat_02!E165</f>
        <v>20.22736524795209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44450</v>
      </c>
      <c r="D167" s="237"/>
      <c r="E167" s="240">
        <f>Dat_02!C166</f>
        <v>15.135667991953021</v>
      </c>
      <c r="F167" s="240">
        <f>Dat_02!D166</f>
        <v>21.014323006984561</v>
      </c>
      <c r="G167" s="240">
        <f>Dat_02!E166</f>
        <v>15.135667991953021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44451</v>
      </c>
      <c r="D168" s="237"/>
      <c r="E168" s="240">
        <f>Dat_02!C167</f>
        <v>20.061154527952095</v>
      </c>
      <c r="F168" s="240">
        <f>Dat_02!D167</f>
        <v>21.014323006984561</v>
      </c>
      <c r="G168" s="240">
        <f>Dat_02!E167</f>
        <v>20.061154527952095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44452</v>
      </c>
      <c r="D169" s="237"/>
      <c r="E169" s="240">
        <f>Dat_02!C168</f>
        <v>12.823799795953025</v>
      </c>
      <c r="F169" s="240">
        <f>Dat_02!D168</f>
        <v>21.014323006984561</v>
      </c>
      <c r="G169" s="240">
        <f>Dat_02!E168</f>
        <v>12.823799795953025</v>
      </c>
      <c r="I169" s="241">
        <f>Dat_02!G168</f>
        <v>0</v>
      </c>
      <c r="J169" s="251" t="str">
        <f>IF(Dat_02!H168=0,"",Dat_02!H168)</f>
        <v/>
      </c>
    </row>
    <row r="170" spans="2:10">
      <c r="B170" s="237"/>
      <c r="C170" s="238">
        <f>Dat_02!B169</f>
        <v>44453</v>
      </c>
      <c r="D170" s="237"/>
      <c r="E170" s="240">
        <f>Dat_02!C169</f>
        <v>25.974186331951163</v>
      </c>
      <c r="F170" s="240">
        <f>Dat_02!D169</f>
        <v>21.014323006984561</v>
      </c>
      <c r="G170" s="240">
        <f>Dat_02!E169</f>
        <v>21.014323006984561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44454</v>
      </c>
      <c r="D171" s="237"/>
      <c r="E171" s="240">
        <f>Dat_02!C170</f>
        <v>38.31835680787313</v>
      </c>
      <c r="F171" s="240">
        <f>Dat_02!D170</f>
        <v>21.014323006984561</v>
      </c>
      <c r="G171" s="240">
        <f>Dat_02!E170</f>
        <v>21.014323006984561</v>
      </c>
      <c r="I171" s="241">
        <f>Dat_02!G170</f>
        <v>21.014323006984561</v>
      </c>
      <c r="J171" s="251" t="str">
        <f>IF(Dat_02!H170=0,"",Dat_02!H170)</f>
        <v/>
      </c>
    </row>
    <row r="172" spans="2:10">
      <c r="B172" s="237"/>
      <c r="C172" s="238">
        <f>Dat_02!B171</f>
        <v>44455</v>
      </c>
      <c r="D172" s="237"/>
      <c r="E172" s="240">
        <f>Dat_02!C171</f>
        <v>21.487675855873132</v>
      </c>
      <c r="F172" s="240">
        <f>Dat_02!D171</f>
        <v>21.014323006984561</v>
      </c>
      <c r="G172" s="240">
        <f>Dat_02!E171</f>
        <v>21.014323006984561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44456</v>
      </c>
      <c r="D173" s="237"/>
      <c r="E173" s="240">
        <f>Dat_02!C172</f>
        <v>16.394569441872203</v>
      </c>
      <c r="F173" s="240">
        <f>Dat_02!D172</f>
        <v>21.014323006984561</v>
      </c>
      <c r="G173" s="240">
        <f>Dat_02!E172</f>
        <v>16.394569441872203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44457</v>
      </c>
      <c r="D174" s="237"/>
      <c r="E174" s="240">
        <f>Dat_02!C173</f>
        <v>11.821708425872202</v>
      </c>
      <c r="F174" s="240">
        <f>Dat_02!D173</f>
        <v>21.014323006984561</v>
      </c>
      <c r="G174" s="240">
        <f>Dat_02!E173</f>
        <v>11.821708425872202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44458</v>
      </c>
      <c r="D175" s="237"/>
      <c r="E175" s="240">
        <f>Dat_02!C174</f>
        <v>11.033212529874065</v>
      </c>
      <c r="F175" s="240">
        <f>Dat_02!D174</f>
        <v>21.014323006984561</v>
      </c>
      <c r="G175" s="240">
        <f>Dat_02!E174</f>
        <v>11.033212529874065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44459</v>
      </c>
      <c r="D176" s="237"/>
      <c r="E176" s="240">
        <f>Dat_02!C175</f>
        <v>12.408188627872201</v>
      </c>
      <c r="F176" s="240">
        <f>Dat_02!D175</f>
        <v>21.014323006984561</v>
      </c>
      <c r="G176" s="240">
        <f>Dat_02!E175</f>
        <v>12.408188627872201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44460</v>
      </c>
      <c r="D177" s="237"/>
      <c r="E177" s="240">
        <f>Dat_02!C176</f>
        <v>11.887315421872204</v>
      </c>
      <c r="F177" s="240">
        <f>Dat_02!D176</f>
        <v>21.014323006984561</v>
      </c>
      <c r="G177" s="240">
        <f>Dat_02!E176</f>
        <v>11.887315421872204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44461</v>
      </c>
      <c r="D178" s="237"/>
      <c r="E178" s="240">
        <f>Dat_02!C177</f>
        <v>24.565719547283638</v>
      </c>
      <c r="F178" s="240">
        <f>Dat_02!D177</f>
        <v>21.014323006984561</v>
      </c>
      <c r="G178" s="240">
        <f>Dat_02!E177</f>
        <v>21.014323006984561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44462</v>
      </c>
      <c r="D179" s="237"/>
      <c r="E179" s="240">
        <f>Dat_02!C178</f>
        <v>18.78037494927991</v>
      </c>
      <c r="F179" s="240">
        <f>Dat_02!D178</f>
        <v>21.014323006984561</v>
      </c>
      <c r="G179" s="240">
        <f>Dat_02!E178</f>
        <v>18.78037494927991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44463</v>
      </c>
      <c r="D180" s="237"/>
      <c r="E180" s="240">
        <f>Dat_02!C179</f>
        <v>28.647999827281776</v>
      </c>
      <c r="F180" s="240">
        <f>Dat_02!D179</f>
        <v>21.014323006984561</v>
      </c>
      <c r="G180" s="240">
        <f>Dat_02!E179</f>
        <v>21.014323006984561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44464</v>
      </c>
      <c r="D181" s="237"/>
      <c r="E181" s="240">
        <f>Dat_02!C180</f>
        <v>21.776072683282706</v>
      </c>
      <c r="F181" s="240">
        <f>Dat_02!D180</f>
        <v>21.014323006984561</v>
      </c>
      <c r="G181" s="240">
        <f>Dat_02!E180</f>
        <v>21.014323006984561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44465</v>
      </c>
      <c r="D182" s="237"/>
      <c r="E182" s="240">
        <f>Dat_02!C181</f>
        <v>15.501655585280846</v>
      </c>
      <c r="F182" s="240">
        <f>Dat_02!D181</f>
        <v>21.014323006984561</v>
      </c>
      <c r="G182" s="240">
        <f>Dat_02!E181</f>
        <v>15.501655585280846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44466</v>
      </c>
      <c r="D183" s="237"/>
      <c r="E183" s="240">
        <f>Dat_02!C182</f>
        <v>22.111520435282706</v>
      </c>
      <c r="F183" s="240">
        <f>Dat_02!D182</f>
        <v>21.014323006984561</v>
      </c>
      <c r="G183" s="240">
        <f>Dat_02!E182</f>
        <v>21.014323006984561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44467</v>
      </c>
      <c r="D184" s="237"/>
      <c r="E184" s="240">
        <f>Dat_02!C183</f>
        <v>31.315857271280844</v>
      </c>
      <c r="F184" s="240">
        <f>Dat_02!D183</f>
        <v>21.014323006984561</v>
      </c>
      <c r="G184" s="240">
        <f>Dat_02!E183</f>
        <v>21.014323006984561</v>
      </c>
      <c r="I184" s="241">
        <f>Dat_02!G183</f>
        <v>0</v>
      </c>
      <c r="J184" s="251" t="str">
        <f>IF(Dat_02!H183=0,"",Dat_02!H183)</f>
        <v/>
      </c>
    </row>
    <row r="185" spans="2:10">
      <c r="B185" s="237" t="s">
        <v>222</v>
      </c>
      <c r="C185" s="238">
        <f>Dat_02!B184</f>
        <v>44468</v>
      </c>
      <c r="D185" s="237"/>
      <c r="E185" s="240">
        <f>Dat_02!C184</f>
        <v>21.160280351840992</v>
      </c>
      <c r="F185" s="240">
        <f>Dat_02!D184</f>
        <v>21.014323006984561</v>
      </c>
      <c r="G185" s="240">
        <f>Dat_02!E184</f>
        <v>21.014323006984561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44469</v>
      </c>
      <c r="D186" s="237"/>
      <c r="E186" s="240">
        <f>Dat_02!C185</f>
        <v>20.742861095840059</v>
      </c>
      <c r="F186" s="240">
        <f>Dat_02!D185</f>
        <v>21.014323006984561</v>
      </c>
      <c r="G186" s="240">
        <f>Dat_02!E185</f>
        <v>20.742861095840059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44470</v>
      </c>
      <c r="D187" s="239"/>
      <c r="E187" s="240">
        <f>Dat_02!C186</f>
        <v>26.522195107839128</v>
      </c>
      <c r="F187" s="240">
        <f>Dat_02!D186</f>
        <v>42.895784539321873</v>
      </c>
      <c r="G187" s="240">
        <f>Dat_02!E186</f>
        <v>26.522195107839128</v>
      </c>
      <c r="I187" s="241">
        <f>Dat_02!G186</f>
        <v>0</v>
      </c>
      <c r="J187" s="251" t="str">
        <f>IF(Dat_02!H186=0,"",Dat_02!H186)</f>
        <v/>
      </c>
    </row>
    <row r="188" spans="2:10">
      <c r="B188" s="239"/>
      <c r="C188" s="238">
        <f>Dat_02!B187</f>
        <v>44471</v>
      </c>
      <c r="D188" s="239"/>
      <c r="E188" s="240">
        <f>Dat_02!C187</f>
        <v>11.450506385840995</v>
      </c>
      <c r="F188" s="240">
        <f>Dat_02!D187</f>
        <v>42.895784539321873</v>
      </c>
      <c r="G188" s="240">
        <f>Dat_02!E187</f>
        <v>11.450506385840995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44472</v>
      </c>
      <c r="D189" s="239"/>
      <c r="E189" s="240">
        <f>Dat_02!C188</f>
        <v>7.0336940938400625</v>
      </c>
      <c r="F189" s="240">
        <f>Dat_02!D188</f>
        <v>42.895784539321873</v>
      </c>
      <c r="G189" s="240">
        <f>Dat_02!E188</f>
        <v>7.0336940938400625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44473</v>
      </c>
      <c r="D190" s="237"/>
      <c r="E190" s="240">
        <f>Dat_02!C189</f>
        <v>20.078182471840059</v>
      </c>
      <c r="F190" s="240">
        <f>Dat_02!D189</f>
        <v>42.895784539321873</v>
      </c>
      <c r="G190" s="240">
        <f>Dat_02!E189</f>
        <v>20.078182471840059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44474</v>
      </c>
      <c r="D191" s="237"/>
      <c r="E191" s="240">
        <f>Dat_02!C190</f>
        <v>20.407965117839129</v>
      </c>
      <c r="F191" s="240">
        <f>Dat_02!D190</f>
        <v>42.895784539321873</v>
      </c>
      <c r="G191" s="240">
        <f>Dat_02!E190</f>
        <v>20.407965117839129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44475</v>
      </c>
      <c r="D192" s="237"/>
      <c r="E192" s="240">
        <f>Dat_02!C191</f>
        <v>34.537367477795087</v>
      </c>
      <c r="F192" s="240">
        <f>Dat_02!D191</f>
        <v>42.895784539321873</v>
      </c>
      <c r="G192" s="240">
        <f>Dat_02!E191</f>
        <v>34.537367477795087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44476</v>
      </c>
      <c r="D193" s="237"/>
      <c r="E193" s="240">
        <f>Dat_02!C192</f>
        <v>32.421314555796023</v>
      </c>
      <c r="F193" s="240">
        <f>Dat_02!D192</f>
        <v>42.895784539321873</v>
      </c>
      <c r="G193" s="240">
        <f>Dat_02!E192</f>
        <v>32.421314555796023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44477</v>
      </c>
      <c r="D194" s="237"/>
      <c r="E194" s="240">
        <f>Dat_02!C193</f>
        <v>28.830218095796024</v>
      </c>
      <c r="F194" s="240">
        <f>Dat_02!D193</f>
        <v>42.895784539321873</v>
      </c>
      <c r="G194" s="240">
        <f>Dat_02!E193</f>
        <v>28.830218095796024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44478</v>
      </c>
      <c r="D195" s="237"/>
      <c r="E195" s="240">
        <f>Dat_02!C194</f>
        <v>26.074201315795086</v>
      </c>
      <c r="F195" s="240">
        <f>Dat_02!D194</f>
        <v>42.895784539321873</v>
      </c>
      <c r="G195" s="240">
        <f>Dat_02!E194</f>
        <v>26.074201315795086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44479</v>
      </c>
      <c r="D196" s="237"/>
      <c r="E196" s="240">
        <f>Dat_02!C195</f>
        <v>14.97372190579509</v>
      </c>
      <c r="F196" s="240">
        <f>Dat_02!D195</f>
        <v>42.895784539321873</v>
      </c>
      <c r="G196" s="240">
        <f>Dat_02!E195</f>
        <v>14.97372190579509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44480</v>
      </c>
      <c r="D197" s="237"/>
      <c r="E197" s="240">
        <f>Dat_02!C196</f>
        <v>18.989537715795091</v>
      </c>
      <c r="F197" s="240">
        <f>Dat_02!D196</f>
        <v>42.895784539321873</v>
      </c>
      <c r="G197" s="240">
        <f>Dat_02!E196</f>
        <v>18.989537715795091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44481</v>
      </c>
      <c r="D198" s="237"/>
      <c r="E198" s="240">
        <f>Dat_02!C197</f>
        <v>16.810403215795091</v>
      </c>
      <c r="F198" s="240">
        <f>Dat_02!D197</f>
        <v>42.895784539321873</v>
      </c>
      <c r="G198" s="240">
        <f>Dat_02!E197</f>
        <v>16.810403215795091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44482</v>
      </c>
      <c r="D199" s="237"/>
      <c r="E199" s="240">
        <f>Dat_02!C198</f>
        <v>9.6915650946646714</v>
      </c>
      <c r="F199" s="240">
        <f>Dat_02!D198</f>
        <v>42.895784539321873</v>
      </c>
      <c r="G199" s="240">
        <f>Dat_02!E198</f>
        <v>9.6915650946646714</v>
      </c>
      <c r="I199" s="241">
        <f>Dat_02!G198</f>
        <v>0</v>
      </c>
      <c r="J199" s="251" t="str">
        <f>IF(Dat_02!H198=0,"",Dat_02!H198)</f>
        <v/>
      </c>
    </row>
    <row r="200" spans="2:10">
      <c r="B200" s="237"/>
      <c r="C200" s="238">
        <f>Dat_02!B199</f>
        <v>44483</v>
      </c>
      <c r="D200" s="237"/>
      <c r="E200" s="240">
        <f>Dat_02!C199</f>
        <v>21.102004324664666</v>
      </c>
      <c r="F200" s="240">
        <f>Dat_02!D199</f>
        <v>42.895784539321873</v>
      </c>
      <c r="G200" s="240">
        <f>Dat_02!E199</f>
        <v>21.102004324664666</v>
      </c>
      <c r="I200" s="241">
        <f>Dat_02!G199</f>
        <v>0</v>
      </c>
      <c r="J200" s="251" t="str">
        <f>IF(Dat_02!H199=0,"",Dat_02!H199)</f>
        <v/>
      </c>
    </row>
    <row r="201" spans="2:10">
      <c r="B201" s="237"/>
      <c r="C201" s="238">
        <f>Dat_02!B200</f>
        <v>44484</v>
      </c>
      <c r="D201" s="237"/>
      <c r="E201" s="240">
        <f>Dat_02!C200</f>
        <v>22.793578934664669</v>
      </c>
      <c r="F201" s="240">
        <f>Dat_02!D200</f>
        <v>42.895784539321873</v>
      </c>
      <c r="G201" s="240">
        <f>Dat_02!E200</f>
        <v>22.793578934664669</v>
      </c>
      <c r="I201" s="241">
        <f>Dat_02!G200</f>
        <v>42.895784539321873</v>
      </c>
      <c r="J201" s="251" t="str">
        <f>IF(Dat_02!H200=0,"",Dat_02!H200)</f>
        <v/>
      </c>
    </row>
    <row r="202" spans="2:10">
      <c r="B202" s="237"/>
      <c r="C202" s="238">
        <f>Dat_02!B201</f>
        <v>44485</v>
      </c>
      <c r="D202" s="237"/>
      <c r="E202" s="240">
        <f>Dat_02!C201</f>
        <v>22.891749824663741</v>
      </c>
      <c r="F202" s="240">
        <f>Dat_02!D201</f>
        <v>42.895784539321873</v>
      </c>
      <c r="G202" s="240">
        <f>Dat_02!E201</f>
        <v>22.891749824663741</v>
      </c>
      <c r="I202" s="241">
        <f>Dat_02!G201</f>
        <v>0</v>
      </c>
      <c r="J202" s="251" t="str">
        <f>IF(Dat_02!H201=0,"",Dat_02!H201)</f>
        <v/>
      </c>
    </row>
    <row r="203" spans="2:10">
      <c r="B203" s="237"/>
      <c r="C203" s="238">
        <f>Dat_02!B202</f>
        <v>44486</v>
      </c>
      <c r="D203" s="237"/>
      <c r="E203" s="240">
        <f>Dat_02!C202</f>
        <v>20.531404104664666</v>
      </c>
      <c r="F203" s="240">
        <f>Dat_02!D202</f>
        <v>42.895784539321873</v>
      </c>
      <c r="G203" s="240">
        <f>Dat_02!E202</f>
        <v>20.531404104664666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44487</v>
      </c>
      <c r="D204" s="237"/>
      <c r="E204" s="240">
        <f>Dat_02!C203</f>
        <v>20.055615194663741</v>
      </c>
      <c r="F204" s="240">
        <f>Dat_02!D203</f>
        <v>42.895784539321873</v>
      </c>
      <c r="G204" s="240">
        <f>Dat_02!E203</f>
        <v>20.055615194663741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44488</v>
      </c>
      <c r="D205" s="237"/>
      <c r="E205" s="240">
        <f>Dat_02!C204</f>
        <v>13.659925614663738</v>
      </c>
      <c r="F205" s="240">
        <f>Dat_02!D204</f>
        <v>42.895784539321873</v>
      </c>
      <c r="G205" s="240">
        <f>Dat_02!E204</f>
        <v>13.659925614663738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44489</v>
      </c>
      <c r="D206" s="237"/>
      <c r="E206" s="240">
        <f>Dat_02!C205</f>
        <v>15.363624254522176</v>
      </c>
      <c r="F206" s="240">
        <f>Dat_02!D205</f>
        <v>42.895784539321873</v>
      </c>
      <c r="G206" s="240">
        <f>Dat_02!E205</f>
        <v>15.363624254522176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44490</v>
      </c>
      <c r="D207" s="237"/>
      <c r="E207" s="240">
        <f>Dat_02!C206</f>
        <v>22.04892331452125</v>
      </c>
      <c r="F207" s="240">
        <f>Dat_02!D206</f>
        <v>42.895784539321873</v>
      </c>
      <c r="G207" s="240">
        <f>Dat_02!E206</f>
        <v>22.04892331452125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44491</v>
      </c>
      <c r="D208" s="237"/>
      <c r="E208" s="240">
        <f>Dat_02!C207</f>
        <v>15.953329024523107</v>
      </c>
      <c r="F208" s="240">
        <f>Dat_02!D207</f>
        <v>42.895784539321873</v>
      </c>
      <c r="G208" s="240">
        <f>Dat_02!E207</f>
        <v>15.953329024523107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44492</v>
      </c>
      <c r="D209" s="237"/>
      <c r="E209" s="240">
        <f>Dat_02!C208</f>
        <v>16.079614874521244</v>
      </c>
      <c r="F209" s="240">
        <f>Dat_02!D208</f>
        <v>42.895784539321873</v>
      </c>
      <c r="G209" s="240">
        <f>Dat_02!E208</f>
        <v>16.079614874521244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44493</v>
      </c>
      <c r="D210" s="237"/>
      <c r="E210" s="240">
        <f>Dat_02!C209</f>
        <v>16.836174644522178</v>
      </c>
      <c r="F210" s="240">
        <f>Dat_02!D209</f>
        <v>42.895784539321873</v>
      </c>
      <c r="G210" s="240">
        <f>Dat_02!E209</f>
        <v>16.836174644522178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44494</v>
      </c>
      <c r="D211" s="237"/>
      <c r="E211" s="240">
        <f>Dat_02!C210</f>
        <v>28.025825204521244</v>
      </c>
      <c r="F211" s="240">
        <f>Dat_02!D210</f>
        <v>42.895784539321873</v>
      </c>
      <c r="G211" s="240">
        <f>Dat_02!E210</f>
        <v>28.025825204521244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44495</v>
      </c>
      <c r="D212" s="237"/>
      <c r="E212" s="240">
        <f>Dat_02!C211</f>
        <v>20.552402704523111</v>
      </c>
      <c r="F212" s="240">
        <f>Dat_02!D211</f>
        <v>42.895784539321873</v>
      </c>
      <c r="G212" s="240">
        <f>Dat_02!E211</f>
        <v>20.552402704523111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44496</v>
      </c>
      <c r="D213" s="237"/>
      <c r="E213" s="240">
        <f>Dat_02!C212</f>
        <v>38.627298912769433</v>
      </c>
      <c r="F213" s="240">
        <f>Dat_02!D212</f>
        <v>42.895784539321873</v>
      </c>
      <c r="G213" s="240">
        <f>Dat_02!E212</f>
        <v>38.627298912769433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44497</v>
      </c>
      <c r="D214" s="237"/>
      <c r="E214" s="240">
        <f>Dat_02!C213</f>
        <v>29.895004102771292</v>
      </c>
      <c r="F214" s="240">
        <f>Dat_02!D213</f>
        <v>42.895784539321873</v>
      </c>
      <c r="G214" s="240">
        <f>Dat_02!E213</f>
        <v>29.895004102771292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44498</v>
      </c>
      <c r="D215" s="237"/>
      <c r="E215" s="240">
        <f>Dat_02!C214</f>
        <v>25.749818082769426</v>
      </c>
      <c r="F215" s="240">
        <f>Dat_02!D214</f>
        <v>42.895784539321873</v>
      </c>
      <c r="G215" s="240">
        <f>Dat_02!E214</f>
        <v>25.749818082769426</v>
      </c>
      <c r="I215" s="241">
        <f>Dat_02!G214</f>
        <v>0</v>
      </c>
      <c r="J215" s="251" t="str">
        <f>IF(Dat_02!H214=0,"",Dat_02!H214)</f>
        <v/>
      </c>
    </row>
    <row r="216" spans="2:10">
      <c r="B216" s="237" t="s">
        <v>223</v>
      </c>
      <c r="C216" s="238">
        <f>Dat_02!B215</f>
        <v>44499</v>
      </c>
      <c r="D216" s="237"/>
      <c r="E216" s="240">
        <f>Dat_02!C215</f>
        <v>27.030004642770361</v>
      </c>
      <c r="F216" s="240">
        <f>Dat_02!D215</f>
        <v>42.895784539321873</v>
      </c>
      <c r="G216" s="240">
        <f>Dat_02!E215</f>
        <v>27.030004642770361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44500</v>
      </c>
      <c r="D217" s="239"/>
      <c r="E217" s="240">
        <f>Dat_02!C216</f>
        <v>14.640549322768496</v>
      </c>
      <c r="F217" s="240">
        <f>Dat_02!D216</f>
        <v>42.895784539321873</v>
      </c>
      <c r="G217" s="240">
        <f>Dat_02!E216</f>
        <v>14.640549322768496</v>
      </c>
      <c r="I217" s="241">
        <f>Dat_02!G216</f>
        <v>0</v>
      </c>
      <c r="J217" s="251" t="str">
        <f>IF(Dat_02!H216=0,"",Dat_02!H216)</f>
        <v/>
      </c>
    </row>
    <row r="218" spans="2:10">
      <c r="B218" s="239"/>
      <c r="C218" s="238">
        <f>Dat_02!B217</f>
        <v>44501</v>
      </c>
      <c r="D218" s="239"/>
      <c r="E218" s="240">
        <f>Dat_02!C217</f>
        <v>22.313917842770358</v>
      </c>
      <c r="F218" s="240">
        <f>Dat_02!D217</f>
        <v>83.114057360768328</v>
      </c>
      <c r="G218" s="240">
        <f>Dat_02!E217</f>
        <v>22.313917842770358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44502</v>
      </c>
      <c r="D219" s="239"/>
      <c r="E219" s="240">
        <f>Dat_02!C218</f>
        <v>28.912959306771292</v>
      </c>
      <c r="F219" s="240">
        <f>Dat_02!D218</f>
        <v>83.114057360768328</v>
      </c>
      <c r="G219" s="240">
        <f>Dat_02!E218</f>
        <v>28.912959306771292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44503</v>
      </c>
      <c r="D220" s="239"/>
      <c r="E220" s="240">
        <f>Dat_02!C219</f>
        <v>55.970923198660778</v>
      </c>
      <c r="F220" s="240">
        <f>Dat_02!D219</f>
        <v>83.114057360768328</v>
      </c>
      <c r="G220" s="240">
        <f>Dat_02!E219</f>
        <v>55.970923198660778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44504</v>
      </c>
      <c r="D221" s="237"/>
      <c r="E221" s="240">
        <f>Dat_02!C220</f>
        <v>53.446203498659841</v>
      </c>
      <c r="F221" s="240">
        <f>Dat_02!D220</f>
        <v>83.114057360768328</v>
      </c>
      <c r="G221" s="240">
        <f>Dat_02!E220</f>
        <v>53.446203498659841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44505</v>
      </c>
      <c r="D222" s="237"/>
      <c r="E222" s="240">
        <f>Dat_02!C221</f>
        <v>54.771741696662637</v>
      </c>
      <c r="F222" s="240">
        <f>Dat_02!D221</f>
        <v>83.114057360768328</v>
      </c>
      <c r="G222" s="240">
        <f>Dat_02!E221</f>
        <v>54.771741696662637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44506</v>
      </c>
      <c r="D223" s="237"/>
      <c r="E223" s="240">
        <f>Dat_02!C222</f>
        <v>51.570235068661717</v>
      </c>
      <c r="F223" s="240">
        <f>Dat_02!D222</f>
        <v>83.114057360768328</v>
      </c>
      <c r="G223" s="240">
        <f>Dat_02!E222</f>
        <v>51.570235068661717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44507</v>
      </c>
      <c r="D224" s="237"/>
      <c r="E224" s="240">
        <f>Dat_02!C223</f>
        <v>44.703382378660784</v>
      </c>
      <c r="F224" s="240">
        <f>Dat_02!D223</f>
        <v>83.114057360768328</v>
      </c>
      <c r="G224" s="240">
        <f>Dat_02!E223</f>
        <v>44.703382378660784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44508</v>
      </c>
      <c r="D225" s="237"/>
      <c r="E225" s="240">
        <f>Dat_02!C224</f>
        <v>58.176928336660779</v>
      </c>
      <c r="F225" s="240">
        <f>Dat_02!D224</f>
        <v>83.114057360768328</v>
      </c>
      <c r="G225" s="240">
        <f>Dat_02!E224</f>
        <v>58.176928336660779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44509</v>
      </c>
      <c r="D226" s="237"/>
      <c r="E226" s="240">
        <f>Dat_02!C225</f>
        <v>60.36964599866171</v>
      </c>
      <c r="F226" s="240">
        <f>Dat_02!D225</f>
        <v>83.114057360768328</v>
      </c>
      <c r="G226" s="240">
        <f>Dat_02!E225</f>
        <v>60.36964599866171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44510</v>
      </c>
      <c r="D227" s="237"/>
      <c r="E227" s="240">
        <f>Dat_02!C226</f>
        <v>40.97435282420534</v>
      </c>
      <c r="F227" s="240">
        <f>Dat_02!D226</f>
        <v>83.114057360768328</v>
      </c>
      <c r="G227" s="240">
        <f>Dat_02!E226</f>
        <v>40.97435282420534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44511</v>
      </c>
      <c r="D228" s="237"/>
      <c r="E228" s="240">
        <f>Dat_02!C227</f>
        <v>42.417581774205345</v>
      </c>
      <c r="F228" s="240">
        <f>Dat_02!D227</f>
        <v>83.114057360768328</v>
      </c>
      <c r="G228" s="240">
        <f>Dat_02!E227</f>
        <v>42.417581774205345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44512</v>
      </c>
      <c r="D229" s="237"/>
      <c r="E229" s="240">
        <f>Dat_02!C228</f>
        <v>41.176484884206282</v>
      </c>
      <c r="F229" s="240">
        <f>Dat_02!D228</f>
        <v>83.114057360768328</v>
      </c>
      <c r="G229" s="240">
        <f>Dat_02!E228</f>
        <v>41.176484884206282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44513</v>
      </c>
      <c r="D230" s="237"/>
      <c r="E230" s="240">
        <f>Dat_02!C229</f>
        <v>23.390989284206277</v>
      </c>
      <c r="F230" s="240">
        <f>Dat_02!D229</f>
        <v>83.114057360768328</v>
      </c>
      <c r="G230" s="240">
        <f>Dat_02!E229</f>
        <v>23.390989284206277</v>
      </c>
      <c r="I230" s="241">
        <f>Dat_02!G229</f>
        <v>0</v>
      </c>
      <c r="J230" s="251" t="str">
        <f>IF(Dat_02!H229=0,"",Dat_02!H229)</f>
        <v/>
      </c>
    </row>
    <row r="231" spans="2:10">
      <c r="B231" s="237"/>
      <c r="C231" s="238">
        <f>Dat_02!B230</f>
        <v>44514</v>
      </c>
      <c r="D231" s="237"/>
      <c r="E231" s="240">
        <f>Dat_02!C230</f>
        <v>24.434203184204414</v>
      </c>
      <c r="F231" s="240">
        <f>Dat_02!D230</f>
        <v>83.114057360768328</v>
      </c>
      <c r="G231" s="240">
        <f>Dat_02!E230</f>
        <v>24.434203184204414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44515</v>
      </c>
      <c r="D232" s="237"/>
      <c r="E232" s="240">
        <f>Dat_02!C231</f>
        <v>34.052250696206279</v>
      </c>
      <c r="F232" s="240">
        <f>Dat_02!D231</f>
        <v>83.114057360768328</v>
      </c>
      <c r="G232" s="240">
        <f>Dat_02!E231</f>
        <v>34.052250696206279</v>
      </c>
      <c r="I232" s="241">
        <f>Dat_02!G231</f>
        <v>83.114057360768328</v>
      </c>
      <c r="J232" s="251" t="str">
        <f>IF(Dat_02!H231=0,"",Dat_02!H231)</f>
        <v/>
      </c>
    </row>
    <row r="233" spans="2:10">
      <c r="B233" s="237"/>
      <c r="C233" s="238">
        <f>Dat_02!B232</f>
        <v>44516</v>
      </c>
      <c r="D233" s="237"/>
      <c r="E233" s="240">
        <f>Dat_02!C232</f>
        <v>28.129850584206277</v>
      </c>
      <c r="F233" s="240">
        <f>Dat_02!D232</f>
        <v>83.114057360768328</v>
      </c>
      <c r="G233" s="240">
        <f>Dat_02!E232</f>
        <v>28.129850584206277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44517</v>
      </c>
      <c r="D234" s="237"/>
      <c r="E234" s="240">
        <f>Dat_02!C233</f>
        <v>16.031524459577522</v>
      </c>
      <c r="F234" s="240">
        <f>Dat_02!D233</f>
        <v>83.114057360768328</v>
      </c>
      <c r="G234" s="240">
        <f>Dat_02!E233</f>
        <v>16.031524459577522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44518</v>
      </c>
      <c r="D235" s="237"/>
      <c r="E235" s="240">
        <f>Dat_02!C234</f>
        <v>19.834301079575656</v>
      </c>
      <c r="F235" s="240">
        <f>Dat_02!D234</f>
        <v>83.114057360768328</v>
      </c>
      <c r="G235" s="240">
        <f>Dat_02!E234</f>
        <v>19.834301079575656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44519</v>
      </c>
      <c r="D236" s="237"/>
      <c r="E236" s="240">
        <f>Dat_02!C235</f>
        <v>29.031869949575658</v>
      </c>
      <c r="F236" s="240">
        <f>Dat_02!D235</f>
        <v>83.114057360768328</v>
      </c>
      <c r="G236" s="240">
        <f>Dat_02!E235</f>
        <v>29.031869949575658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44520</v>
      </c>
      <c r="D237" s="237"/>
      <c r="E237" s="240">
        <f>Dat_02!C236</f>
        <v>25.204199631577517</v>
      </c>
      <c r="F237" s="240">
        <f>Dat_02!D236</f>
        <v>83.114057360768328</v>
      </c>
      <c r="G237" s="240">
        <f>Dat_02!E236</f>
        <v>25.204199631577517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44521</v>
      </c>
      <c r="D238" s="237"/>
      <c r="E238" s="240">
        <f>Dat_02!C237</f>
        <v>27.474410815575656</v>
      </c>
      <c r="F238" s="240">
        <f>Dat_02!D237</f>
        <v>83.114057360768328</v>
      </c>
      <c r="G238" s="240">
        <f>Dat_02!E237</f>
        <v>27.474410815575656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44522</v>
      </c>
      <c r="D239" s="237"/>
      <c r="E239" s="240">
        <f>Dat_02!C238</f>
        <v>27.98157283157752</v>
      </c>
      <c r="F239" s="240">
        <f>Dat_02!D238</f>
        <v>83.114057360768328</v>
      </c>
      <c r="G239" s="240">
        <f>Dat_02!E238</f>
        <v>27.98157283157752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44523</v>
      </c>
      <c r="D240" s="237"/>
      <c r="E240" s="240">
        <f>Dat_02!C239</f>
        <v>26.741202983576585</v>
      </c>
      <c r="F240" s="240">
        <f>Dat_02!D239</f>
        <v>83.114057360768328</v>
      </c>
      <c r="G240" s="240">
        <f>Dat_02!E239</f>
        <v>26.741202983576585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44524</v>
      </c>
      <c r="D241" s="237"/>
      <c r="E241" s="240">
        <f>Dat_02!C240</f>
        <v>45.54969271737734</v>
      </c>
      <c r="F241" s="240">
        <f>Dat_02!D240</f>
        <v>83.114057360768328</v>
      </c>
      <c r="G241" s="240">
        <f>Dat_02!E240</f>
        <v>45.54969271737734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44525</v>
      </c>
      <c r="D242" s="237"/>
      <c r="E242" s="240">
        <f>Dat_02!C241</f>
        <v>47.647484435378267</v>
      </c>
      <c r="F242" s="240">
        <f>Dat_02!D241</f>
        <v>83.114057360768328</v>
      </c>
      <c r="G242" s="240">
        <f>Dat_02!E241</f>
        <v>47.647484435378267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44526</v>
      </c>
      <c r="D243" s="237"/>
      <c r="E243" s="240">
        <f>Dat_02!C242</f>
        <v>47.625536095378266</v>
      </c>
      <c r="F243" s="240">
        <f>Dat_02!D242</f>
        <v>83.114057360768328</v>
      </c>
      <c r="G243" s="240">
        <f>Dat_02!E242</f>
        <v>47.625536095378266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44527</v>
      </c>
      <c r="D244" s="237"/>
      <c r="E244" s="240">
        <f>Dat_02!C243</f>
        <v>51.534761423378264</v>
      </c>
      <c r="F244" s="240">
        <f>Dat_02!D243</f>
        <v>83.114057360768328</v>
      </c>
      <c r="G244" s="240">
        <f>Dat_02!E243</f>
        <v>51.534761423378264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44528</v>
      </c>
      <c r="D245" s="237"/>
      <c r="E245" s="240">
        <f>Dat_02!C244</f>
        <v>44.432550211378263</v>
      </c>
      <c r="F245" s="240">
        <f>Dat_02!D244</f>
        <v>83.114057360768328</v>
      </c>
      <c r="G245" s="240">
        <f>Dat_02!E244</f>
        <v>44.432550211378263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44529</v>
      </c>
      <c r="D246" s="237"/>
      <c r="E246" s="240">
        <f>Dat_02!C245</f>
        <v>53.96349179537733</v>
      </c>
      <c r="F246" s="240">
        <f>Dat_02!D245</f>
        <v>83.114057360768328</v>
      </c>
      <c r="G246" s="240">
        <f>Dat_02!E245</f>
        <v>53.96349179537733</v>
      </c>
      <c r="I246" s="241">
        <f>Dat_02!G245</f>
        <v>0</v>
      </c>
      <c r="J246" s="251" t="str">
        <f>IF(Dat_02!H245=0,"",Dat_02!H245)</f>
        <v/>
      </c>
    </row>
    <row r="247" spans="2:10">
      <c r="B247" s="237" t="s">
        <v>224</v>
      </c>
      <c r="C247" s="238">
        <f>Dat_02!B246</f>
        <v>44530</v>
      </c>
      <c r="D247" s="237"/>
      <c r="E247" s="240">
        <f>Dat_02!C246</f>
        <v>68.858192995378261</v>
      </c>
      <c r="F247" s="240">
        <f>Dat_02!D246</f>
        <v>83.114057360768328</v>
      </c>
      <c r="G247" s="240">
        <f>Dat_02!E246</f>
        <v>68.858192995378261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44531</v>
      </c>
      <c r="D248" s="239"/>
      <c r="E248" s="240">
        <f>Dat_02!C247</f>
        <v>67.914082788547205</v>
      </c>
      <c r="F248" s="240">
        <f>Dat_02!D247</f>
        <v>104.11073943778104</v>
      </c>
      <c r="G248" s="240">
        <f>Dat_02!E247</f>
        <v>67.914082788547205</v>
      </c>
      <c r="I248" s="241">
        <f>Dat_02!G247</f>
        <v>0</v>
      </c>
      <c r="J248" s="251" t="str">
        <f>IF(Dat_02!H247=0,"",Dat_02!H247)</f>
        <v/>
      </c>
    </row>
    <row r="249" spans="2:10">
      <c r="B249" s="237"/>
      <c r="C249" s="238">
        <f>Dat_02!B248</f>
        <v>44532</v>
      </c>
      <c r="D249" s="239"/>
      <c r="E249" s="240">
        <f>Dat_02!C248</f>
        <v>67.634317772550943</v>
      </c>
      <c r="F249" s="240">
        <f>Dat_02!D248</f>
        <v>104.11073943778104</v>
      </c>
      <c r="G249" s="240">
        <f>Dat_02!E248</f>
        <v>67.634317772550943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44533</v>
      </c>
      <c r="D250" s="239"/>
      <c r="E250" s="240">
        <f>Dat_02!C249</f>
        <v>79.771890052547207</v>
      </c>
      <c r="F250" s="240">
        <f>Dat_02!D249</f>
        <v>104.11073943778104</v>
      </c>
      <c r="G250" s="240">
        <f>Dat_02!E249</f>
        <v>79.771890052547207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44534</v>
      </c>
      <c r="D251" s="239"/>
      <c r="E251" s="240">
        <f>Dat_02!C250</f>
        <v>73.835649612549076</v>
      </c>
      <c r="F251" s="240">
        <f>Dat_02!D250</f>
        <v>104.11073943778104</v>
      </c>
      <c r="G251" s="240">
        <f>Dat_02!E250</f>
        <v>73.835649612549076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44535</v>
      </c>
      <c r="D252" s="237"/>
      <c r="E252" s="240">
        <f>Dat_02!C251</f>
        <v>67.854101322548146</v>
      </c>
      <c r="F252" s="240">
        <f>Dat_02!D251</f>
        <v>104.11073943778104</v>
      </c>
      <c r="G252" s="240">
        <f>Dat_02!E251</f>
        <v>67.854101322548146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44536</v>
      </c>
      <c r="D253" s="237"/>
      <c r="E253" s="240">
        <f>Dat_02!C252</f>
        <v>75.36825752454908</v>
      </c>
      <c r="F253" s="240">
        <f>Dat_02!D252</f>
        <v>104.11073943778104</v>
      </c>
      <c r="G253" s="240">
        <f>Dat_02!E252</f>
        <v>75.36825752454908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44537</v>
      </c>
      <c r="D254" s="237"/>
      <c r="E254" s="240">
        <f>Dat_02!C253</f>
        <v>75.19998157054907</v>
      </c>
      <c r="F254" s="240">
        <f>Dat_02!D253</f>
        <v>104.11073943778104</v>
      </c>
      <c r="G254" s="240">
        <f>Dat_02!E253</f>
        <v>75.19998157054907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44538</v>
      </c>
      <c r="D255" s="237"/>
      <c r="E255" s="240">
        <f>Dat_02!C254</f>
        <v>134.12053199479683</v>
      </c>
      <c r="F255" s="240">
        <f>Dat_02!D254</f>
        <v>104.11073943778104</v>
      </c>
      <c r="G255" s="240">
        <f>Dat_02!E254</f>
        <v>104.11073943778104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44539</v>
      </c>
      <c r="D256" s="237"/>
      <c r="E256" s="240">
        <f>Dat_02!C255</f>
        <v>149.83404116679773</v>
      </c>
      <c r="F256" s="240">
        <f>Dat_02!D255</f>
        <v>104.11073943778104</v>
      </c>
      <c r="G256" s="240">
        <f>Dat_02!E255</f>
        <v>104.11073943778104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44540</v>
      </c>
      <c r="D257" s="237"/>
      <c r="E257" s="240">
        <f>Dat_02!C256</f>
        <v>150.75707037479683</v>
      </c>
      <c r="F257" s="240">
        <f>Dat_02!D256</f>
        <v>104.11073943778104</v>
      </c>
      <c r="G257" s="240">
        <f>Dat_02!E256</f>
        <v>104.11073943778104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44541</v>
      </c>
      <c r="D258" s="237"/>
      <c r="E258" s="240">
        <f>Dat_02!C257</f>
        <v>155.9076950487987</v>
      </c>
      <c r="F258" s="240">
        <f>Dat_02!D257</f>
        <v>104.11073943778104</v>
      </c>
      <c r="G258" s="240">
        <f>Dat_02!E257</f>
        <v>104.11073943778104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44542</v>
      </c>
      <c r="D259" s="237"/>
      <c r="E259" s="240">
        <f>Dat_02!C258</f>
        <v>165.94317509679775</v>
      </c>
      <c r="F259" s="240">
        <f>Dat_02!D258</f>
        <v>104.11073943778104</v>
      </c>
      <c r="G259" s="240">
        <f>Dat_02!E258</f>
        <v>104.11073943778104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44543</v>
      </c>
      <c r="D260" s="237"/>
      <c r="E260" s="240">
        <f>Dat_02!C259</f>
        <v>168.94623704479682</v>
      </c>
      <c r="F260" s="240">
        <f>Dat_02!D259</f>
        <v>104.11073943778104</v>
      </c>
      <c r="G260" s="240">
        <f>Dat_02!E259</f>
        <v>104.11073943778104</v>
      </c>
      <c r="I260" s="241">
        <f>Dat_02!G259</f>
        <v>0</v>
      </c>
      <c r="J260" s="251" t="str">
        <f>IF(Dat_02!H259=0,"",Dat_02!H259)</f>
        <v/>
      </c>
    </row>
    <row r="261" spans="2:10">
      <c r="B261" s="237"/>
      <c r="C261" s="238">
        <f>Dat_02!B260</f>
        <v>44544</v>
      </c>
      <c r="D261" s="237"/>
      <c r="E261" s="240">
        <f>Dat_02!C260</f>
        <v>163.42586551079776</v>
      </c>
      <c r="F261" s="240">
        <f>Dat_02!D260</f>
        <v>104.11073943778104</v>
      </c>
      <c r="G261" s="240">
        <f>Dat_02!E260</f>
        <v>104.11073943778104</v>
      </c>
      <c r="I261" s="241">
        <f>Dat_02!G260</f>
        <v>0</v>
      </c>
      <c r="J261" s="251" t="str">
        <f>IF(Dat_02!H260=0,"",Dat_02!H260)</f>
        <v/>
      </c>
    </row>
    <row r="262" spans="2:10">
      <c r="B262" s="237"/>
      <c r="C262" s="238">
        <f>Dat_02!B261</f>
        <v>44545</v>
      </c>
      <c r="D262" s="237"/>
      <c r="E262" s="240">
        <f>Dat_02!C261</f>
        <v>99.20214076305858</v>
      </c>
      <c r="F262" s="240">
        <f>Dat_02!D261</f>
        <v>104.11073943778104</v>
      </c>
      <c r="G262" s="240">
        <f>Dat_02!E261</f>
        <v>99.20214076305858</v>
      </c>
      <c r="I262" s="241">
        <f>Dat_02!G261</f>
        <v>104.11073943778104</v>
      </c>
      <c r="J262" s="251" t="str">
        <f>IF(Dat_02!H261=0,"",Dat_02!H261)</f>
        <v/>
      </c>
    </row>
    <row r="263" spans="2:10">
      <c r="B263" s="237"/>
      <c r="C263" s="238">
        <f>Dat_02!B262</f>
        <v>44546</v>
      </c>
      <c r="D263" s="237"/>
      <c r="E263" s="240">
        <f>Dat_02!C262</f>
        <v>94.316234811056717</v>
      </c>
      <c r="F263" s="240">
        <f>Dat_02!D262</f>
        <v>104.11073943778104</v>
      </c>
      <c r="G263" s="240">
        <f>Dat_02!E262</f>
        <v>94.316234811056717</v>
      </c>
      <c r="I263" s="241">
        <f>Dat_02!G262</f>
        <v>0</v>
      </c>
      <c r="J263" s="251" t="str">
        <f>IF(Dat_02!H262=0,"",Dat_02!H262)</f>
        <v/>
      </c>
    </row>
    <row r="264" spans="2:10">
      <c r="B264" s="237"/>
      <c r="C264" s="238">
        <f>Dat_02!B263</f>
        <v>44547</v>
      </c>
      <c r="D264" s="237"/>
      <c r="E264" s="240">
        <f>Dat_02!C263</f>
        <v>100.71085091105765</v>
      </c>
      <c r="F264" s="240">
        <f>Dat_02!D263</f>
        <v>104.11073943778104</v>
      </c>
      <c r="G264" s="240">
        <f>Dat_02!E263</f>
        <v>100.71085091105765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44548</v>
      </c>
      <c r="D265" s="237"/>
      <c r="E265" s="240">
        <f>Dat_02!C264</f>
        <v>107.73071106705764</v>
      </c>
      <c r="F265" s="240">
        <f>Dat_02!D264</f>
        <v>104.11073943778104</v>
      </c>
      <c r="G265" s="240">
        <f>Dat_02!E264</f>
        <v>104.11073943778104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44549</v>
      </c>
      <c r="D266" s="237"/>
      <c r="E266" s="240">
        <f>Dat_02!C265</f>
        <v>94.236187843058573</v>
      </c>
      <c r="F266" s="240">
        <f>Dat_02!D265</f>
        <v>104.11073943778104</v>
      </c>
      <c r="G266" s="240">
        <f>Dat_02!E265</f>
        <v>94.236187843058573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44550</v>
      </c>
      <c r="D267" s="237"/>
      <c r="E267" s="240">
        <f>Dat_02!C266</f>
        <v>108.97748723105857</v>
      </c>
      <c r="F267" s="240">
        <f>Dat_02!D266</f>
        <v>104.11073943778104</v>
      </c>
      <c r="G267" s="240">
        <f>Dat_02!E266</f>
        <v>104.11073943778104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44551</v>
      </c>
      <c r="D268" s="237"/>
      <c r="E268" s="240">
        <f>Dat_02!C267</f>
        <v>115.96634227105858</v>
      </c>
      <c r="F268" s="240">
        <f>Dat_02!D267</f>
        <v>104.11073943778104</v>
      </c>
      <c r="G268" s="240">
        <f>Dat_02!E267</f>
        <v>104.11073943778104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44552</v>
      </c>
      <c r="D269" s="237"/>
      <c r="E269" s="240">
        <f>Dat_02!C268</f>
        <v>109.5801564097107</v>
      </c>
      <c r="F269" s="240">
        <f>Dat_02!D268</f>
        <v>104.11073943778104</v>
      </c>
      <c r="G269" s="240">
        <f>Dat_02!E268</f>
        <v>104.11073943778104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44553</v>
      </c>
      <c r="D270" s="237"/>
      <c r="E270" s="240">
        <f>Dat_02!C269</f>
        <v>100.54819594570883</v>
      </c>
      <c r="F270" s="240">
        <f>Dat_02!D269</f>
        <v>104.11073943778104</v>
      </c>
      <c r="G270" s="240">
        <f>Dat_02!E269</f>
        <v>100.54819594570883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44554</v>
      </c>
      <c r="D271" s="237"/>
      <c r="E271" s="240">
        <f>Dat_02!C270</f>
        <v>73.15339101971162</v>
      </c>
      <c r="F271" s="240">
        <f>Dat_02!D270</f>
        <v>104.11073943778104</v>
      </c>
      <c r="G271" s="240">
        <f>Dat_02!E270</f>
        <v>73.15339101971162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44555</v>
      </c>
      <c r="D272" s="237"/>
      <c r="E272" s="240">
        <f>Dat_02!C271</f>
        <v>62.947384397708817</v>
      </c>
      <c r="F272" s="240">
        <f>Dat_02!D271</f>
        <v>104.11073943778104</v>
      </c>
      <c r="G272" s="240">
        <f>Dat_02!E271</f>
        <v>62.947384397708817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44556</v>
      </c>
      <c r="D273" s="237"/>
      <c r="E273" s="240">
        <f>Dat_02!C272</f>
        <v>66.909976297710685</v>
      </c>
      <c r="F273" s="240">
        <f>Dat_02!D272</f>
        <v>104.11073943778104</v>
      </c>
      <c r="G273" s="240">
        <f>Dat_02!E272</f>
        <v>66.909976297710685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44557</v>
      </c>
      <c r="D274" s="237"/>
      <c r="E274" s="240">
        <f>Dat_02!C273</f>
        <v>70.186913739709752</v>
      </c>
      <c r="F274" s="240">
        <f>Dat_02!D273</f>
        <v>104.11073943778104</v>
      </c>
      <c r="G274" s="240">
        <f>Dat_02!E273</f>
        <v>70.186913739709752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44558</v>
      </c>
      <c r="D275" s="237"/>
      <c r="E275" s="240">
        <f>Dat_02!C274</f>
        <v>74.018275097710671</v>
      </c>
      <c r="F275" s="240">
        <f>Dat_02!D274</f>
        <v>104.11073943778104</v>
      </c>
      <c r="G275" s="240">
        <f>Dat_02!E274</f>
        <v>74.018275097710671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44559</v>
      </c>
      <c r="D276" s="237"/>
      <c r="E276" s="240">
        <f>Dat_02!C275</f>
        <v>126.29973371740441</v>
      </c>
      <c r="F276" s="240">
        <f>Dat_02!D275</f>
        <v>104.11073943778104</v>
      </c>
      <c r="G276" s="240">
        <f>Dat_02!E275</f>
        <v>104.11073943778104</v>
      </c>
      <c r="I276" s="241">
        <f>Dat_02!G275</f>
        <v>0</v>
      </c>
      <c r="J276" s="251" t="str">
        <f>IF(Dat_02!H275=0,"",Dat_02!H275)</f>
        <v/>
      </c>
    </row>
    <row r="277" spans="2:10">
      <c r="B277" s="237" t="s">
        <v>225</v>
      </c>
      <c r="C277" s="238">
        <f>Dat_02!B276</f>
        <v>44560</v>
      </c>
      <c r="D277" s="237"/>
      <c r="E277" s="240">
        <f>Dat_02!C276</f>
        <v>127.2610685074044</v>
      </c>
      <c r="F277" s="240">
        <f>Dat_02!D276</f>
        <v>104.11073943778104</v>
      </c>
      <c r="G277" s="240">
        <f>Dat_02!E276</f>
        <v>104.11073943778104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44561</v>
      </c>
      <c r="D278" s="239"/>
      <c r="E278" s="240">
        <f>Dat_02!C277</f>
        <v>118.3931635174044</v>
      </c>
      <c r="F278" s="240">
        <f>Dat_02!D277</f>
        <v>104.11073943778104</v>
      </c>
      <c r="G278" s="240">
        <f>Dat_02!E277</f>
        <v>104.11073943778104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44562</v>
      </c>
      <c r="D279" s="239"/>
      <c r="E279" s="240">
        <f>Dat_02!C278</f>
        <v>102.17540151940534</v>
      </c>
      <c r="F279" s="240">
        <f>Dat_02!D278</f>
        <v>117.91214619510544</v>
      </c>
      <c r="G279" s="240">
        <f>Dat_02!E278</f>
        <v>102.17540151940534</v>
      </c>
      <c r="I279" s="241">
        <f>Dat_02!G278</f>
        <v>0</v>
      </c>
      <c r="J279" s="251" t="str">
        <f>IF(Dat_02!H278=0,"",Dat_02!H278)</f>
        <v/>
      </c>
    </row>
    <row r="280" spans="2:10">
      <c r="B280" s="237"/>
      <c r="C280" s="238">
        <f>Dat_02!B279</f>
        <v>44563</v>
      </c>
      <c r="D280" s="237"/>
      <c r="E280" s="240">
        <f>Dat_02!C279</f>
        <v>104.62349681740534</v>
      </c>
      <c r="F280" s="240">
        <f>Dat_02!D279</f>
        <v>117.91214619510544</v>
      </c>
      <c r="G280" s="240">
        <f>Dat_02!E279</f>
        <v>104.62349681740534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44564</v>
      </c>
      <c r="D281" s="237"/>
      <c r="E281" s="240">
        <f>Dat_02!C280</f>
        <v>105.21932554740441</v>
      </c>
      <c r="F281" s="240">
        <f>Dat_02!D280</f>
        <v>117.91214619510544</v>
      </c>
      <c r="G281" s="240">
        <f>Dat_02!E280</f>
        <v>105.21932554740441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44565</v>
      </c>
      <c r="D282" s="237"/>
      <c r="E282" s="240">
        <f>Dat_02!C281</f>
        <v>103.55801551140441</v>
      </c>
      <c r="F282" s="240">
        <f>Dat_02!D281</f>
        <v>117.91214619510544</v>
      </c>
      <c r="G282" s="240">
        <f>Dat_02!E281</f>
        <v>103.55801551140441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44566</v>
      </c>
      <c r="D283" s="237"/>
      <c r="E283" s="240">
        <f>Dat_02!C282</f>
        <v>91.987723495153446</v>
      </c>
      <c r="F283" s="240">
        <f>Dat_02!D282</f>
        <v>117.91214619510544</v>
      </c>
      <c r="G283" s="240">
        <f>Dat_02!E282</f>
        <v>91.987723495153446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44567</v>
      </c>
      <c r="D284" s="237"/>
      <c r="E284" s="240">
        <f>Dat_02!C283</f>
        <v>95.198739353151581</v>
      </c>
      <c r="F284" s="240">
        <f>Dat_02!D283</f>
        <v>117.91214619510544</v>
      </c>
      <c r="G284" s="240">
        <f>Dat_02!E283</f>
        <v>95.198739353151581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44568</v>
      </c>
      <c r="D285" s="237"/>
      <c r="E285" s="240">
        <f>Dat_02!C284</f>
        <v>95.836925759152507</v>
      </c>
      <c r="F285" s="240">
        <f>Dat_02!D284</f>
        <v>117.91214619510544</v>
      </c>
      <c r="G285" s="240">
        <f>Dat_02!E284</f>
        <v>95.836925759152507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44569</v>
      </c>
      <c r="D286" s="237"/>
      <c r="E286" s="240">
        <f>Dat_02!C285</f>
        <v>90.269487789151583</v>
      </c>
      <c r="F286" s="240">
        <f>Dat_02!D285</f>
        <v>117.91214619510544</v>
      </c>
      <c r="G286" s="240">
        <f>Dat_02!E285</f>
        <v>90.269487789151583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44570</v>
      </c>
      <c r="D287" s="237"/>
      <c r="E287" s="240">
        <f>Dat_02!C286</f>
        <v>82.673086073152518</v>
      </c>
      <c r="F287" s="240">
        <f>Dat_02!D286</f>
        <v>117.91214619510544</v>
      </c>
      <c r="G287" s="240">
        <f>Dat_02!E286</f>
        <v>82.673086073152518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44571</v>
      </c>
      <c r="D288" s="237"/>
      <c r="E288" s="240">
        <f>Dat_02!C287</f>
        <v>105.36310315515158</v>
      </c>
      <c r="F288" s="240">
        <f>Dat_02!D287</f>
        <v>117.91214619510544</v>
      </c>
      <c r="G288" s="240">
        <f>Dat_02!E287</f>
        <v>105.36310315515158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44572</v>
      </c>
      <c r="D289" s="237"/>
      <c r="E289" s="240">
        <f>Dat_02!C288</f>
        <v>106.01807528715251</v>
      </c>
      <c r="F289" s="240">
        <f>Dat_02!D288</f>
        <v>117.91214619510544</v>
      </c>
      <c r="G289" s="240">
        <f>Dat_02!E288</f>
        <v>106.01807528715251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44573</v>
      </c>
      <c r="D290" s="237"/>
      <c r="E290" s="240">
        <f>Dat_02!C289</f>
        <v>80.883930473632347</v>
      </c>
      <c r="F290" s="240">
        <f>Dat_02!D289</f>
        <v>117.91214619510544</v>
      </c>
      <c r="G290" s="240">
        <f>Dat_02!E289</f>
        <v>80.883930473632347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44574</v>
      </c>
      <c r="D291" s="237"/>
      <c r="E291" s="240">
        <f>Dat_02!C290</f>
        <v>108.53032502363422</v>
      </c>
      <c r="F291" s="240">
        <f>Dat_02!D290</f>
        <v>117.91214619510544</v>
      </c>
      <c r="G291" s="240">
        <f>Dat_02!E290</f>
        <v>108.53032502363422</v>
      </c>
      <c r="I291" s="241">
        <f>Dat_02!G290</f>
        <v>0</v>
      </c>
      <c r="J291" s="251" t="str">
        <f>IF(Dat_02!H290=0,"",Dat_02!H290)</f>
        <v/>
      </c>
    </row>
    <row r="292" spans="2:10">
      <c r="B292" s="237"/>
      <c r="C292" s="238">
        <f>Dat_02!B291</f>
        <v>44575</v>
      </c>
      <c r="D292" s="237"/>
      <c r="E292" s="240">
        <f>Dat_02!C291</f>
        <v>109.9746273136342</v>
      </c>
      <c r="F292" s="240">
        <f>Dat_02!D291</f>
        <v>117.91214619510544</v>
      </c>
      <c r="G292" s="240">
        <f>Dat_02!E291</f>
        <v>109.9746273136342</v>
      </c>
      <c r="I292" s="241">
        <f>Dat_02!G291</f>
        <v>0</v>
      </c>
      <c r="J292" s="251" t="str">
        <f>IF(Dat_02!H291=0,"",Dat_02!H291)</f>
        <v/>
      </c>
    </row>
    <row r="293" spans="2:10">
      <c r="B293" s="237"/>
      <c r="C293" s="238">
        <f>Dat_02!B292</f>
        <v>44576</v>
      </c>
      <c r="D293" s="237"/>
      <c r="E293" s="240">
        <f>Dat_02!C292</f>
        <v>107.25943700363328</v>
      </c>
      <c r="F293" s="240">
        <f>Dat_02!D292</f>
        <v>117.91214619510544</v>
      </c>
      <c r="G293" s="240">
        <f>Dat_02!E292</f>
        <v>107.25943700363328</v>
      </c>
      <c r="I293" s="241">
        <f>Dat_02!G292</f>
        <v>117.91214619510544</v>
      </c>
      <c r="J293" s="251" t="str">
        <f>IF(Dat_02!H292=0,"",Dat_02!H292)</f>
        <v/>
      </c>
    </row>
    <row r="294" spans="2:10">
      <c r="B294" s="237"/>
      <c r="C294" s="238">
        <f>Dat_02!B293</f>
        <v>44577</v>
      </c>
      <c r="D294" s="237"/>
      <c r="E294" s="240">
        <f>Dat_02!C293</f>
        <v>93.148619171634209</v>
      </c>
      <c r="F294" s="240">
        <f>Dat_02!D293</f>
        <v>117.91214619510544</v>
      </c>
      <c r="G294" s="240">
        <f>Dat_02!E293</f>
        <v>93.148619171634209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44578</v>
      </c>
      <c r="D295" s="237"/>
      <c r="E295" s="240">
        <f>Dat_02!C294</f>
        <v>101.72879704363422</v>
      </c>
      <c r="F295" s="240">
        <f>Dat_02!D294</f>
        <v>117.91214619510544</v>
      </c>
      <c r="G295" s="240">
        <f>Dat_02!E294</f>
        <v>101.72879704363422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44579</v>
      </c>
      <c r="D296" s="237"/>
      <c r="E296" s="240">
        <f>Dat_02!C295</f>
        <v>103.87119560363328</v>
      </c>
      <c r="F296" s="240">
        <f>Dat_02!D295</f>
        <v>117.91214619510544</v>
      </c>
      <c r="G296" s="240">
        <f>Dat_02!E295</f>
        <v>103.87119560363328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44580</v>
      </c>
      <c r="D297" s="237"/>
      <c r="E297" s="240">
        <f>Dat_02!C296</f>
        <v>67.409800574516936</v>
      </c>
      <c r="F297" s="240">
        <f>Dat_02!D296</f>
        <v>117.91214619510544</v>
      </c>
      <c r="G297" s="240">
        <f>Dat_02!E296</f>
        <v>67.409800574516936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44581</v>
      </c>
      <c r="D298" s="237"/>
      <c r="E298" s="240">
        <f>Dat_02!C297</f>
        <v>56.526716274517867</v>
      </c>
      <c r="F298" s="240">
        <f>Dat_02!D297</f>
        <v>117.91214619510544</v>
      </c>
      <c r="G298" s="240">
        <f>Dat_02!E297</f>
        <v>56.526716274517867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44582</v>
      </c>
      <c r="D299" s="237"/>
      <c r="E299" s="240">
        <f>Dat_02!C298</f>
        <v>43.579174246515997</v>
      </c>
      <c r="F299" s="240">
        <f>Dat_02!D298</f>
        <v>117.91214619510544</v>
      </c>
      <c r="G299" s="240">
        <f>Dat_02!E298</f>
        <v>43.579174246515997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44583</v>
      </c>
      <c r="D300" s="237"/>
      <c r="E300" s="240">
        <f>Dat_02!C299</f>
        <v>41.629165836516933</v>
      </c>
      <c r="F300" s="240">
        <f>Dat_02!D299</f>
        <v>117.91214619510544</v>
      </c>
      <c r="G300" s="240">
        <f>Dat_02!E299</f>
        <v>41.629165836516933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44584</v>
      </c>
      <c r="D301" s="237"/>
      <c r="E301" s="240">
        <f>Dat_02!C300</f>
        <v>53.975750974516927</v>
      </c>
      <c r="F301" s="240">
        <f>Dat_02!D300</f>
        <v>117.91214619510544</v>
      </c>
      <c r="G301" s="240">
        <f>Dat_02!E300</f>
        <v>53.975750974516927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44585</v>
      </c>
      <c r="D302" s="237"/>
      <c r="E302" s="240">
        <f>Dat_02!C301</f>
        <v>79.832427634515071</v>
      </c>
      <c r="F302" s="240">
        <f>Dat_02!D301</f>
        <v>117.91214619510544</v>
      </c>
      <c r="G302" s="240">
        <f>Dat_02!E301</f>
        <v>79.832427634515071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44586</v>
      </c>
      <c r="D303" s="237"/>
      <c r="E303" s="240">
        <f>Dat_02!C302</f>
        <v>60.620104462519727</v>
      </c>
      <c r="F303" s="240">
        <f>Dat_02!D302</f>
        <v>117.91214619510544</v>
      </c>
      <c r="G303" s="240">
        <f>Dat_02!E302</f>
        <v>60.620104462519727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44587</v>
      </c>
      <c r="D304" s="237"/>
      <c r="E304" s="240">
        <f>Dat_02!C303</f>
        <v>57.039959710062163</v>
      </c>
      <c r="F304" s="240">
        <f>Dat_02!D303</f>
        <v>117.91214619510544</v>
      </c>
      <c r="G304" s="240">
        <f>Dat_02!E303</f>
        <v>57.039959710062163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44588</v>
      </c>
      <c r="D305" s="237"/>
      <c r="E305" s="240">
        <f>Dat_02!C304</f>
        <v>40.904587002061234</v>
      </c>
      <c r="F305" s="240">
        <f>Dat_02!D304</f>
        <v>117.91214619510544</v>
      </c>
      <c r="G305" s="240">
        <f>Dat_02!E304</f>
        <v>40.904587002061234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44589</v>
      </c>
      <c r="D306" s="237"/>
      <c r="E306" s="240">
        <f>Dat_02!C305</f>
        <v>30.755261530062167</v>
      </c>
      <c r="F306" s="240">
        <f>Dat_02!D305</f>
        <v>117.91214619510544</v>
      </c>
      <c r="G306" s="240">
        <f>Dat_02!E305</f>
        <v>30.755261530062167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44590</v>
      </c>
      <c r="D307" s="237"/>
      <c r="E307" s="240">
        <f>Dat_02!C306</f>
        <v>30.089815514064963</v>
      </c>
      <c r="F307" s="240">
        <f>Dat_02!D306</f>
        <v>117.91214619510544</v>
      </c>
      <c r="G307" s="240">
        <f>Dat_02!E306</f>
        <v>30.089815514064963</v>
      </c>
      <c r="I307" s="241">
        <f>Dat_02!G306</f>
        <v>0</v>
      </c>
      <c r="J307" s="251" t="str">
        <f>IF(Dat_02!H306=0,"",Dat_02!H306)</f>
        <v/>
      </c>
    </row>
    <row r="308" spans="2:10">
      <c r="B308" s="237" t="s">
        <v>226</v>
      </c>
      <c r="C308" s="238">
        <f>Dat_02!B307</f>
        <v>44591</v>
      </c>
      <c r="D308" s="237"/>
      <c r="E308" s="240">
        <f>Dat_02!C307</f>
        <v>28.242457818062167</v>
      </c>
      <c r="F308" s="240">
        <f>Dat_02!D307</f>
        <v>117.91214619510544</v>
      </c>
      <c r="G308" s="240">
        <f>Dat_02!E307</f>
        <v>28.242457818062167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44592</v>
      </c>
      <c r="D309" s="239"/>
      <c r="E309" s="240">
        <f>Dat_02!C308</f>
        <v>26.349692656061233</v>
      </c>
      <c r="F309" s="240">
        <f>Dat_02!D308</f>
        <v>117.91214619510544</v>
      </c>
      <c r="G309" s="240">
        <f>Dat_02!E308</f>
        <v>26.349692656061233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44593</v>
      </c>
      <c r="D310" s="239"/>
      <c r="E310" s="240">
        <f>Dat_02!C309</f>
        <v>21.684615920064957</v>
      </c>
      <c r="F310" s="240">
        <f>Dat_02!D309</f>
        <v>129.94088839596503</v>
      </c>
      <c r="G310" s="240">
        <f>Dat_02!E309</f>
        <v>21.684615920064957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44594</v>
      </c>
      <c r="D311" s="237"/>
      <c r="E311" s="240">
        <f>Dat_02!C310</f>
        <v>41.337833783846577</v>
      </c>
      <c r="F311" s="240">
        <f>Dat_02!D310</f>
        <v>129.94088839596503</v>
      </c>
      <c r="G311" s="240">
        <f>Dat_02!E310</f>
        <v>41.337833783846577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44595</v>
      </c>
      <c r="D312" s="237"/>
      <c r="E312" s="240">
        <f>Dat_02!C311</f>
        <v>40.189233297848432</v>
      </c>
      <c r="F312" s="240">
        <f>Dat_02!D311</f>
        <v>129.94088839596503</v>
      </c>
      <c r="G312" s="240">
        <f>Dat_02!E311</f>
        <v>40.189233297848432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44596</v>
      </c>
      <c r="D313" s="237"/>
      <c r="E313" s="240">
        <f>Dat_02!C312</f>
        <v>39.609134091848432</v>
      </c>
      <c r="F313" s="240">
        <f>Dat_02!D312</f>
        <v>129.94088839596503</v>
      </c>
      <c r="G313" s="240">
        <f>Dat_02!E312</f>
        <v>39.609134091848432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44597</v>
      </c>
      <c r="D314" s="237"/>
      <c r="E314" s="240">
        <f>Dat_02!C313</f>
        <v>23.807867291847504</v>
      </c>
      <c r="F314" s="240">
        <f>Dat_02!D313</f>
        <v>129.94088839596503</v>
      </c>
      <c r="G314" s="240">
        <f>Dat_02!E313</f>
        <v>23.807867291847504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44598</v>
      </c>
      <c r="D315" s="237"/>
      <c r="E315" s="240">
        <f>Dat_02!C314</f>
        <v>28.158227031847506</v>
      </c>
      <c r="F315" s="240">
        <f>Dat_02!D314</f>
        <v>129.94088839596503</v>
      </c>
      <c r="G315" s="240">
        <f>Dat_02!E314</f>
        <v>28.158227031847506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44599</v>
      </c>
      <c r="D316" s="237"/>
      <c r="E316" s="240">
        <f>Dat_02!C315</f>
        <v>30.078230323848437</v>
      </c>
      <c r="F316" s="240">
        <f>Dat_02!D315</f>
        <v>129.94088839596503</v>
      </c>
      <c r="G316" s="240">
        <f>Dat_02!E315</f>
        <v>30.078230323848437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44600</v>
      </c>
      <c r="D317" s="237"/>
      <c r="E317" s="240">
        <f>Dat_02!C316</f>
        <v>31.240118177848437</v>
      </c>
      <c r="F317" s="240">
        <f>Dat_02!D316</f>
        <v>129.94088839596503</v>
      </c>
      <c r="G317" s="240">
        <f>Dat_02!E316</f>
        <v>31.240118177848437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44601</v>
      </c>
      <c r="D318" s="237"/>
      <c r="E318" s="240">
        <f>Dat_02!C317</f>
        <v>35.959938372648338</v>
      </c>
      <c r="F318" s="240">
        <f>Dat_02!D317</f>
        <v>129.94088839596503</v>
      </c>
      <c r="G318" s="240">
        <f>Dat_02!E317</f>
        <v>35.959938372648338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44602</v>
      </c>
      <c r="D319" s="237"/>
      <c r="E319" s="240">
        <f>Dat_02!C318</f>
        <v>43.979555102650203</v>
      </c>
      <c r="F319" s="240">
        <f>Dat_02!D318</f>
        <v>129.94088839596503</v>
      </c>
      <c r="G319" s="240">
        <f>Dat_02!E318</f>
        <v>43.979555102650203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44603</v>
      </c>
      <c r="D320" s="237"/>
      <c r="E320" s="240">
        <f>Dat_02!C319</f>
        <v>49.056240512649268</v>
      </c>
      <c r="F320" s="240">
        <f>Dat_02!D319</f>
        <v>129.94088839596503</v>
      </c>
      <c r="G320" s="240">
        <f>Dat_02!E319</f>
        <v>49.056240512649268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44604</v>
      </c>
      <c r="D321" s="237"/>
      <c r="E321" s="240">
        <f>Dat_02!C320</f>
        <v>37.819610046651128</v>
      </c>
      <c r="F321" s="240">
        <f>Dat_02!D320</f>
        <v>129.94088839596503</v>
      </c>
      <c r="G321" s="240">
        <f>Dat_02!E320</f>
        <v>37.819610046651128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44605</v>
      </c>
      <c r="D322" s="237"/>
      <c r="E322" s="240">
        <f>Dat_02!C321</f>
        <v>19.811390636649268</v>
      </c>
      <c r="F322" s="240">
        <f>Dat_02!D321</f>
        <v>129.94088839596503</v>
      </c>
      <c r="G322" s="240">
        <f>Dat_02!E321</f>
        <v>19.811390636649268</v>
      </c>
      <c r="I322" s="241">
        <f>Dat_02!G321</f>
        <v>0</v>
      </c>
      <c r="J322" s="251" t="str">
        <f>IF(Dat_02!H321=0,"",Dat_02!H321)</f>
        <v/>
      </c>
    </row>
    <row r="323" spans="2:10">
      <c r="B323" s="237"/>
      <c r="C323" s="238">
        <f>Dat_02!B322</f>
        <v>44606</v>
      </c>
      <c r="D323" s="237"/>
      <c r="E323" s="240">
        <f>Dat_02!C322</f>
        <v>28.144312738649269</v>
      </c>
      <c r="F323" s="240">
        <f>Dat_02!D322</f>
        <v>129.94088839596503</v>
      </c>
      <c r="G323" s="240">
        <f>Dat_02!E322</f>
        <v>28.144312738649269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44607</v>
      </c>
      <c r="D324" s="237"/>
      <c r="E324" s="240">
        <f>Dat_02!C323</f>
        <v>35.179346400651127</v>
      </c>
      <c r="F324" s="240">
        <f>Dat_02!D323</f>
        <v>129.94088839596503</v>
      </c>
      <c r="G324" s="240">
        <f>Dat_02!E323</f>
        <v>35.179346400651127</v>
      </c>
      <c r="I324" s="241">
        <f>Dat_02!G323</f>
        <v>129.94088839596503</v>
      </c>
      <c r="J324" s="251" t="str">
        <f>IF(Dat_02!H323=0,"",Dat_02!H323)</f>
        <v/>
      </c>
    </row>
    <row r="325" spans="2:10">
      <c r="B325" s="237"/>
      <c r="C325" s="238">
        <f>Dat_02!B324</f>
        <v>44608</v>
      </c>
      <c r="D325" s="237"/>
      <c r="E325" s="240">
        <f>Dat_02!C324</f>
        <v>29.308234519336924</v>
      </c>
      <c r="F325" s="240">
        <f>Dat_02!D324</f>
        <v>129.94088839596503</v>
      </c>
      <c r="G325" s="240">
        <f>Dat_02!E324</f>
        <v>29.308234519336924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44609</v>
      </c>
      <c r="D326" s="237"/>
      <c r="E326" s="240">
        <f>Dat_02!C325</f>
        <v>44.300511531335061</v>
      </c>
      <c r="F326" s="240">
        <f>Dat_02!D325</f>
        <v>129.94088839596503</v>
      </c>
      <c r="G326" s="240">
        <f>Dat_02!E325</f>
        <v>44.300511531335061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44610</v>
      </c>
      <c r="D327" s="237"/>
      <c r="E327" s="240">
        <f>Dat_02!C326</f>
        <v>48.990083881335998</v>
      </c>
      <c r="F327" s="240">
        <f>Dat_02!D326</f>
        <v>129.94088839596503</v>
      </c>
      <c r="G327" s="240">
        <f>Dat_02!E326</f>
        <v>48.990083881335998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44611</v>
      </c>
      <c r="D328" s="237"/>
      <c r="E328" s="240">
        <f>Dat_02!C327</f>
        <v>35.150478825336926</v>
      </c>
      <c r="F328" s="240">
        <f>Dat_02!D327</f>
        <v>129.94088839596503</v>
      </c>
      <c r="G328" s="240">
        <f>Dat_02!E327</f>
        <v>35.150478825336926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44612</v>
      </c>
      <c r="D329" s="237"/>
      <c r="E329" s="240">
        <f>Dat_02!C328</f>
        <v>40.915745895335995</v>
      </c>
      <c r="F329" s="240">
        <f>Dat_02!D328</f>
        <v>129.94088839596503</v>
      </c>
      <c r="G329" s="240">
        <f>Dat_02!E328</f>
        <v>40.915745895335995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44613</v>
      </c>
      <c r="D330" s="237"/>
      <c r="E330" s="240">
        <f>Dat_02!C329</f>
        <v>43.225565069337854</v>
      </c>
      <c r="F330" s="240">
        <f>Dat_02!D329</f>
        <v>129.94088839596503</v>
      </c>
      <c r="G330" s="240">
        <f>Dat_02!E329</f>
        <v>43.225565069337854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44614</v>
      </c>
      <c r="D331" s="237"/>
      <c r="E331" s="240">
        <f>Dat_02!C330</f>
        <v>42.697630395335061</v>
      </c>
      <c r="F331" s="240">
        <f>Dat_02!D330</f>
        <v>129.94088839596503</v>
      </c>
      <c r="G331" s="240">
        <f>Dat_02!E330</f>
        <v>42.697630395335061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44615</v>
      </c>
      <c r="D332" s="237"/>
      <c r="E332" s="240">
        <f>Dat_02!C331</f>
        <v>32.78974645699244</v>
      </c>
      <c r="F332" s="240">
        <f>Dat_02!D331</f>
        <v>129.94088839596503</v>
      </c>
      <c r="G332" s="240">
        <f>Dat_02!E331</f>
        <v>32.78974645699244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44616</v>
      </c>
      <c r="D333" s="237"/>
      <c r="E333" s="240">
        <f>Dat_02!C332</f>
        <v>38.519276576992446</v>
      </c>
      <c r="F333" s="240">
        <f>Dat_02!D332</f>
        <v>129.94088839596503</v>
      </c>
      <c r="G333" s="240">
        <f>Dat_02!E332</f>
        <v>38.519276576992446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44617</v>
      </c>
      <c r="D334" s="237"/>
      <c r="E334" s="240">
        <f>Dat_02!C333</f>
        <v>32.902420378992446</v>
      </c>
      <c r="F334" s="240">
        <f>Dat_02!D333</f>
        <v>129.94088839596503</v>
      </c>
      <c r="G334" s="240">
        <f>Dat_02!E333</f>
        <v>32.902420378992446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44618</v>
      </c>
      <c r="D335" s="237"/>
      <c r="E335" s="240">
        <f>Dat_02!C334</f>
        <v>33.690067250991511</v>
      </c>
      <c r="F335" s="240">
        <f>Dat_02!D334</f>
        <v>129.94088839596503</v>
      </c>
      <c r="G335" s="240">
        <f>Dat_02!E334</f>
        <v>33.690067250991511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44619</v>
      </c>
      <c r="D336" s="237"/>
      <c r="E336" s="240">
        <f>Dat_02!C335</f>
        <v>33.604968194992445</v>
      </c>
      <c r="F336" s="240">
        <f>Dat_02!D335</f>
        <v>129.94088839596503</v>
      </c>
      <c r="G336" s="240">
        <f>Dat_02!E335</f>
        <v>33.604968194992445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44620</v>
      </c>
      <c r="D337" s="237"/>
      <c r="E337" s="240">
        <f>Dat_02!C336</f>
        <v>25.36323805299244</v>
      </c>
      <c r="F337" s="240">
        <f>Dat_02!D336</f>
        <v>129.94088839596503</v>
      </c>
      <c r="G337" s="240">
        <f>Dat_02!E336</f>
        <v>25.36323805299244</v>
      </c>
      <c r="I337" s="241">
        <f>Dat_02!G336</f>
        <v>0</v>
      </c>
      <c r="J337" s="251" t="str">
        <f>IF(Dat_02!H336=0,"",Dat_02!H336)</f>
        <v/>
      </c>
    </row>
    <row r="338" spans="2:10">
      <c r="B338" s="237" t="s">
        <v>227</v>
      </c>
      <c r="C338" s="238">
        <f>Dat_02!B337</f>
        <v>44621</v>
      </c>
      <c r="D338" s="237"/>
      <c r="E338" s="240">
        <f>Dat_02!C337</f>
        <v>30.564824412993374</v>
      </c>
      <c r="F338" s="240">
        <f>Dat_02!D337</f>
        <v>128.70213492494773</v>
      </c>
      <c r="G338" s="240">
        <f>Dat_02!E337</f>
        <v>30.564824412993374</v>
      </c>
      <c r="I338" s="241">
        <f>Dat_02!G337</f>
        <v>0</v>
      </c>
      <c r="J338" s="251" t="str">
        <f>IF(Dat_02!H337=0,"",Dat_02!H337)</f>
        <v/>
      </c>
    </row>
    <row r="339" spans="2:10">
      <c r="B339" s="237"/>
      <c r="C339" s="238">
        <f>Dat_02!B338</f>
        <v>44622</v>
      </c>
      <c r="D339" s="239"/>
      <c r="E339" s="240">
        <f>Dat_02!C338</f>
        <v>40.530695179673309</v>
      </c>
      <c r="F339" s="240">
        <f>Dat_02!D338</f>
        <v>128.70213492494773</v>
      </c>
      <c r="G339" s="240">
        <f>Dat_02!E338</f>
        <v>40.530695179673309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44623</v>
      </c>
      <c r="D340" s="239"/>
      <c r="E340" s="240">
        <f>Dat_02!C339</f>
        <v>49.14882341967332</v>
      </c>
      <c r="F340" s="240">
        <f>Dat_02!D339</f>
        <v>128.70213492494773</v>
      </c>
      <c r="G340" s="240">
        <f>Dat_02!E339</f>
        <v>49.14882341967332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44624</v>
      </c>
      <c r="D341" s="237"/>
      <c r="E341" s="240">
        <f>Dat_02!C340</f>
        <v>39.083399935674244</v>
      </c>
      <c r="F341" s="240">
        <f>Dat_02!D340</f>
        <v>128.70213492494773</v>
      </c>
      <c r="G341" s="240">
        <f>Dat_02!E340</f>
        <v>39.083399935674244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44625</v>
      </c>
      <c r="D342" s="237"/>
      <c r="E342" s="240">
        <f>Dat_02!C341</f>
        <v>48.772879543674243</v>
      </c>
      <c r="F342" s="240">
        <f>Dat_02!D341</f>
        <v>128.70213492494773</v>
      </c>
      <c r="G342" s="240">
        <f>Dat_02!E341</f>
        <v>48.772879543674243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44626</v>
      </c>
      <c r="D343" s="237"/>
      <c r="E343" s="240">
        <f>Dat_02!C342</f>
        <v>45.452536035673312</v>
      </c>
      <c r="F343" s="240">
        <f>Dat_02!D342</f>
        <v>128.70213492494773</v>
      </c>
      <c r="G343" s="240">
        <f>Dat_02!E342</f>
        <v>45.452536035673312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44627</v>
      </c>
      <c r="D344" s="237"/>
      <c r="E344" s="240">
        <f>Dat_02!C343</f>
        <v>60.45627532367331</v>
      </c>
      <c r="F344" s="240">
        <f>Dat_02!D343</f>
        <v>128.70213492494773</v>
      </c>
      <c r="G344" s="240">
        <f>Dat_02!E343</f>
        <v>60.45627532367331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44628</v>
      </c>
      <c r="D345" s="237"/>
      <c r="E345" s="240">
        <f>Dat_02!C344</f>
        <v>36.779661775673318</v>
      </c>
      <c r="F345" s="240">
        <f>Dat_02!D344</f>
        <v>128.70213492494773</v>
      </c>
      <c r="G345" s="240">
        <f>Dat_02!E344</f>
        <v>36.779661775673318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44629</v>
      </c>
      <c r="D346" s="237"/>
      <c r="E346" s="240">
        <f>Dat_02!C345</f>
        <v>61.948897105205553</v>
      </c>
      <c r="F346" s="240">
        <f>Dat_02!D345</f>
        <v>128.70213492494773</v>
      </c>
      <c r="G346" s="240">
        <f>Dat_02!E345</f>
        <v>61.948897105205553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44630</v>
      </c>
      <c r="D347" s="237"/>
      <c r="E347" s="240">
        <f>Dat_02!C346</f>
        <v>54.524189927205562</v>
      </c>
      <c r="F347" s="240">
        <f>Dat_02!D346</f>
        <v>128.70213492494773</v>
      </c>
      <c r="G347" s="240">
        <f>Dat_02!E346</f>
        <v>54.524189927205562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44631</v>
      </c>
      <c r="D348" s="237"/>
      <c r="E348" s="240">
        <f>Dat_02!C347</f>
        <v>60.358437955205559</v>
      </c>
      <c r="F348" s="240">
        <f>Dat_02!D347</f>
        <v>128.70213492494773</v>
      </c>
      <c r="G348" s="240">
        <f>Dat_02!E347</f>
        <v>60.358437955205559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44632</v>
      </c>
      <c r="D349" s="237"/>
      <c r="E349" s="240">
        <f>Dat_02!C348</f>
        <v>58.907009285206492</v>
      </c>
      <c r="F349" s="240">
        <f>Dat_02!D348</f>
        <v>128.70213492494773</v>
      </c>
      <c r="G349" s="240">
        <f>Dat_02!E348</f>
        <v>58.907009285206492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44633</v>
      </c>
      <c r="D350" s="237"/>
      <c r="E350" s="240">
        <f>Dat_02!C349</f>
        <v>60.282320731206489</v>
      </c>
      <c r="F350" s="240">
        <f>Dat_02!D349</f>
        <v>128.70213492494773</v>
      </c>
      <c r="G350" s="240">
        <f>Dat_02!E349</f>
        <v>60.282320731206489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44634</v>
      </c>
      <c r="D351" s="237"/>
      <c r="E351" s="240">
        <f>Dat_02!C350</f>
        <v>63.400843503205557</v>
      </c>
      <c r="F351" s="240">
        <f>Dat_02!D350</f>
        <v>128.70213492494773</v>
      </c>
      <c r="G351" s="240">
        <f>Dat_02!E350</f>
        <v>63.400843503205557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44635</v>
      </c>
      <c r="D352" s="237"/>
      <c r="E352" s="240">
        <f>Dat_02!C351</f>
        <v>88.450601825206491</v>
      </c>
      <c r="F352" s="240">
        <f>Dat_02!D351</f>
        <v>128.70213492494773</v>
      </c>
      <c r="G352" s="240">
        <f>Dat_02!E351</f>
        <v>88.450601825206491</v>
      </c>
      <c r="I352" s="241">
        <f>Dat_02!G351</f>
        <v>128.70213492494773</v>
      </c>
      <c r="J352" s="251" t="str">
        <f>IF(Dat_02!H351=0,"",Dat_02!H351)</f>
        <v/>
      </c>
    </row>
    <row r="353" spans="2:10">
      <c r="B353" s="237"/>
      <c r="C353" s="238">
        <f>Dat_02!B352</f>
        <v>44636</v>
      </c>
      <c r="D353" s="237"/>
      <c r="E353" s="240">
        <f>Dat_02!C352</f>
        <v>105.66707078317859</v>
      </c>
      <c r="F353" s="240">
        <f>Dat_02!D352</f>
        <v>128.70213492494773</v>
      </c>
      <c r="G353" s="240">
        <f>Dat_02!E352</f>
        <v>105.66707078317859</v>
      </c>
      <c r="I353" s="241">
        <f>Dat_02!G352</f>
        <v>0</v>
      </c>
      <c r="J353" s="251" t="str">
        <f>IF(Dat_02!H352=0,"",Dat_02!H352)</f>
        <v/>
      </c>
    </row>
    <row r="354" spans="2:10">
      <c r="B354" s="237"/>
      <c r="C354" s="238">
        <f>Dat_02!B353</f>
        <v>44637</v>
      </c>
      <c r="D354" s="237"/>
      <c r="E354" s="240">
        <f>Dat_02!C353</f>
        <v>76.224160777176735</v>
      </c>
      <c r="F354" s="240">
        <f>Dat_02!D353</f>
        <v>128.70213492494773</v>
      </c>
      <c r="G354" s="240">
        <f>Dat_02!E353</f>
        <v>76.224160777176735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44638</v>
      </c>
      <c r="D355" s="237"/>
      <c r="E355" s="240">
        <f>Dat_02!C354</f>
        <v>83.524895599177654</v>
      </c>
      <c r="F355" s="240">
        <f>Dat_02!D354</f>
        <v>128.70213492494773</v>
      </c>
      <c r="G355" s="240">
        <f>Dat_02!E354</f>
        <v>83.524895599177654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44639</v>
      </c>
      <c r="D356" s="237"/>
      <c r="E356" s="240">
        <f>Dat_02!C355</f>
        <v>72.561059351177647</v>
      </c>
      <c r="F356" s="240">
        <f>Dat_02!D355</f>
        <v>128.70213492494773</v>
      </c>
      <c r="G356" s="240">
        <f>Dat_02!E355</f>
        <v>72.561059351177647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44640</v>
      </c>
      <c r="D357" s="237"/>
      <c r="E357" s="240">
        <f>Dat_02!C356</f>
        <v>60.778006783177652</v>
      </c>
      <c r="F357" s="240">
        <f>Dat_02!D356</f>
        <v>128.70213492494773</v>
      </c>
      <c r="G357" s="240">
        <f>Dat_02!E356</f>
        <v>60.778006783177652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44641</v>
      </c>
      <c r="D358" s="237"/>
      <c r="E358" s="240">
        <f>Dat_02!C357</f>
        <v>62.648989147177659</v>
      </c>
      <c r="F358" s="240">
        <f>Dat_02!D357</f>
        <v>128.70213492494773</v>
      </c>
      <c r="G358" s="240">
        <f>Dat_02!E357</f>
        <v>62.648989147177659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44642</v>
      </c>
      <c r="D359" s="237"/>
      <c r="E359" s="240">
        <f>Dat_02!C358</f>
        <v>70.72932556117766</v>
      </c>
      <c r="F359" s="240">
        <f>Dat_02!D358</f>
        <v>128.70213492494773</v>
      </c>
      <c r="G359" s="240">
        <f>Dat_02!E358</f>
        <v>70.72932556117766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44643</v>
      </c>
      <c r="D360" s="237"/>
      <c r="E360" s="240">
        <f>Dat_02!C359</f>
        <v>95.725654922288953</v>
      </c>
      <c r="F360" s="240">
        <f>Dat_02!D359</f>
        <v>128.70213492494773</v>
      </c>
      <c r="G360" s="240">
        <f>Dat_02!E359</f>
        <v>95.725654922288953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44644</v>
      </c>
      <c r="D361" s="237"/>
      <c r="E361" s="240">
        <f>Dat_02!C360</f>
        <v>108.49786118828989</v>
      </c>
      <c r="F361" s="240">
        <f>Dat_02!D360</f>
        <v>128.70213492494773</v>
      </c>
      <c r="G361" s="240">
        <f>Dat_02!E360</f>
        <v>108.49786118828989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44645</v>
      </c>
      <c r="D362" s="237"/>
      <c r="E362" s="240">
        <f>Dat_02!C361</f>
        <v>101.05909937829082</v>
      </c>
      <c r="F362" s="240">
        <f>Dat_02!D361</f>
        <v>128.70213492494773</v>
      </c>
      <c r="G362" s="240">
        <f>Dat_02!E361</f>
        <v>101.05909937829082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44646</v>
      </c>
      <c r="D363" s="237"/>
      <c r="E363" s="240">
        <f>Dat_02!C362</f>
        <v>96.864451272288946</v>
      </c>
      <c r="F363" s="240">
        <f>Dat_02!D362</f>
        <v>128.70213492494773</v>
      </c>
      <c r="G363" s="240">
        <f>Dat_02!E362</f>
        <v>96.864451272288946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44647</v>
      </c>
      <c r="D364" s="237"/>
      <c r="E364" s="240">
        <f>Dat_02!C363</f>
        <v>75.323436546289884</v>
      </c>
      <c r="F364" s="240">
        <f>Dat_02!D363</f>
        <v>128.70213492494773</v>
      </c>
      <c r="G364" s="240">
        <f>Dat_02!E363</f>
        <v>75.323436546289884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44648</v>
      </c>
      <c r="D365" s="237"/>
      <c r="E365" s="240">
        <f>Dat_02!C364</f>
        <v>87.279854582288948</v>
      </c>
      <c r="F365" s="240">
        <f>Dat_02!D364</f>
        <v>128.70213492494773</v>
      </c>
      <c r="G365" s="240">
        <f>Dat_02!E364</f>
        <v>87.279854582288948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44649</v>
      </c>
      <c r="D366" s="237"/>
      <c r="E366" s="240">
        <f>Dat_02!C365</f>
        <v>99.326811372289882</v>
      </c>
      <c r="F366" s="240">
        <f>Dat_02!D365</f>
        <v>128.70213492494773</v>
      </c>
      <c r="G366" s="240">
        <f>Dat_02!E365</f>
        <v>99.326811372289882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44650</v>
      </c>
      <c r="D367" s="237"/>
      <c r="E367" s="240">
        <f>Dat_02!C366</f>
        <v>76.055107751458621</v>
      </c>
      <c r="F367" s="240">
        <f>Dat_02!D366</f>
        <v>128.70213492494773</v>
      </c>
      <c r="G367" s="240">
        <f>Dat_02!E366</f>
        <v>76.055107751458621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44651</v>
      </c>
      <c r="D368" s="237"/>
      <c r="E368" s="240">
        <f>Dat_02!C367</f>
        <v>77.66716020745676</v>
      </c>
      <c r="F368" s="240">
        <f>Dat_02!D367</f>
        <v>128.70213492494773</v>
      </c>
      <c r="G368" s="240">
        <f>Dat_02!E367</f>
        <v>77.66716020745676</v>
      </c>
      <c r="I368" s="241">
        <f>Dat_02!G367</f>
        <v>0</v>
      </c>
      <c r="J368" s="251" t="str">
        <f>IF(Dat_02!H367=0,"",Dat_02!H367)</f>
        <v/>
      </c>
    </row>
    <row r="369" spans="2:10">
      <c r="B369" s="239" t="s">
        <v>220</v>
      </c>
      <c r="C369" s="238">
        <f>Dat_02!B368</f>
        <v>44652</v>
      </c>
      <c r="D369" s="239"/>
      <c r="E369" s="240">
        <f>Dat_02!C368</f>
        <v>78.825242601457688</v>
      </c>
      <c r="F369" s="240">
        <f>Dat_02!D368</f>
        <v>125.24455872987446</v>
      </c>
      <c r="G369" s="240">
        <f>Dat_02!E368</f>
        <v>78.825242601457688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44653</v>
      </c>
      <c r="D370" s="239"/>
      <c r="E370" s="240">
        <f>Dat_02!C369</f>
        <v>63.034154265456756</v>
      </c>
      <c r="F370" s="240">
        <f>Dat_02!D369</f>
        <v>125.24455872987446</v>
      </c>
      <c r="G370" s="240">
        <f>Dat_02!E369</f>
        <v>63.034154265456756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44654</v>
      </c>
      <c r="D371" s="237"/>
      <c r="E371" s="240">
        <f>Dat_02!C370</f>
        <v>52.061649857457681</v>
      </c>
      <c r="F371" s="240">
        <f>Dat_02!D370</f>
        <v>125.24455872987446</v>
      </c>
      <c r="G371" s="240">
        <f>Dat_02!E370</f>
        <v>52.061649857457681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44655</v>
      </c>
      <c r="D372" s="237"/>
      <c r="E372" s="240">
        <f>Dat_02!C371</f>
        <v>70.827523007457685</v>
      </c>
      <c r="F372" s="240">
        <f>Dat_02!D371</f>
        <v>125.24455872987446</v>
      </c>
      <c r="G372" s="240">
        <f>Dat_02!E371</f>
        <v>70.827523007457685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44656</v>
      </c>
      <c r="D373" s="237"/>
      <c r="E373" s="240">
        <f>Dat_02!C372</f>
        <v>95.343797031456745</v>
      </c>
      <c r="F373" s="240">
        <f>Dat_02!D372</f>
        <v>125.24455872987446</v>
      </c>
      <c r="G373" s="240">
        <f>Dat_02!E372</f>
        <v>95.343797031456745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44657</v>
      </c>
      <c r="D374" s="237"/>
      <c r="E374" s="240">
        <f>Dat_02!C373</f>
        <v>75.57479875345723</v>
      </c>
      <c r="F374" s="240">
        <f>Dat_02!D373</f>
        <v>125.24455872987446</v>
      </c>
      <c r="G374" s="240">
        <f>Dat_02!E373</f>
        <v>75.57479875345723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44658</v>
      </c>
      <c r="D375" s="237"/>
      <c r="E375" s="240">
        <f>Dat_02!C374</f>
        <v>55.234117899457232</v>
      </c>
      <c r="F375" s="240">
        <f>Dat_02!D374</f>
        <v>125.24455872987446</v>
      </c>
      <c r="G375" s="240">
        <f>Dat_02!E374</f>
        <v>55.234117899457232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44659</v>
      </c>
      <c r="D376" s="237"/>
      <c r="E376" s="240">
        <f>Dat_02!C375</f>
        <v>51.787023833460026</v>
      </c>
      <c r="F376" s="240">
        <f>Dat_02!D375</f>
        <v>125.24455872987446</v>
      </c>
      <c r="G376" s="240">
        <f>Dat_02!E375</f>
        <v>51.787023833460026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44660</v>
      </c>
      <c r="D377" s="237"/>
      <c r="E377" s="240">
        <f>Dat_02!C376</f>
        <v>69.790241067457231</v>
      </c>
      <c r="F377" s="240">
        <f>Dat_02!D376</f>
        <v>125.24455872987446</v>
      </c>
      <c r="G377" s="240">
        <f>Dat_02!E376</f>
        <v>69.790241067457231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44661</v>
      </c>
      <c r="D378" s="237"/>
      <c r="E378" s="240">
        <f>Dat_02!C377</f>
        <v>39.912614189456306</v>
      </c>
      <c r="F378" s="240">
        <f>Dat_02!D377</f>
        <v>125.24455872987446</v>
      </c>
      <c r="G378" s="240">
        <f>Dat_02!E377</f>
        <v>39.912614189456306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44662</v>
      </c>
      <c r="D379" s="237"/>
      <c r="E379" s="240">
        <f>Dat_02!C378</f>
        <v>45.789658089458165</v>
      </c>
      <c r="F379" s="240">
        <f>Dat_02!D378</f>
        <v>125.24455872987446</v>
      </c>
      <c r="G379" s="240">
        <f>Dat_02!E378</f>
        <v>45.789658089458165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44663</v>
      </c>
      <c r="D380" s="237"/>
      <c r="E380" s="240">
        <f>Dat_02!C379</f>
        <v>72.02169132545724</v>
      </c>
      <c r="F380" s="240">
        <f>Dat_02!D379</f>
        <v>125.24455872987446</v>
      </c>
      <c r="G380" s="240">
        <f>Dat_02!E379</f>
        <v>72.02169132545724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44664</v>
      </c>
      <c r="D381" s="237"/>
      <c r="E381" s="240">
        <f>Dat_02!C380</f>
        <v>95.952041481449186</v>
      </c>
      <c r="F381" s="240">
        <f>Dat_02!D380</f>
        <v>125.24455872987446</v>
      </c>
      <c r="G381" s="240">
        <f>Dat_02!E380</f>
        <v>95.952041481449186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44665</v>
      </c>
      <c r="D382" s="237"/>
      <c r="E382" s="240">
        <f>Dat_02!C381</f>
        <v>80.311370453449172</v>
      </c>
      <c r="F382" s="240">
        <f>Dat_02!D381</f>
        <v>125.24455872987446</v>
      </c>
      <c r="G382" s="240">
        <f>Dat_02!E381</f>
        <v>80.311370453449172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44666</v>
      </c>
      <c r="D383" s="237"/>
      <c r="E383" s="240">
        <f>Dat_02!C382</f>
        <v>73.780836233448241</v>
      </c>
      <c r="F383" s="240">
        <f>Dat_02!D382</f>
        <v>125.24455872987446</v>
      </c>
      <c r="G383" s="240">
        <f>Dat_02!E382</f>
        <v>73.780836233448241</v>
      </c>
      <c r="I383" s="241">
        <f>Dat_02!G382</f>
        <v>125.24455872987446</v>
      </c>
      <c r="J383" s="251" t="str">
        <f>IF(Dat_02!H382=0,"",Dat_02!H382)</f>
        <v/>
      </c>
    </row>
    <row r="384" spans="2:10">
      <c r="B384" s="237"/>
      <c r="C384" s="238">
        <f>Dat_02!B383</f>
        <v>44667</v>
      </c>
      <c r="D384" s="237"/>
      <c r="E384" s="240">
        <f>Dat_02!C383</f>
        <v>64.537926637449175</v>
      </c>
      <c r="F384" s="240">
        <f>Dat_02!D383</f>
        <v>125.24455872987446</v>
      </c>
      <c r="G384" s="240">
        <f>Dat_02!E383</f>
        <v>64.537926637449175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44668</v>
      </c>
      <c r="D385" s="237"/>
      <c r="E385" s="240">
        <f>Dat_02!C384</f>
        <v>71.863747119449172</v>
      </c>
      <c r="F385" s="240">
        <f>Dat_02!D384</f>
        <v>125.24455872987446</v>
      </c>
      <c r="G385" s="240">
        <f>Dat_02!E384</f>
        <v>71.863747119449172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44669</v>
      </c>
      <c r="D386" s="237"/>
      <c r="E386" s="240">
        <f>Dat_02!C385</f>
        <v>78.581595269448243</v>
      </c>
      <c r="F386" s="240">
        <f>Dat_02!D385</f>
        <v>125.24455872987446</v>
      </c>
      <c r="G386" s="240">
        <f>Dat_02!E385</f>
        <v>78.581595269448243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44670</v>
      </c>
      <c r="D387" s="237"/>
      <c r="E387" s="240">
        <f>Dat_02!C386</f>
        <v>82.190099059450105</v>
      </c>
      <c r="F387" s="240">
        <f>Dat_02!D386</f>
        <v>125.24455872987446</v>
      </c>
      <c r="G387" s="240">
        <f>Dat_02!E386</f>
        <v>82.190099059450105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44671</v>
      </c>
      <c r="D388" s="237"/>
      <c r="E388" s="240">
        <f>Dat_02!C387</f>
        <v>90.730093421669949</v>
      </c>
      <c r="F388" s="240">
        <f>Dat_02!D387</f>
        <v>125.24455872987446</v>
      </c>
      <c r="G388" s="240">
        <f>Dat_02!E387</f>
        <v>90.730093421669949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44672</v>
      </c>
      <c r="D389" s="237"/>
      <c r="E389" s="240">
        <f>Dat_02!C388</f>
        <v>106.74601708966996</v>
      </c>
      <c r="F389" s="240">
        <f>Dat_02!D388</f>
        <v>125.24455872987446</v>
      </c>
      <c r="G389" s="240">
        <f>Dat_02!E388</f>
        <v>106.74601708966996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44673</v>
      </c>
      <c r="D390" s="237"/>
      <c r="E390" s="240">
        <f>Dat_02!C389</f>
        <v>109.08168919367088</v>
      </c>
      <c r="F390" s="240">
        <f>Dat_02!D389</f>
        <v>125.24455872987446</v>
      </c>
      <c r="G390" s="240">
        <f>Dat_02!E389</f>
        <v>109.08168919367088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44674</v>
      </c>
      <c r="D391" s="237"/>
      <c r="E391" s="240">
        <f>Dat_02!C390</f>
        <v>78.589170011670888</v>
      </c>
      <c r="F391" s="240">
        <f>Dat_02!D390</f>
        <v>125.24455872987446</v>
      </c>
      <c r="G391" s="240">
        <f>Dat_02!E390</f>
        <v>78.589170011670888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44675</v>
      </c>
      <c r="D392" s="237"/>
      <c r="E392" s="240">
        <f>Dat_02!C391</f>
        <v>90.840917781669958</v>
      </c>
      <c r="F392" s="240">
        <f>Dat_02!D391</f>
        <v>125.24455872987446</v>
      </c>
      <c r="G392" s="240">
        <f>Dat_02!E391</f>
        <v>90.840917781669958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44676</v>
      </c>
      <c r="D393" s="237"/>
      <c r="E393" s="240">
        <f>Dat_02!C392</f>
        <v>100.75999283766902</v>
      </c>
      <c r="F393" s="240">
        <f>Dat_02!D392</f>
        <v>125.24455872987446</v>
      </c>
      <c r="G393" s="240">
        <f>Dat_02!E392</f>
        <v>100.75999283766902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44677</v>
      </c>
      <c r="D394" s="237"/>
      <c r="E394" s="240">
        <f>Dat_02!C393</f>
        <v>103.79739729367088</v>
      </c>
      <c r="F394" s="240">
        <f>Dat_02!D393</f>
        <v>125.24455872987446</v>
      </c>
      <c r="G394" s="240">
        <f>Dat_02!E393</f>
        <v>103.79739729367088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44678</v>
      </c>
      <c r="D395" s="237"/>
      <c r="E395" s="240">
        <f>Dat_02!C394</f>
        <v>98.840254420552697</v>
      </c>
      <c r="F395" s="240">
        <f>Dat_02!D394</f>
        <v>125.24455872987446</v>
      </c>
      <c r="G395" s="240">
        <f>Dat_02!E394</f>
        <v>98.840254420552697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44679</v>
      </c>
      <c r="D396" s="237"/>
      <c r="E396" s="240">
        <f>Dat_02!C395</f>
        <v>113.81131618455083</v>
      </c>
      <c r="F396" s="240">
        <f>Dat_02!D395</f>
        <v>125.24455872987446</v>
      </c>
      <c r="G396" s="240">
        <f>Dat_02!E395</f>
        <v>113.81131618455083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44680</v>
      </c>
      <c r="D397" s="237"/>
      <c r="E397" s="240">
        <f>Dat_02!C396</f>
        <v>117.57543488055269</v>
      </c>
      <c r="F397" s="240">
        <f>Dat_02!D396</f>
        <v>125.24455872987446</v>
      </c>
      <c r="G397" s="240">
        <f>Dat_02!E396</f>
        <v>117.57543488055269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44681</v>
      </c>
      <c r="D398" s="237"/>
      <c r="E398" s="240">
        <f>Dat_02!C397</f>
        <v>104.47230393055364</v>
      </c>
      <c r="F398" s="240">
        <f>Dat_02!D397</f>
        <v>125.24455872987446</v>
      </c>
      <c r="G398" s="240">
        <f>Dat_02!E397</f>
        <v>104.47230393055364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/>
      <c r="D399" s="237"/>
      <c r="E399" s="240"/>
      <c r="F399" s="240"/>
      <c r="G399" s="240"/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245</v>
      </c>
    </row>
    <row r="2" spans="1:2">
      <c r="A2" t="s">
        <v>237</v>
      </c>
    </row>
    <row r="3" spans="1:2">
      <c r="A3" t="s">
        <v>233</v>
      </c>
    </row>
    <row r="4" spans="1:2">
      <c r="A4" t="s">
        <v>239</v>
      </c>
    </row>
    <row r="5" spans="1:2">
      <c r="A5" t="s">
        <v>243</v>
      </c>
    </row>
    <row r="6" spans="1:2">
      <c r="A6" t="s">
        <v>241</v>
      </c>
    </row>
    <row r="7" spans="1:2">
      <c r="A7" t="s">
        <v>238</v>
      </c>
    </row>
    <row r="8" spans="1:2">
      <c r="A8" t="s">
        <v>232</v>
      </c>
    </row>
    <row r="9" spans="1:2">
      <c r="A9" t="s">
        <v>246</v>
      </c>
    </row>
    <row r="10" spans="1:2">
      <c r="A10" t="s">
        <v>244</v>
      </c>
    </row>
    <row r="11" spans="1:2">
      <c r="A11" t="s">
        <v>198</v>
      </c>
    </row>
    <row r="12" spans="1:2">
      <c r="A12" t="s">
        <v>235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7" zoomScale="90" zoomScaleNormal="90" workbookViewId="0">
      <selection activeCell="J56" sqref="J56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7" t="s">
        <v>36</v>
      </c>
      <c r="G3" s="347"/>
      <c r="H3" s="347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2018</v>
      </c>
      <c r="C5" s="161" t="s">
        <v>94</v>
      </c>
      <c r="D5" s="157">
        <v>5398.2220399999997</v>
      </c>
      <c r="E5" s="158">
        <v>18538.071</v>
      </c>
      <c r="F5" s="158">
        <v>13015.303654600004</v>
      </c>
      <c r="G5" s="158">
        <v>5440.7395106999993</v>
      </c>
      <c r="H5" s="158">
        <v>9768.7862404958978</v>
      </c>
      <c r="I5" s="248">
        <f t="shared" ref="I5:I52" si="0">D5/E5*100</f>
        <v>29.11965349577094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5616.4103269999996</v>
      </c>
      <c r="E6" s="158">
        <v>18538.071</v>
      </c>
      <c r="F6" s="158">
        <v>13247.693941849997</v>
      </c>
      <c r="G6" s="158">
        <v>5524.0953545999973</v>
      </c>
      <c r="H6" s="158">
        <v>10246.239431537933</v>
      </c>
      <c r="I6" s="248">
        <f t="shared" si="0"/>
        <v>30.296627556340678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9699.4711430000007</v>
      </c>
      <c r="E7" s="158">
        <v>18538.071</v>
      </c>
      <c r="F7" s="158">
        <v>13745.993583199999</v>
      </c>
      <c r="G7" s="158">
        <v>5695.3628017499996</v>
      </c>
      <c r="H7" s="158">
        <v>10704.10729132053</v>
      </c>
      <c r="I7" s="248">
        <f t="shared" si="0"/>
        <v>52.321900930253207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11897.527653000001</v>
      </c>
      <c r="E8" s="158">
        <v>18538.071</v>
      </c>
      <c r="F8" s="158">
        <v>13908.518133250001</v>
      </c>
      <c r="G8" s="158">
        <v>7002.3252599999996</v>
      </c>
      <c r="H8" s="158">
        <v>11260.627811983439</v>
      </c>
      <c r="I8" s="248">
        <f t="shared" si="0"/>
        <v>64.178887075143905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12095.723247</v>
      </c>
      <c r="E9" s="158">
        <v>18538.071</v>
      </c>
      <c r="F9" s="158">
        <v>14103.721296199999</v>
      </c>
      <c r="G9" s="158">
        <v>6966.112517999999</v>
      </c>
      <c r="H9" s="158">
        <v>11479.752390524864</v>
      </c>
      <c r="I9" s="248">
        <f t="shared" si="0"/>
        <v>65.248014461698844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11876.304858</v>
      </c>
      <c r="E10" s="158">
        <v>18538.071</v>
      </c>
      <c r="F10" s="158">
        <v>13746.699392400003</v>
      </c>
      <c r="G10" s="158">
        <v>6477.8415149489419</v>
      </c>
      <c r="H10" s="158">
        <v>10910.385488499473</v>
      </c>
      <c r="I10" s="248">
        <f t="shared" si="0"/>
        <v>64.064404856362884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10246.502908</v>
      </c>
      <c r="E11" s="158">
        <v>18538.071</v>
      </c>
      <c r="F11" s="158">
        <v>12258.390641599992</v>
      </c>
      <c r="G11" s="158">
        <v>5616.0530228510679</v>
      </c>
      <c r="H11" s="158">
        <v>9805.5363168836884</v>
      </c>
      <c r="I11" s="248">
        <f t="shared" si="0"/>
        <v>55.272756847246953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9315.071518714738</v>
      </c>
      <c r="E12" s="158">
        <v>18538.071</v>
      </c>
      <c r="F12" s="158">
        <v>10935.424107500001</v>
      </c>
      <c r="G12" s="158">
        <v>4909.997417874094</v>
      </c>
      <c r="H12" s="158">
        <v>8722.05248320803</v>
      </c>
      <c r="I12" s="248">
        <f t="shared" si="0"/>
        <v>50.24833230337039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8192.9385726801847</v>
      </c>
      <c r="E13" s="158">
        <v>18538.071</v>
      </c>
      <c r="F13" s="158">
        <v>10117.515214899999</v>
      </c>
      <c r="G13" s="158">
        <v>4649.6124081773833</v>
      </c>
      <c r="H13" s="158">
        <v>7980.0246175386947</v>
      </c>
      <c r="I13" s="248">
        <f t="shared" si="0"/>
        <v>44.195205491877687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7628.6385403221575</v>
      </c>
      <c r="E14" s="158">
        <v>18538.071</v>
      </c>
      <c r="F14" s="158">
        <v>9737.2663309</v>
      </c>
      <c r="G14" s="158">
        <v>4395.4606318624037</v>
      </c>
      <c r="H14" s="158">
        <v>7851.3065504312008</v>
      </c>
      <c r="I14" s="248">
        <f t="shared" si="0"/>
        <v>41.151199282396519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2" t="s">
        <v>92</v>
      </c>
      <c r="D15" s="157">
        <v>8008.9796223264248</v>
      </c>
      <c r="E15" s="158">
        <v>18538.071</v>
      </c>
      <c r="F15" s="158">
        <v>11146.955049999997</v>
      </c>
      <c r="G15" s="158">
        <v>4794.2765906499999</v>
      </c>
      <c r="H15" s="158">
        <v>8185.911173848619</v>
      </c>
      <c r="I15" s="248">
        <f t="shared" si="0"/>
        <v>43.202874896349378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2" t="s">
        <v>93</v>
      </c>
      <c r="D16" s="157">
        <v>8172.2198288975096</v>
      </c>
      <c r="E16" s="158">
        <v>18538.071</v>
      </c>
      <c r="F16" s="158">
        <v>13456.058434449991</v>
      </c>
      <c r="G16" s="158">
        <v>5331.3250531999984</v>
      </c>
      <c r="H16" s="158">
        <v>8645.3592049681756</v>
      </c>
      <c r="I16" s="248">
        <f t="shared" si="0"/>
        <v>44.083442278851507</v>
      </c>
      <c r="J16" s="119"/>
      <c r="P16" s="289"/>
      <c r="Q16" s="289"/>
      <c r="R16" s="289"/>
      <c r="S16" s="289"/>
      <c r="T16" s="289"/>
    </row>
    <row r="17" spans="2:20">
      <c r="B17" s="291">
        <v>2019</v>
      </c>
      <c r="C17" s="162" t="s">
        <v>94</v>
      </c>
      <c r="D17" s="157">
        <v>8071.161100088786</v>
      </c>
      <c r="E17" s="158">
        <v>18538.071</v>
      </c>
      <c r="F17" s="158">
        <v>13020.290870750003</v>
      </c>
      <c r="G17" s="158">
        <v>5449.8113076999989</v>
      </c>
      <c r="H17" s="158">
        <v>9388.9296029958969</v>
      </c>
      <c r="I17" s="248">
        <f t="shared" si="0"/>
        <v>43.538300722274641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2" t="s">
        <v>86</v>
      </c>
      <c r="D18" s="157">
        <v>8866.4553178437</v>
      </c>
      <c r="E18" s="158">
        <v>18538.071</v>
      </c>
      <c r="F18" s="158">
        <v>13213.723010049996</v>
      </c>
      <c r="G18" s="158">
        <v>5542.2838559499978</v>
      </c>
      <c r="H18" s="158">
        <v>9889.1240943879329</v>
      </c>
      <c r="I18" s="248">
        <f t="shared" si="0"/>
        <v>47.828359907801087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2" t="s">
        <v>87</v>
      </c>
      <c r="D19" s="157">
        <v>8992.1477604144093</v>
      </c>
      <c r="E19" s="158">
        <v>18538.071</v>
      </c>
      <c r="F19" s="158">
        <v>13690.625142599998</v>
      </c>
      <c r="G19" s="158">
        <v>5759.1679040999989</v>
      </c>
      <c r="H19" s="158">
        <v>10570.14772097053</v>
      </c>
      <c r="I19" s="248">
        <f t="shared" si="0"/>
        <v>48.506383217619621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2" t="s">
        <v>88</v>
      </c>
      <c r="D20" s="157">
        <v>9541.0680132165635</v>
      </c>
      <c r="E20" s="158">
        <v>18538.071</v>
      </c>
      <c r="F20" s="158">
        <v>13853.30312085</v>
      </c>
      <c r="G20" s="158">
        <v>7055.2102049999985</v>
      </c>
      <c r="H20" s="158">
        <v>11183.148309133439</v>
      </c>
      <c r="I20" s="248">
        <f t="shared" si="0"/>
        <v>51.467426212881392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2" t="s">
        <v>87</v>
      </c>
      <c r="D21" s="157">
        <v>9882.00640542582</v>
      </c>
      <c r="E21" s="158">
        <v>18538.071</v>
      </c>
      <c r="F21" s="158">
        <v>14075.916087449999</v>
      </c>
      <c r="G21" s="158">
        <v>7043.3783189999976</v>
      </c>
      <c r="H21" s="158">
        <v>11397.034267874862</v>
      </c>
      <c r="I21" s="248">
        <f t="shared" si="0"/>
        <v>53.306551719571146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2" t="s">
        <v>89</v>
      </c>
      <c r="D22" s="157">
        <v>9327.57464738616</v>
      </c>
      <c r="E22" s="158">
        <v>18538.071</v>
      </c>
      <c r="F22" s="158">
        <v>13746.724281450002</v>
      </c>
      <c r="G22" s="158">
        <v>6538.4545967989416</v>
      </c>
      <c r="H22" s="158">
        <v>10842.690741399472</v>
      </c>
      <c r="I22" s="248">
        <f t="shared" si="0"/>
        <v>50.315777986750398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2" t="s">
        <v>89</v>
      </c>
      <c r="D23" s="157">
        <v>8160.8349135743301</v>
      </c>
      <c r="E23" s="158">
        <v>18538.071</v>
      </c>
      <c r="F23" s="158">
        <v>12260.387398049996</v>
      </c>
      <c r="G23" s="158">
        <v>5677.4335971347564</v>
      </c>
      <c r="H23" s="158">
        <v>9738.8161322836859</v>
      </c>
      <c r="I23" s="248">
        <f t="shared" si="0"/>
        <v>44.022028578778936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2" t="s">
        <v>88</v>
      </c>
      <c r="D24" s="157">
        <v>7263.6708853984701</v>
      </c>
      <c r="E24" s="158">
        <v>18538.071</v>
      </c>
      <c r="F24" s="158">
        <v>10934.703078450004</v>
      </c>
      <c r="G24" s="158">
        <v>4963.102723832124</v>
      </c>
      <c r="H24" s="158">
        <v>8674.1946441437685</v>
      </c>
      <c r="I24" s="248">
        <f t="shared" si="0"/>
        <v>39.182452615476933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2" t="s">
        <v>90</v>
      </c>
      <c r="D25" s="157">
        <v>6466.33274064748</v>
      </c>
      <c r="E25" s="158">
        <v>18538.071</v>
      </c>
      <c r="F25" s="158">
        <v>10145.245921199999</v>
      </c>
      <c r="G25" s="158">
        <v>4679.6100847773832</v>
      </c>
      <c r="H25" s="158">
        <v>7914.693031672703</v>
      </c>
      <c r="I25" s="248">
        <f t="shared" si="0"/>
        <v>34.881367865337658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6358.0428308198098</v>
      </c>
      <c r="E26" s="158">
        <v>18538.071</v>
      </c>
      <c r="F26" s="158">
        <v>9771.2920444499996</v>
      </c>
      <c r="G26" s="158">
        <v>4419.3227575624023</v>
      </c>
      <c r="H26" s="158">
        <v>7790.0287429473083</v>
      </c>
      <c r="I26" s="248">
        <f t="shared" si="0"/>
        <v>34.29721911637845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7808.1870513850999</v>
      </c>
      <c r="E27" s="158">
        <v>18538.071</v>
      </c>
      <c r="F27" s="158">
        <v>11172.260412899997</v>
      </c>
      <c r="G27" s="158">
        <v>4800.2412517000002</v>
      </c>
      <c r="H27" s="158">
        <v>8146.8772984649422</v>
      </c>
      <c r="I27" s="248">
        <f t="shared" si="0"/>
        <v>42.119738625367766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9451.9329261671392</v>
      </c>
      <c r="E28" s="158">
        <v>18538.071</v>
      </c>
      <c r="F28" s="158">
        <v>13395.083468899993</v>
      </c>
      <c r="G28" s="158">
        <v>5326.3089624999975</v>
      </c>
      <c r="H28" s="158">
        <v>8613.6806204130498</v>
      </c>
      <c r="I28" s="248">
        <f t="shared" si="0"/>
        <v>50.986604410821059</v>
      </c>
      <c r="J28" s="119"/>
      <c r="P28" s="289"/>
      <c r="Q28" s="289"/>
      <c r="R28" s="289"/>
      <c r="S28" s="289"/>
      <c r="T28" s="289"/>
    </row>
    <row r="29" spans="2:20">
      <c r="B29" s="291">
        <v>2020</v>
      </c>
      <c r="C29" s="162" t="s">
        <v>94</v>
      </c>
      <c r="D29" s="157">
        <v>10203.8438416341</v>
      </c>
      <c r="E29" s="158">
        <v>18538.071</v>
      </c>
      <c r="F29" s="158">
        <v>13025.278086900002</v>
      </c>
      <c r="G29" s="158">
        <v>5458.8831046999985</v>
      </c>
      <c r="H29" s="158">
        <v>9322.7080025003343</v>
      </c>
      <c r="I29" s="248">
        <f t="shared" si="0"/>
        <v>55.042640853161586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10293.721620606701</v>
      </c>
      <c r="E30" s="158">
        <v>18538.071</v>
      </c>
      <c r="F30" s="158">
        <v>13282.205454749997</v>
      </c>
      <c r="G30" s="158">
        <v>5560.4723572999983</v>
      </c>
      <c r="H30" s="158">
        <v>9851.4627672801198</v>
      </c>
      <c r="I30" s="248">
        <f t="shared" si="0"/>
        <v>55.52746896161257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10922.4629058602</v>
      </c>
      <c r="E31" s="158">
        <v>18538.071</v>
      </c>
      <c r="F31" s="158">
        <v>13779.121679499998</v>
      </c>
      <c r="G31" s="158">
        <v>5822.9730064499981</v>
      </c>
      <c r="H31" s="158">
        <v>10516.451776491249</v>
      </c>
      <c r="I31" s="248">
        <f t="shared" si="0"/>
        <v>58.919090912210883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12482.965359777099</v>
      </c>
      <c r="E32" s="158">
        <v>18538.071</v>
      </c>
      <c r="F32" s="158">
        <v>13901.975652950001</v>
      </c>
      <c r="G32" s="158">
        <v>7108.0951499999992</v>
      </c>
      <c r="H32" s="158">
        <v>11159.497806794267</v>
      </c>
      <c r="I32" s="248">
        <f t="shared" si="0"/>
        <v>67.336916337072509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12968.344471210001</v>
      </c>
      <c r="E33" s="158">
        <v>18538.071</v>
      </c>
      <c r="F33" s="158">
        <v>14115.337503700002</v>
      </c>
      <c r="G33" s="158">
        <v>7120.6441199999972</v>
      </c>
      <c r="H33" s="158">
        <v>11373.399940146151</v>
      </c>
      <c r="I33" s="248">
        <f t="shared" si="0"/>
        <v>69.955199066882429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12284.2351167291</v>
      </c>
      <c r="E34" s="158">
        <v>18538.071</v>
      </c>
      <c r="F34" s="158">
        <v>13804.115890500001</v>
      </c>
      <c r="G34" s="158">
        <v>6599.0676786489421</v>
      </c>
      <c r="H34" s="158">
        <v>10842.247789768779</v>
      </c>
      <c r="I34" s="248">
        <f t="shared" si="0"/>
        <v>66.26490489074672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11078.2673362971</v>
      </c>
      <c r="E35" s="158">
        <v>18538.071</v>
      </c>
      <c r="F35" s="158">
        <v>12335.885264499995</v>
      </c>
      <c r="G35" s="158">
        <v>5738.8141714184449</v>
      </c>
      <c r="H35" s="158">
        <v>9747.2628189624047</v>
      </c>
      <c r="I35" s="248">
        <f t="shared" si="0"/>
        <v>59.75954745397781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9493.5710276489899</v>
      </c>
      <c r="E36" s="158">
        <v>18538.071</v>
      </c>
      <c r="F36" s="158">
        <v>11008.379514400005</v>
      </c>
      <c r="G36" s="158">
        <v>5016.2080297901548</v>
      </c>
      <c r="H36" s="158">
        <v>8682.152701913692</v>
      </c>
      <c r="I36" s="248">
        <f t="shared" si="0"/>
        <v>51.211213009427951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8414.2036093792703</v>
      </c>
      <c r="E37" s="158">
        <v>18538.071</v>
      </c>
      <c r="F37" s="158">
        <v>10216.987657999998</v>
      </c>
      <c r="G37" s="158">
        <v>4709.6077613773832</v>
      </c>
      <c r="H37" s="158">
        <v>7899.635656205076</v>
      </c>
      <c r="I37" s="248">
        <f t="shared" si="0"/>
        <v>45.388776477225008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8468.7189392685304</v>
      </c>
      <c r="E38" s="158">
        <v>18538.071</v>
      </c>
      <c r="F38" s="158">
        <v>9860.0850484999992</v>
      </c>
      <c r="G38" s="158">
        <v>4443.1848832624037</v>
      </c>
      <c r="H38" s="158">
        <v>7706.6327509883004</v>
      </c>
      <c r="I38" s="248">
        <f t="shared" si="0"/>
        <v>45.6828487671049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8407.9337983359892</v>
      </c>
      <c r="E39" s="158">
        <v>18538.071</v>
      </c>
      <c r="F39" s="158">
        <v>11197.565775799998</v>
      </c>
      <c r="G39" s="158">
        <v>4806.2059127499997</v>
      </c>
      <c r="H39" s="158">
        <v>8149.1649360341953</v>
      </c>
      <c r="I39" s="248">
        <f t="shared" si="0"/>
        <v>45.354955207238064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9418.9304168690905</v>
      </c>
      <c r="E40" s="158">
        <v>18538.071</v>
      </c>
      <c r="F40" s="158">
        <v>13334.108503349993</v>
      </c>
      <c r="G40" s="158">
        <v>5321.2928717999985</v>
      </c>
      <c r="H40" s="158">
        <v>8688.9230952214075</v>
      </c>
      <c r="I40" s="248">
        <f t="shared" si="0"/>
        <v>50.808578826076833</v>
      </c>
      <c r="J40" s="119"/>
      <c r="P40" s="289"/>
      <c r="Q40" s="289"/>
      <c r="R40" s="289"/>
      <c r="S40" s="289"/>
      <c r="T40" s="289"/>
    </row>
    <row r="41" spans="2:20">
      <c r="B41" s="291">
        <v>2021</v>
      </c>
      <c r="C41" s="162" t="s">
        <v>94</v>
      </c>
      <c r="D41" s="157">
        <v>9758.5157368181899</v>
      </c>
      <c r="E41" s="158">
        <v>18538.071</v>
      </c>
      <c r="F41" s="158">
        <v>13030.265303050002</v>
      </c>
      <c r="G41" s="158">
        <v>5467.9549016999981</v>
      </c>
      <c r="H41" s="158">
        <v>9460.7335985820428</v>
      </c>
      <c r="I41" s="248">
        <f t="shared" si="0"/>
        <v>52.640405448971414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12661.5058106672</v>
      </c>
      <c r="E42" s="158">
        <v>18538.071</v>
      </c>
      <c r="F42" s="158">
        <v>13350.687899449997</v>
      </c>
      <c r="G42" s="158">
        <v>5578.6608586499988</v>
      </c>
      <c r="H42" s="158">
        <v>10003.035437810451</v>
      </c>
      <c r="I42" s="248">
        <f t="shared" si="0"/>
        <v>68.300017896507143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12144.926731958538</v>
      </c>
      <c r="E43" s="158">
        <v>18538.071</v>
      </c>
      <c r="F43" s="158">
        <v>13867.618216399997</v>
      </c>
      <c r="G43" s="158">
        <v>5886.7781087999983</v>
      </c>
      <c r="H43" s="158">
        <v>10720.346582784256</v>
      </c>
      <c r="I43" s="248">
        <f t="shared" si="0"/>
        <v>65.513433042513086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11299.1892331082</v>
      </c>
      <c r="E44" s="158">
        <v>18538.071</v>
      </c>
      <c r="F44" s="158">
        <v>13950.648185050002</v>
      </c>
      <c r="G44" s="158">
        <v>7160.980094999999</v>
      </c>
      <c r="H44" s="158">
        <v>11307.143756783118</v>
      </c>
      <c r="I44" s="248">
        <f t="shared" si="0"/>
        <v>60.951267438279856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11113.845787991901</v>
      </c>
      <c r="E45" s="158">
        <v>18538.071</v>
      </c>
      <c r="F45" s="158">
        <v>14154.758919950002</v>
      </c>
      <c r="G45" s="158">
        <v>7197.9099209999968</v>
      </c>
      <c r="H45" s="158">
        <v>11468.407586706651</v>
      </c>
      <c r="I45" s="248">
        <f t="shared" si="0"/>
        <v>59.951468456410062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10415.710777083699</v>
      </c>
      <c r="E46" s="158">
        <v>18538.071</v>
      </c>
      <c r="F46" s="158">
        <v>13861.50749955</v>
      </c>
      <c r="G46" s="158">
        <v>6659.6807604989417</v>
      </c>
      <c r="H46" s="158">
        <v>10927.520460105234</v>
      </c>
      <c r="I46" s="248">
        <f t="shared" si="0"/>
        <v>56.185515618554369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8744.6750995529528</v>
      </c>
      <c r="E47" s="158">
        <v>18538.071</v>
      </c>
      <c r="F47" s="158">
        <v>12411.383130949995</v>
      </c>
      <c r="G47" s="158">
        <v>5800.1947457021333</v>
      </c>
      <c r="H47" s="158">
        <v>9824.1360547772583</v>
      </c>
      <c r="I47" s="248">
        <f t="shared" si="0"/>
        <v>47.171440327059663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7124.7383119369397</v>
      </c>
      <c r="E48" s="158">
        <v>18538.071</v>
      </c>
      <c r="F48" s="158">
        <v>11082.055950350004</v>
      </c>
      <c r="G48" s="158">
        <v>5069.3133357481856</v>
      </c>
      <c r="H48" s="158">
        <v>8745.5835792961407</v>
      </c>
      <c r="I48" s="248">
        <f t="shared" si="0"/>
        <v>38.433008007882478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6314.3165171768396</v>
      </c>
      <c r="E49" s="158">
        <v>18538.071</v>
      </c>
      <c r="F49" s="158">
        <v>10288.729394799997</v>
      </c>
      <c r="G49" s="158">
        <v>4739.6054379773832</v>
      </c>
      <c r="H49" s="158">
        <v>7973.9046291740378</v>
      </c>
      <c r="I49" s="248">
        <f t="shared" si="0"/>
        <v>34.061346065493218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5952.5394311548098</v>
      </c>
      <c r="E50" s="158">
        <v>18538.071</v>
      </c>
      <c r="F50" s="158">
        <v>9948.8780525499988</v>
      </c>
      <c r="G50" s="158">
        <v>4467.0470089624023</v>
      </c>
      <c r="H50" s="158">
        <v>7820.7365874517254</v>
      </c>
      <c r="I50" s="248">
        <f t="shared" si="0"/>
        <v>32.109810298788958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5955.5060306251098</v>
      </c>
      <c r="E51" s="158">
        <v>18538.071</v>
      </c>
      <c r="F51" s="158">
        <v>11222.871138699997</v>
      </c>
      <c r="G51" s="158">
        <v>4812.1705738000001</v>
      </c>
      <c r="H51" s="158">
        <v>8187.5351249509931</v>
      </c>
      <c r="I51" s="248">
        <f t="shared" si="0"/>
        <v>32.125813039690641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6678.5636735501203</v>
      </c>
      <c r="E52" s="158">
        <v>18538.071</v>
      </c>
      <c r="F52" s="158">
        <v>13273.133537799993</v>
      </c>
      <c r="G52" s="158">
        <v>5316.2767810999994</v>
      </c>
      <c r="H52" s="158">
        <v>8633.7092310648623</v>
      </c>
      <c r="I52" s="248">
        <f t="shared" si="0"/>
        <v>36.026206143832987</v>
      </c>
      <c r="J52" s="292"/>
      <c r="P52" s="289"/>
      <c r="Q52" s="289"/>
      <c r="R52" s="289"/>
      <c r="S52" s="289"/>
      <c r="T52" s="289"/>
    </row>
    <row r="53" spans="2:20">
      <c r="B53" s="291">
        <v>2022</v>
      </c>
      <c r="C53" s="162" t="s">
        <v>94</v>
      </c>
      <c r="D53" s="157">
        <v>7030.3147235812303</v>
      </c>
      <c r="E53" s="158">
        <v>18538.071</v>
      </c>
      <c r="F53" s="158">
        <v>13035.252519200001</v>
      </c>
      <c r="G53" s="158">
        <v>5477.0266986999977</v>
      </c>
      <c r="H53" s="158">
        <v>9325.0652119229526</v>
      </c>
      <c r="I53" s="248">
        <f>D53/E53*100</f>
        <v>37.923658419375087</v>
      </c>
      <c r="J53" s="292"/>
      <c r="K53" s="272"/>
    </row>
    <row r="54" spans="2:20">
      <c r="B54" s="293" t="e">
        <f>#REF!</f>
        <v>#REF!</v>
      </c>
      <c r="C54" s="162" t="s">
        <v>86</v>
      </c>
      <c r="D54" s="157">
        <v>6849.7365063100897</v>
      </c>
      <c r="E54" s="158">
        <v>18538.071</v>
      </c>
      <c r="F54" s="158">
        <v>13419.170344149999</v>
      </c>
      <c r="G54" s="158">
        <v>5596.8493599999993</v>
      </c>
      <c r="H54" s="158">
        <v>10034.297981343811</v>
      </c>
      <c r="I54" s="248">
        <f t="shared" ref="I54:I64" si="1">D54/E54*100</f>
        <v>36.949564527561094</v>
      </c>
      <c r="J54" s="292"/>
    </row>
    <row r="55" spans="2:20">
      <c r="B55" s="293" t="e">
        <f>#REF!</f>
        <v>#REF!</v>
      </c>
      <c r="C55" s="162" t="s">
        <v>87</v>
      </c>
      <c r="D55" s="157">
        <v>7242.5224796164302</v>
      </c>
      <c r="E55" s="158">
        <v>18538.071</v>
      </c>
      <c r="F55" s="158">
        <v>13898.837668799999</v>
      </c>
      <c r="G55" s="158">
        <v>5950.5832111499976</v>
      </c>
      <c r="H55" s="158">
        <v>10651.382707382183</v>
      </c>
      <c r="I55" s="248">
        <f t="shared" si="1"/>
        <v>39.068371674789844</v>
      </c>
      <c r="J55" s="292">
        <f>I56-I44</f>
        <v>-18.355724152562807</v>
      </c>
    </row>
    <row r="56" spans="2:20">
      <c r="B56" s="293" t="e">
        <f>#REF!</f>
        <v>#REF!</v>
      </c>
      <c r="C56" s="162" t="s">
        <v>88</v>
      </c>
      <c r="D56" s="157">
        <v>7896.3920571419603</v>
      </c>
      <c r="E56" s="158">
        <v>18538.071</v>
      </c>
      <c r="F56" s="158">
        <v>13999.32071715</v>
      </c>
      <c r="G56" s="158">
        <v>7213.8650399999988</v>
      </c>
      <c r="H56" s="158">
        <v>11224.845272938524</v>
      </c>
      <c r="I56" s="248">
        <f t="shared" si="1"/>
        <v>42.595543285717049</v>
      </c>
      <c r="J56" s="292">
        <f>I56-I55</f>
        <v>3.5271716109272049</v>
      </c>
    </row>
    <row r="57" spans="2:20">
      <c r="B57" s="293" t="e">
        <f>#REF!</f>
        <v>#REF!</v>
      </c>
      <c r="C57" s="162" t="s">
        <v>87</v>
      </c>
      <c r="D57" s="157"/>
      <c r="E57" s="158">
        <v>18538.071</v>
      </c>
      <c r="F57" s="158">
        <v>14194.180336200001</v>
      </c>
      <c r="G57" s="158">
        <v>7275.1757219999972</v>
      </c>
      <c r="H57" s="158">
        <v>11376.573024106245</v>
      </c>
      <c r="I57" s="248">
        <f t="shared" si="1"/>
        <v>0</v>
      </c>
    </row>
    <row r="58" spans="2:20">
      <c r="B58" s="293" t="e">
        <f>#REF!</f>
        <v>#REF!</v>
      </c>
      <c r="C58" s="162" t="s">
        <v>89</v>
      </c>
      <c r="D58" s="157"/>
      <c r="E58" s="158">
        <v>18538.071</v>
      </c>
      <c r="F58" s="158">
        <v>13918.899108600002</v>
      </c>
      <c r="G58" s="158">
        <v>6720.2938423489422</v>
      </c>
      <c r="H58" s="158">
        <v>10871.053378959414</v>
      </c>
      <c r="I58" s="248">
        <f t="shared" si="1"/>
        <v>0</v>
      </c>
    </row>
    <row r="59" spans="2:20">
      <c r="B59" s="293" t="e">
        <f>#REF!</f>
        <v>#REF!</v>
      </c>
      <c r="C59" s="162" t="s">
        <v>89</v>
      </c>
      <c r="D59" s="157"/>
      <c r="E59" s="158">
        <v>18538.071</v>
      </c>
      <c r="F59" s="158">
        <v>12486.880997399992</v>
      </c>
      <c r="G59" s="158">
        <v>5861.5753199858218</v>
      </c>
      <c r="H59" s="158">
        <v>9714.3243532549059</v>
      </c>
      <c r="I59" s="248">
        <f t="shared" si="1"/>
        <v>0</v>
      </c>
    </row>
    <row r="60" spans="2:20">
      <c r="B60" s="293" t="e">
        <f>#REF!</f>
        <v>#REF!</v>
      </c>
      <c r="C60" s="162" t="s">
        <v>88</v>
      </c>
      <c r="D60" s="157"/>
      <c r="E60" s="158">
        <v>18538.071</v>
      </c>
      <c r="F60" s="158">
        <v>11155.732386300004</v>
      </c>
      <c r="G60" s="158">
        <v>5122.4186417062165</v>
      </c>
      <c r="H60" s="158">
        <v>8618.9540563929877</v>
      </c>
      <c r="I60" s="248">
        <f t="shared" si="1"/>
        <v>0</v>
      </c>
      <c r="J60" s="292"/>
    </row>
    <row r="61" spans="2:20">
      <c r="B61" s="293" t="e">
        <f>#REF!</f>
        <v>#REF!</v>
      </c>
      <c r="C61" s="162" t="s">
        <v>90</v>
      </c>
      <c r="D61" s="157"/>
      <c r="E61" s="158">
        <v>18538.071</v>
      </c>
      <c r="F61" s="158">
        <v>10360.471131599998</v>
      </c>
      <c r="G61" s="158">
        <v>4769.6031145773832</v>
      </c>
      <c r="H61" s="158">
        <v>7853.1852055328782</v>
      </c>
      <c r="I61" s="248">
        <f t="shared" si="1"/>
        <v>0</v>
      </c>
      <c r="J61" s="292"/>
    </row>
    <row r="62" spans="2:20">
      <c r="B62" s="293" t="e">
        <f>#REF!</f>
        <v>#REF!</v>
      </c>
      <c r="C62" s="162" t="s">
        <v>91</v>
      </c>
      <c r="D62" s="157"/>
      <c r="E62" s="158">
        <v>18538.071</v>
      </c>
      <c r="F62" s="158">
        <v>10037.671056599998</v>
      </c>
      <c r="G62" s="158">
        <v>4490.9091346624027</v>
      </c>
      <c r="H62" s="158">
        <v>7700.931035509464</v>
      </c>
      <c r="I62" s="248">
        <f t="shared" si="1"/>
        <v>0</v>
      </c>
      <c r="J62" s="292"/>
    </row>
    <row r="63" spans="2:20">
      <c r="B63" s="293" t="e">
        <f>#REF!</f>
        <v>#REF!</v>
      </c>
      <c r="C63" s="162" t="s">
        <v>92</v>
      </c>
      <c r="D63" s="157"/>
      <c r="E63" s="158">
        <v>18538.071</v>
      </c>
      <c r="F63" s="158">
        <v>11248.176501599997</v>
      </c>
      <c r="G63" s="158">
        <v>4818.1352348499995</v>
      </c>
      <c r="H63" s="158">
        <v>8119.3286799822454</v>
      </c>
      <c r="I63" s="248">
        <f t="shared" si="1"/>
        <v>0</v>
      </c>
      <c r="J63" s="292"/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13212.158572249993</v>
      </c>
      <c r="G64" s="158">
        <v>5311.2606904000004</v>
      </c>
      <c r="H64" s="158">
        <v>8643.2465402423641</v>
      </c>
      <c r="I64" s="248">
        <f t="shared" si="1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30 de abril de 2022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46" t="s">
        <v>53</v>
      </c>
      <c r="D68" s="346" t="s">
        <v>53</v>
      </c>
      <c r="E68" s="120"/>
      <c r="F68" s="346" t="s">
        <v>42</v>
      </c>
      <c r="G68" s="346"/>
      <c r="H68" s="346" t="s">
        <v>43</v>
      </c>
      <c r="I68" s="346"/>
      <c r="J68" s="346" t="s">
        <v>44</v>
      </c>
      <c r="K68" s="346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5249.5645566666662</v>
      </c>
      <c r="F70" s="259">
        <f>G70/C70</f>
        <v>0.51497743363241621</v>
      </c>
      <c r="G70" s="258">
        <v>1311.553797568843</v>
      </c>
      <c r="H70" s="259">
        <f>I70/D70</f>
        <v>0.12567501227295402</v>
      </c>
      <c r="I70" s="125">
        <v>114.29840746195713</v>
      </c>
      <c r="J70" s="150">
        <f>K70/SUM(C70:D70)</f>
        <v>0.41253788162430627</v>
      </c>
      <c r="K70" s="125">
        <f t="shared" ref="K70:K75" si="2">SUM(G70,I70)</f>
        <v>1425.8522050308002</v>
      </c>
    </row>
    <row r="71" spans="2:11">
      <c r="B71" s="124" t="s">
        <v>47</v>
      </c>
      <c r="C71" s="125">
        <v>1681</v>
      </c>
      <c r="D71" s="125">
        <v>3120.6</v>
      </c>
      <c r="E71" s="258">
        <v>4077.7992333333332</v>
      </c>
      <c r="F71" s="259">
        <f>G71/C71</f>
        <v>0.60218877847256602</v>
      </c>
      <c r="G71" s="258">
        <v>1012.2793366123834</v>
      </c>
      <c r="H71" s="259">
        <f t="shared" ref="H71:H75" si="3">I71/D71</f>
        <v>0.3473740159286442</v>
      </c>
      <c r="I71" s="125">
        <v>1084.0153541069271</v>
      </c>
      <c r="J71" s="150">
        <f t="shared" ref="J71:J76" si="4">K71/SUM(C71:D71)</f>
        <v>0.43658253305550448</v>
      </c>
      <c r="K71" s="125">
        <f t="shared" si="2"/>
        <v>2096.2946907193104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3557.6004000000003</v>
      </c>
      <c r="F72" s="259">
        <f>G72/C72</f>
        <v>0.49397434929001294</v>
      </c>
      <c r="G72" s="258">
        <v>1197.849761003386</v>
      </c>
      <c r="H72" s="259">
        <f t="shared" si="3"/>
        <v>0.35380839316346263</v>
      </c>
      <c r="I72" s="125">
        <v>1341.5961394015253</v>
      </c>
      <c r="J72" s="150">
        <f t="shared" si="4"/>
        <v>0.40848152470926119</v>
      </c>
      <c r="K72" s="125">
        <f t="shared" si="2"/>
        <v>2539.4459004049113</v>
      </c>
    </row>
    <row r="73" spans="2:11">
      <c r="B73" s="124" t="s">
        <v>49</v>
      </c>
      <c r="C73" s="125"/>
      <c r="D73" s="125">
        <v>835.14400000000001</v>
      </c>
      <c r="E73" s="258">
        <v>195.78800000000001</v>
      </c>
      <c r="F73" s="259" t="s">
        <v>18</v>
      </c>
      <c r="G73" s="258" t="s">
        <v>18</v>
      </c>
      <c r="H73" s="259">
        <f t="shared" si="3"/>
        <v>3.5353927211319726E-2</v>
      </c>
      <c r="I73" s="125">
        <v>29.525620186970404</v>
      </c>
      <c r="J73" s="150">
        <f t="shared" si="4"/>
        <v>3.5353927211319726E-2</v>
      </c>
      <c r="K73" s="125">
        <f t="shared" si="2"/>
        <v>29.525620186970404</v>
      </c>
    </row>
    <row r="74" spans="2:11">
      <c r="B74" s="124" t="s">
        <v>50</v>
      </c>
      <c r="C74" s="125">
        <v>180.3</v>
      </c>
      <c r="D74" s="125">
        <v>669.1</v>
      </c>
      <c r="E74" s="258">
        <v>609.78800000000001</v>
      </c>
      <c r="F74" s="259">
        <f>G74/C74</f>
        <v>0.63335552431153841</v>
      </c>
      <c r="G74" s="258">
        <v>114.19400103337038</v>
      </c>
      <c r="H74" s="259">
        <f t="shared" si="3"/>
        <v>0.18271625598451002</v>
      </c>
      <c r="I74" s="125">
        <v>122.25544687923566</v>
      </c>
      <c r="J74" s="150">
        <f t="shared" si="4"/>
        <v>0.27837231918131156</v>
      </c>
      <c r="K74" s="125">
        <f t="shared" si="2"/>
        <v>236.44944791260605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3402.0628400000001</v>
      </c>
      <c r="F75" s="259">
        <f>G75/C75</f>
        <v>0.64727956697214872</v>
      </c>
      <c r="G75" s="258">
        <v>1381.189736628716</v>
      </c>
      <c r="H75" s="259">
        <f t="shared" si="3"/>
        <v>0.76585492350467832</v>
      </c>
      <c r="I75" s="125">
        <v>187.6344562586462</v>
      </c>
      <c r="J75" s="150">
        <f t="shared" si="4"/>
        <v>0.65949181612508379</v>
      </c>
      <c r="K75" s="125">
        <f t="shared" si="2"/>
        <v>1568.8241928873622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17092.603029999998</v>
      </c>
      <c r="F76" s="260">
        <f>G76/C76</f>
        <v>0.55951091041227363</v>
      </c>
      <c r="G76" s="126">
        <f>SUM(G70:G75)</f>
        <v>5017.0666328466987</v>
      </c>
      <c r="H76" s="260">
        <f>I76/D76</f>
        <v>0.3008324798306482</v>
      </c>
      <c r="I76" s="126">
        <f>SUM(I70:I75)</f>
        <v>2879.3254242952617</v>
      </c>
      <c r="J76" s="151">
        <f t="shared" si="4"/>
        <v>0.42595543285717052</v>
      </c>
      <c r="K76" s="126">
        <f>SUM(K70:K75)</f>
        <v>7896.3920571419612</v>
      </c>
    </row>
    <row r="79" spans="2:11">
      <c r="B79" s="165" t="str">
        <f>TEXT(CONCATENATE(TEXT(Dat_01!B2,"dd de mm de aaaa")),"@")</f>
        <v>30 302022 04 302022 2022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30 de abril de 2022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273" zoomScale="77" zoomScaleNormal="77" workbookViewId="0">
      <selection activeCell="F291" sqref="F291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71093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7109375" style="283" bestFit="1" customWidth="1"/>
    <col min="30" max="16384" width="11.42578125" style="283"/>
  </cols>
  <sheetData>
    <row r="1" spans="1:9" ht="60">
      <c r="B1" s="282" t="s">
        <v>143</v>
      </c>
      <c r="C1" s="282" t="s">
        <v>177</v>
      </c>
      <c r="D1" s="282" t="s">
        <v>178</v>
      </c>
    </row>
    <row r="2" spans="1:9">
      <c r="A2" s="283">
        <v>0</v>
      </c>
      <c r="B2" s="284">
        <v>44287</v>
      </c>
      <c r="C2" s="285">
        <v>182.23006700000002</v>
      </c>
      <c r="D2" s="286">
        <v>168.5719670594701</v>
      </c>
      <c r="E2" s="285">
        <f>IF(C2&gt;D2,D2,C2)</f>
        <v>168.5719670594701</v>
      </c>
      <c r="F2" s="288">
        <f>YEAR(B2)</f>
        <v>2021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44288</v>
      </c>
      <c r="C3" s="285">
        <v>76.236577999999994</v>
      </c>
      <c r="D3" s="286">
        <v>168.5719670594701</v>
      </c>
      <c r="E3" s="285">
        <f t="shared" ref="E3:E66" si="0">IF(C3&gt;D3,D3,C3)</f>
        <v>76.236577999999994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44289</v>
      </c>
      <c r="C4" s="285">
        <v>225.27495099999999</v>
      </c>
      <c r="D4" s="286">
        <v>168.5719670594701</v>
      </c>
      <c r="E4" s="285">
        <f t="shared" si="0"/>
        <v>168.5719670594701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44290</v>
      </c>
      <c r="C5" s="285">
        <v>191.12843900000001</v>
      </c>
      <c r="D5" s="286">
        <v>168.5719670594701</v>
      </c>
      <c r="E5" s="285">
        <f t="shared" si="0"/>
        <v>168.5719670594701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44291</v>
      </c>
      <c r="C6" s="285">
        <v>111.212344</v>
      </c>
      <c r="D6" s="286">
        <v>168.5719670594701</v>
      </c>
      <c r="E6" s="285">
        <f t="shared" si="0"/>
        <v>111.212344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44292</v>
      </c>
      <c r="C7" s="285">
        <v>259.98687899999999</v>
      </c>
      <c r="D7" s="286">
        <v>168.5719670594701</v>
      </c>
      <c r="E7" s="285">
        <f t="shared" si="0"/>
        <v>168.5719670594701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44293</v>
      </c>
      <c r="C8" s="285">
        <v>219.57142800000003</v>
      </c>
      <c r="D8" s="286">
        <v>168.5719670594701</v>
      </c>
      <c r="E8" s="285">
        <f t="shared" si="0"/>
        <v>168.5719670594701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44294</v>
      </c>
      <c r="C9" s="285">
        <v>143.101348</v>
      </c>
      <c r="D9" s="286">
        <v>168.5719670594701</v>
      </c>
      <c r="E9" s="285">
        <f t="shared" si="0"/>
        <v>143.101348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44295</v>
      </c>
      <c r="C10" s="285">
        <v>125.65394599999999</v>
      </c>
      <c r="D10" s="286">
        <v>168.5719670594701</v>
      </c>
      <c r="E10" s="285">
        <f t="shared" si="0"/>
        <v>125.65394599999999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44296</v>
      </c>
      <c r="C11" s="285">
        <v>84.318479999999994</v>
      </c>
      <c r="D11" s="286">
        <v>168.5719670594701</v>
      </c>
      <c r="E11" s="285">
        <f t="shared" si="0"/>
        <v>84.318479999999994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44297</v>
      </c>
      <c r="C12" s="285">
        <v>207.286731</v>
      </c>
      <c r="D12" s="286">
        <v>168.5719670594701</v>
      </c>
      <c r="E12" s="285">
        <f t="shared" si="0"/>
        <v>168.5719670594701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44298</v>
      </c>
      <c r="C13" s="285">
        <v>186.45267699999999</v>
      </c>
      <c r="D13" s="286">
        <v>168.5719670594701</v>
      </c>
      <c r="E13" s="285">
        <f t="shared" si="0"/>
        <v>168.5719670594701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44299</v>
      </c>
      <c r="C14" s="285">
        <v>78.329933000000011</v>
      </c>
      <c r="D14" s="286">
        <v>168.5719670594701</v>
      </c>
      <c r="E14" s="285">
        <f t="shared" si="0"/>
        <v>78.329933000000011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44300</v>
      </c>
      <c r="C15" s="285">
        <v>117.66423899999999</v>
      </c>
      <c r="D15" s="286">
        <v>168.5719670594701</v>
      </c>
      <c r="E15" s="285">
        <f t="shared" si="0"/>
        <v>117.66423899999999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44301</v>
      </c>
      <c r="C16" s="285">
        <v>192.73874000000001</v>
      </c>
      <c r="D16" s="286">
        <v>168.5719670594701</v>
      </c>
      <c r="E16" s="285">
        <f t="shared" si="0"/>
        <v>168.5719670594701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A</v>
      </c>
      <c r="H16" s="287" t="str">
        <f t="shared" si="2"/>
        <v>168,6</v>
      </c>
      <c r="I16" s="288"/>
    </row>
    <row r="17" spans="1:9">
      <c r="A17" s="283">
        <v>15</v>
      </c>
      <c r="B17" s="284">
        <v>44302</v>
      </c>
      <c r="C17" s="285">
        <v>243.00871600000002</v>
      </c>
      <c r="D17" s="286">
        <v>168.5719670594701</v>
      </c>
      <c r="E17" s="285">
        <f t="shared" si="0"/>
        <v>168.5719670594701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44303</v>
      </c>
      <c r="C18" s="285">
        <v>227.67860700000003</v>
      </c>
      <c r="D18" s="286">
        <v>168.5719670594701</v>
      </c>
      <c r="E18" s="285">
        <f t="shared" si="0"/>
        <v>168.5719670594701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44304</v>
      </c>
      <c r="C19" s="285">
        <v>122.06965699999999</v>
      </c>
      <c r="D19" s="286">
        <v>168.5719670594701</v>
      </c>
      <c r="E19" s="285">
        <f t="shared" si="0"/>
        <v>122.06965699999999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44305</v>
      </c>
      <c r="C20" s="285">
        <v>63.650571999999997</v>
      </c>
      <c r="D20" s="286">
        <v>168.5719670594701</v>
      </c>
      <c r="E20" s="285">
        <f t="shared" si="0"/>
        <v>63.650571999999997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44306</v>
      </c>
      <c r="C21" s="285">
        <v>47.180656999999997</v>
      </c>
      <c r="D21" s="286">
        <v>168.5719670594701</v>
      </c>
      <c r="E21" s="285">
        <f t="shared" si="0"/>
        <v>47.180656999999997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44307</v>
      </c>
      <c r="C22" s="285">
        <v>40.098292000000001</v>
      </c>
      <c r="D22" s="286">
        <v>168.5719670594701</v>
      </c>
      <c r="E22" s="285">
        <f t="shared" si="0"/>
        <v>40.098292000000001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44308</v>
      </c>
      <c r="C23" s="285">
        <v>63.853379999999994</v>
      </c>
      <c r="D23" s="286">
        <v>168.5719670594701</v>
      </c>
      <c r="E23" s="285">
        <f t="shared" si="0"/>
        <v>63.853379999999994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44309</v>
      </c>
      <c r="C24" s="285">
        <v>189.36308600000001</v>
      </c>
      <c r="D24" s="286">
        <v>168.5719670594701</v>
      </c>
      <c r="E24" s="285">
        <f t="shared" si="0"/>
        <v>168.5719670594701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44310</v>
      </c>
      <c r="C25" s="285">
        <v>221.39314300000001</v>
      </c>
      <c r="D25" s="286">
        <v>168.5719670594701</v>
      </c>
      <c r="E25" s="285">
        <f t="shared" si="0"/>
        <v>168.5719670594701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44311</v>
      </c>
      <c r="C26" s="285">
        <v>138.57859400000001</v>
      </c>
      <c r="D26" s="286">
        <v>168.5719670594701</v>
      </c>
      <c r="E26" s="285">
        <f t="shared" si="0"/>
        <v>138.57859400000001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44312</v>
      </c>
      <c r="C27" s="285">
        <v>52.446192000000003</v>
      </c>
      <c r="D27" s="286">
        <v>168.5719670594701</v>
      </c>
      <c r="E27" s="285">
        <f t="shared" si="0"/>
        <v>52.446192000000003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44313</v>
      </c>
      <c r="C28" s="285">
        <v>55.059716999999999</v>
      </c>
      <c r="D28" s="286">
        <v>168.5719670594701</v>
      </c>
      <c r="E28" s="285">
        <f t="shared" si="0"/>
        <v>55.059716999999999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44314</v>
      </c>
      <c r="C29" s="285">
        <v>64.012263000000004</v>
      </c>
      <c r="D29" s="286">
        <v>168.5719670594701</v>
      </c>
      <c r="E29" s="285">
        <f t="shared" si="0"/>
        <v>64.012263000000004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44315</v>
      </c>
      <c r="C30" s="285">
        <v>87.662492</v>
      </c>
      <c r="D30" s="286">
        <v>168.5719670594701</v>
      </c>
      <c r="E30" s="285">
        <f t="shared" si="0"/>
        <v>87.662492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44316</v>
      </c>
      <c r="C31" s="285">
        <v>73.165069000000003</v>
      </c>
      <c r="D31" s="286">
        <v>168.5719670594701</v>
      </c>
      <c r="E31" s="285">
        <f t="shared" si="0"/>
        <v>73.165069000000003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44317</v>
      </c>
      <c r="C32" s="285">
        <v>168.07542999999998</v>
      </c>
      <c r="D32" s="286">
        <v>148.21505251824942</v>
      </c>
      <c r="E32" s="285">
        <f t="shared" si="0"/>
        <v>148.21505251824942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44318</v>
      </c>
      <c r="C33" s="285">
        <v>90.772222999999997</v>
      </c>
      <c r="D33" s="286">
        <v>148.21505251824942</v>
      </c>
      <c r="E33" s="285">
        <f t="shared" si="0"/>
        <v>90.772222999999997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44319</v>
      </c>
      <c r="C34" s="285">
        <v>108.662935</v>
      </c>
      <c r="D34" s="286">
        <v>148.21505251824942</v>
      </c>
      <c r="E34" s="285">
        <f t="shared" si="0"/>
        <v>108.662935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44320</v>
      </c>
      <c r="C35" s="285">
        <v>61.359756999999995</v>
      </c>
      <c r="D35" s="286">
        <v>148.21505251824942</v>
      </c>
      <c r="E35" s="285">
        <f t="shared" si="0"/>
        <v>61.359756999999995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44321</v>
      </c>
      <c r="C36" s="285">
        <v>77.207909000000001</v>
      </c>
      <c r="D36" s="286">
        <v>148.21505251824942</v>
      </c>
      <c r="E36" s="285">
        <f t="shared" si="0"/>
        <v>77.207909000000001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44322</v>
      </c>
      <c r="C37" s="285">
        <v>120.717904</v>
      </c>
      <c r="D37" s="286">
        <v>148.21505251824942</v>
      </c>
      <c r="E37" s="285">
        <f t="shared" si="0"/>
        <v>120.717904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44323</v>
      </c>
      <c r="C38" s="285">
        <v>91.632914</v>
      </c>
      <c r="D38" s="286">
        <v>148.21505251824942</v>
      </c>
      <c r="E38" s="285">
        <f t="shared" si="0"/>
        <v>91.632914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44324</v>
      </c>
      <c r="C39" s="285">
        <v>192.913725</v>
      </c>
      <c r="D39" s="286">
        <v>148.21505251824942</v>
      </c>
      <c r="E39" s="285">
        <f t="shared" si="0"/>
        <v>148.21505251824942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44325</v>
      </c>
      <c r="C40" s="285">
        <v>250.586984</v>
      </c>
      <c r="D40" s="286">
        <v>148.21505251824942</v>
      </c>
      <c r="E40" s="285">
        <f t="shared" si="0"/>
        <v>148.21505251824942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44326</v>
      </c>
      <c r="C41" s="285">
        <v>183.57865900000002</v>
      </c>
      <c r="D41" s="286">
        <v>148.21505251824942</v>
      </c>
      <c r="E41" s="285">
        <f t="shared" si="0"/>
        <v>148.21505251824942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44327</v>
      </c>
      <c r="C42" s="285">
        <v>278.169061</v>
      </c>
      <c r="D42" s="286">
        <v>148.21505251824942</v>
      </c>
      <c r="E42" s="285">
        <f t="shared" si="0"/>
        <v>148.21505251824942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44328</v>
      </c>
      <c r="C43" s="285">
        <v>291.86210899999998</v>
      </c>
      <c r="D43" s="286">
        <v>148.21505251824942</v>
      </c>
      <c r="E43" s="285">
        <f t="shared" si="0"/>
        <v>148.21505251824942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44329</v>
      </c>
      <c r="C44" s="285">
        <v>229.81404599999999</v>
      </c>
      <c r="D44" s="286">
        <v>148.21505251824942</v>
      </c>
      <c r="E44" s="285">
        <f t="shared" si="0"/>
        <v>148.21505251824942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44330</v>
      </c>
      <c r="C45" s="285">
        <v>204.91981099999998</v>
      </c>
      <c r="D45" s="286">
        <v>148.21505251824942</v>
      </c>
      <c r="E45" s="285">
        <f t="shared" si="0"/>
        <v>148.21505251824942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44331</v>
      </c>
      <c r="C46" s="285">
        <v>269.403255</v>
      </c>
      <c r="D46" s="286">
        <v>148.21505251824942</v>
      </c>
      <c r="E46" s="285">
        <f t="shared" si="0"/>
        <v>148.21505251824942</v>
      </c>
      <c r="F46" s="295"/>
      <c r="G46" s="199" t="str">
        <f t="shared" si="1"/>
        <v>M</v>
      </c>
      <c r="H46" s="287" t="str">
        <f t="shared" si="2"/>
        <v>148,2</v>
      </c>
      <c r="I46" s="288"/>
    </row>
    <row r="47" spans="1:9">
      <c r="A47" s="283">
        <v>45</v>
      </c>
      <c r="B47" s="284">
        <v>44332</v>
      </c>
      <c r="C47" s="285">
        <v>292.65579599999995</v>
      </c>
      <c r="D47" s="286">
        <v>148.21505251824942</v>
      </c>
      <c r="E47" s="285">
        <f t="shared" si="0"/>
        <v>148.21505251824942</v>
      </c>
      <c r="F47" s="295"/>
      <c r="G47" s="199" t="str">
        <f t="shared" si="1"/>
        <v/>
      </c>
      <c r="H47" s="287" t="str">
        <f t="shared" si="2"/>
        <v/>
      </c>
      <c r="I47" s="288"/>
    </row>
    <row r="48" spans="1:9">
      <c r="A48" s="283">
        <v>46</v>
      </c>
      <c r="B48" s="284">
        <v>44333</v>
      </c>
      <c r="C48" s="285">
        <v>106.187793</v>
      </c>
      <c r="D48" s="286">
        <v>148.21505251824942</v>
      </c>
      <c r="E48" s="285">
        <f t="shared" si="0"/>
        <v>106.187793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44334</v>
      </c>
      <c r="C49" s="285">
        <v>186.68162099999998</v>
      </c>
      <c r="D49" s="286">
        <v>148.21505251824942</v>
      </c>
      <c r="E49" s="285">
        <f t="shared" si="0"/>
        <v>148.21505251824942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44335</v>
      </c>
      <c r="C50" s="285">
        <v>149.783219</v>
      </c>
      <c r="D50" s="286">
        <v>148.21505251824942</v>
      </c>
      <c r="E50" s="285">
        <f t="shared" si="0"/>
        <v>148.21505251824942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44336</v>
      </c>
      <c r="C51" s="285">
        <v>87.604952000000011</v>
      </c>
      <c r="D51" s="286">
        <v>148.21505251824942</v>
      </c>
      <c r="E51" s="285">
        <f t="shared" si="0"/>
        <v>87.604952000000011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44337</v>
      </c>
      <c r="C52" s="285">
        <v>147.67504</v>
      </c>
      <c r="D52" s="286">
        <v>148.21505251824942</v>
      </c>
      <c r="E52" s="285">
        <f t="shared" si="0"/>
        <v>147.67504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44338</v>
      </c>
      <c r="C53" s="285">
        <v>119.544276</v>
      </c>
      <c r="D53" s="286">
        <v>148.21505251824942</v>
      </c>
      <c r="E53" s="285">
        <f t="shared" si="0"/>
        <v>119.544276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44339</v>
      </c>
      <c r="C54" s="285">
        <v>120.53874999999999</v>
      </c>
      <c r="D54" s="286">
        <v>148.21505251824942</v>
      </c>
      <c r="E54" s="285">
        <f t="shared" si="0"/>
        <v>120.53874999999999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44340</v>
      </c>
      <c r="C55" s="285">
        <v>174.24223599999999</v>
      </c>
      <c r="D55" s="286">
        <v>148.21505251824942</v>
      </c>
      <c r="E55" s="285">
        <f t="shared" si="0"/>
        <v>148.21505251824942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44341</v>
      </c>
      <c r="C56" s="285">
        <v>133.723097</v>
      </c>
      <c r="D56" s="286">
        <v>148.21505251824942</v>
      </c>
      <c r="E56" s="285">
        <f t="shared" si="0"/>
        <v>133.723097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44342</v>
      </c>
      <c r="C57" s="285">
        <v>88.333927000000003</v>
      </c>
      <c r="D57" s="286">
        <v>148.21505251824942</v>
      </c>
      <c r="E57" s="285">
        <f t="shared" si="0"/>
        <v>88.333927000000003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44343</v>
      </c>
      <c r="C58" s="285">
        <v>52.269663999999999</v>
      </c>
      <c r="D58" s="286">
        <v>148.21505251824942</v>
      </c>
      <c r="E58" s="285">
        <f t="shared" si="0"/>
        <v>52.269663999999999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44344</v>
      </c>
      <c r="C59" s="285">
        <v>48.855035000000001</v>
      </c>
      <c r="D59" s="286">
        <v>148.21505251824942</v>
      </c>
      <c r="E59" s="285">
        <f t="shared" si="0"/>
        <v>48.855035000000001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44345</v>
      </c>
      <c r="C60" s="285">
        <v>81.927820999999994</v>
      </c>
      <c r="D60" s="286">
        <v>148.21505251824942</v>
      </c>
      <c r="E60" s="285">
        <f t="shared" si="0"/>
        <v>81.927820999999994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44346</v>
      </c>
      <c r="C61" s="285">
        <v>117.86642999999999</v>
      </c>
      <c r="D61" s="286">
        <v>148.21505251824942</v>
      </c>
      <c r="E61" s="285">
        <f t="shared" si="0"/>
        <v>117.86642999999999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44347</v>
      </c>
      <c r="C62" s="285">
        <v>107.58640800000001</v>
      </c>
      <c r="D62" s="286">
        <v>148.21505251824942</v>
      </c>
      <c r="E62" s="285">
        <f t="shared" si="0"/>
        <v>107.58640800000001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44348</v>
      </c>
      <c r="C63" s="285">
        <v>104.231497</v>
      </c>
      <c r="D63" s="286">
        <v>125.35116599614517</v>
      </c>
      <c r="E63" s="285">
        <f t="shared" si="0"/>
        <v>104.231497</v>
      </c>
      <c r="F63" s="288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44349</v>
      </c>
      <c r="C64" s="285">
        <v>60.775770999999999</v>
      </c>
      <c r="D64" s="286">
        <v>125.35116599614517</v>
      </c>
      <c r="E64" s="285">
        <f t="shared" si="0"/>
        <v>60.775770999999999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44350</v>
      </c>
      <c r="C65" s="285">
        <v>124.33124000000001</v>
      </c>
      <c r="D65" s="286">
        <v>125.35116599614517</v>
      </c>
      <c r="E65" s="285">
        <f t="shared" si="0"/>
        <v>124.33124000000001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44351</v>
      </c>
      <c r="C66" s="285">
        <v>102.700847</v>
      </c>
      <c r="D66" s="286">
        <v>125.35116599614517</v>
      </c>
      <c r="E66" s="285">
        <f t="shared" si="0"/>
        <v>102.700847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44352</v>
      </c>
      <c r="C67" s="285">
        <v>87.224457999999998</v>
      </c>
      <c r="D67" s="286">
        <v>125.35116599614517</v>
      </c>
      <c r="E67" s="285">
        <f t="shared" ref="E67:E130" si="3">IF(C67&gt;D67,D67,C67)</f>
        <v>87.224457999999998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44353</v>
      </c>
      <c r="C68" s="285">
        <v>124.34185400000001</v>
      </c>
      <c r="D68" s="286">
        <v>125.35116599614517</v>
      </c>
      <c r="E68" s="285">
        <f t="shared" si="3"/>
        <v>124.34185400000001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44354</v>
      </c>
      <c r="C69" s="285">
        <v>101.42814199999999</v>
      </c>
      <c r="D69" s="286">
        <v>125.35116599614517</v>
      </c>
      <c r="E69" s="285">
        <f t="shared" si="3"/>
        <v>101.42814199999999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44355</v>
      </c>
      <c r="C70" s="285">
        <v>72.182373999999996</v>
      </c>
      <c r="D70" s="286">
        <v>125.35116599614517</v>
      </c>
      <c r="E70" s="285">
        <f t="shared" si="3"/>
        <v>72.182373999999996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44356</v>
      </c>
      <c r="C71" s="285">
        <v>96.903625000000005</v>
      </c>
      <c r="D71" s="286">
        <v>125.35116599614517</v>
      </c>
      <c r="E71" s="285">
        <f t="shared" si="3"/>
        <v>96.903625000000005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44357</v>
      </c>
      <c r="C72" s="285">
        <v>108.534159</v>
      </c>
      <c r="D72" s="286">
        <v>125.35116599614517</v>
      </c>
      <c r="E72" s="285">
        <f t="shared" si="3"/>
        <v>108.534159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44358</v>
      </c>
      <c r="C73" s="285">
        <v>200.63940100000002</v>
      </c>
      <c r="D73" s="286">
        <v>125.35116599614517</v>
      </c>
      <c r="E73" s="285">
        <f t="shared" si="3"/>
        <v>125.35116599614517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44359</v>
      </c>
      <c r="C74" s="285">
        <v>168.742403</v>
      </c>
      <c r="D74" s="286">
        <v>125.35116599614517</v>
      </c>
      <c r="E74" s="285">
        <f t="shared" si="3"/>
        <v>125.35116599614517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44360</v>
      </c>
      <c r="C75" s="285">
        <v>97.811302999999995</v>
      </c>
      <c r="D75" s="286">
        <v>125.35116599614517</v>
      </c>
      <c r="E75" s="285">
        <f t="shared" si="3"/>
        <v>97.811302999999995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44361</v>
      </c>
      <c r="C76" s="285">
        <v>73.397408999999996</v>
      </c>
      <c r="D76" s="286">
        <v>125.35116599614517</v>
      </c>
      <c r="E76" s="285">
        <f t="shared" si="3"/>
        <v>73.397408999999996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44362</v>
      </c>
      <c r="C77" s="285">
        <v>113.45855800000001</v>
      </c>
      <c r="D77" s="286">
        <v>125.35116599614517</v>
      </c>
      <c r="E77" s="285">
        <f t="shared" si="3"/>
        <v>113.45855800000001</v>
      </c>
      <c r="F77" s="295"/>
      <c r="G77" s="199" t="str">
        <f t="shared" si="4"/>
        <v>J</v>
      </c>
      <c r="H77" s="287" t="str">
        <f t="shared" si="5"/>
        <v>125,4</v>
      </c>
      <c r="I77" s="288"/>
    </row>
    <row r="78" spans="1:9">
      <c r="A78" s="283">
        <v>76</v>
      </c>
      <c r="B78" s="284">
        <v>44363</v>
      </c>
      <c r="C78" s="285">
        <v>105.000179</v>
      </c>
      <c r="D78" s="286">
        <v>125.35116599614517</v>
      </c>
      <c r="E78" s="285">
        <f t="shared" si="3"/>
        <v>105.000179</v>
      </c>
      <c r="F78" s="295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44364</v>
      </c>
      <c r="C79" s="285">
        <v>96.281396999999998</v>
      </c>
      <c r="D79" s="286">
        <v>125.35116599614517</v>
      </c>
      <c r="E79" s="285">
        <f t="shared" si="3"/>
        <v>96.281396999999998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44365</v>
      </c>
      <c r="C80" s="285">
        <v>119.67024099999999</v>
      </c>
      <c r="D80" s="286">
        <v>125.35116599614517</v>
      </c>
      <c r="E80" s="285">
        <f t="shared" si="3"/>
        <v>119.67024099999999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44366</v>
      </c>
      <c r="C81" s="285">
        <v>91.508506999999994</v>
      </c>
      <c r="D81" s="286">
        <v>125.35116599614517</v>
      </c>
      <c r="E81" s="285">
        <f t="shared" si="3"/>
        <v>91.508506999999994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44367</v>
      </c>
      <c r="C82" s="285">
        <v>246.62601000000001</v>
      </c>
      <c r="D82" s="286">
        <v>125.35116599614517</v>
      </c>
      <c r="E82" s="285">
        <f t="shared" si="3"/>
        <v>125.35116599614517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44368</v>
      </c>
      <c r="C83" s="285">
        <v>176.27420000000001</v>
      </c>
      <c r="D83" s="286">
        <v>125.35116599614517</v>
      </c>
      <c r="E83" s="285">
        <f t="shared" si="3"/>
        <v>125.35116599614517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44369</v>
      </c>
      <c r="C84" s="285">
        <v>118.335171</v>
      </c>
      <c r="D84" s="286">
        <v>125.35116599614517</v>
      </c>
      <c r="E84" s="285">
        <f t="shared" si="3"/>
        <v>118.335171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44370</v>
      </c>
      <c r="C85" s="285">
        <v>145.48106300000001</v>
      </c>
      <c r="D85" s="286">
        <v>125.35116599614517</v>
      </c>
      <c r="E85" s="285">
        <f t="shared" si="3"/>
        <v>125.35116599614517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44371</v>
      </c>
      <c r="C86" s="285">
        <v>137.70433</v>
      </c>
      <c r="D86" s="286">
        <v>125.35116599614517</v>
      </c>
      <c r="E86" s="285">
        <f t="shared" si="3"/>
        <v>125.35116599614517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44372</v>
      </c>
      <c r="C87" s="285">
        <v>113.49032799999999</v>
      </c>
      <c r="D87" s="286">
        <v>125.35116599614517</v>
      </c>
      <c r="E87" s="285">
        <f t="shared" si="3"/>
        <v>113.49032799999999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44373</v>
      </c>
      <c r="C88" s="285">
        <v>125.772662</v>
      </c>
      <c r="D88" s="286">
        <v>125.35116599614517</v>
      </c>
      <c r="E88" s="285">
        <f t="shared" si="3"/>
        <v>125.35116599614517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44374</v>
      </c>
      <c r="C89" s="285">
        <v>158.17301500000002</v>
      </c>
      <c r="D89" s="286">
        <v>125.35116599614517</v>
      </c>
      <c r="E89" s="285">
        <f t="shared" si="3"/>
        <v>125.35116599614517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44375</v>
      </c>
      <c r="C90" s="285">
        <v>127.661293</v>
      </c>
      <c r="D90" s="286">
        <v>125.35116599614517</v>
      </c>
      <c r="E90" s="285">
        <f t="shared" si="3"/>
        <v>125.35116599614517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44376</v>
      </c>
      <c r="C91" s="285">
        <v>71.417717999999994</v>
      </c>
      <c r="D91" s="286">
        <v>125.35116599614517</v>
      </c>
      <c r="E91" s="285">
        <f t="shared" si="3"/>
        <v>71.417717999999994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44377</v>
      </c>
      <c r="C92" s="285">
        <v>68.183721999999989</v>
      </c>
      <c r="D92" s="286">
        <v>125.35116599614517</v>
      </c>
      <c r="E92" s="285">
        <f t="shared" si="3"/>
        <v>68.183721999999989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44378</v>
      </c>
      <c r="C93" s="285">
        <v>53.853722000000005</v>
      </c>
      <c r="D93" s="286">
        <v>123.29819065912838</v>
      </c>
      <c r="E93" s="285">
        <f t="shared" si="3"/>
        <v>53.853722000000005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44379</v>
      </c>
      <c r="C94" s="285">
        <v>81.504232000000002</v>
      </c>
      <c r="D94" s="286">
        <v>123.29819065912838</v>
      </c>
      <c r="E94" s="285">
        <f t="shared" si="3"/>
        <v>81.504232000000002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44380</v>
      </c>
      <c r="C95" s="285">
        <v>108.750077</v>
      </c>
      <c r="D95" s="286">
        <v>123.29819065912838</v>
      </c>
      <c r="E95" s="285">
        <f t="shared" si="3"/>
        <v>108.750077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44381</v>
      </c>
      <c r="C96" s="285">
        <v>175.47572</v>
      </c>
      <c r="D96" s="286">
        <v>123.29819065912838</v>
      </c>
      <c r="E96" s="285">
        <f t="shared" si="3"/>
        <v>123.29819065912838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44382</v>
      </c>
      <c r="C97" s="285">
        <v>185.84592800000001</v>
      </c>
      <c r="D97" s="286">
        <v>123.29819065912838</v>
      </c>
      <c r="E97" s="285">
        <f t="shared" si="3"/>
        <v>123.29819065912838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44383</v>
      </c>
      <c r="C98" s="285">
        <v>170.28628600000002</v>
      </c>
      <c r="D98" s="286">
        <v>123.29819065912838</v>
      </c>
      <c r="E98" s="285">
        <f t="shared" si="3"/>
        <v>123.29819065912838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44384</v>
      </c>
      <c r="C99" s="285">
        <v>100.12591</v>
      </c>
      <c r="D99" s="286">
        <v>123.29819065912838</v>
      </c>
      <c r="E99" s="285">
        <f t="shared" si="3"/>
        <v>100.12591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44385</v>
      </c>
      <c r="C100" s="285">
        <v>118.72372800000001</v>
      </c>
      <c r="D100" s="286">
        <v>123.29819065912838</v>
      </c>
      <c r="E100" s="285">
        <f t="shared" si="3"/>
        <v>118.72372800000001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44386</v>
      </c>
      <c r="C101" s="285">
        <v>106.79435099999999</v>
      </c>
      <c r="D101" s="286">
        <v>123.29819065912838</v>
      </c>
      <c r="E101" s="285">
        <f t="shared" si="3"/>
        <v>106.79435099999999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44387</v>
      </c>
      <c r="C102" s="285">
        <v>101.930645</v>
      </c>
      <c r="D102" s="286">
        <v>123.29819065912838</v>
      </c>
      <c r="E102" s="285">
        <f t="shared" si="3"/>
        <v>101.930645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44388</v>
      </c>
      <c r="C103" s="285">
        <v>129.881685</v>
      </c>
      <c r="D103" s="286">
        <v>123.29819065912838</v>
      </c>
      <c r="E103" s="285">
        <f t="shared" si="3"/>
        <v>123.29819065912838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44389</v>
      </c>
      <c r="C104" s="285">
        <v>268.85704100000004</v>
      </c>
      <c r="D104" s="286">
        <v>123.29819065912838</v>
      </c>
      <c r="E104" s="285">
        <f t="shared" si="3"/>
        <v>123.29819065912838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44390</v>
      </c>
      <c r="C105" s="285">
        <v>180.85459999999998</v>
      </c>
      <c r="D105" s="286">
        <v>123.29819065912838</v>
      </c>
      <c r="E105" s="285">
        <f t="shared" si="3"/>
        <v>123.29819065912838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44391</v>
      </c>
      <c r="C106" s="285">
        <v>192.08371</v>
      </c>
      <c r="D106" s="286">
        <v>123.29819065912838</v>
      </c>
      <c r="E106" s="285">
        <f t="shared" si="3"/>
        <v>123.29819065912838</v>
      </c>
      <c r="F106" s="295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44392</v>
      </c>
      <c r="C107" s="285">
        <v>191.56914</v>
      </c>
      <c r="D107" s="286">
        <v>123.29819065912838</v>
      </c>
      <c r="E107" s="285">
        <f t="shared" si="3"/>
        <v>123.29819065912838</v>
      </c>
      <c r="F107" s="295"/>
      <c r="G107" s="199" t="str">
        <f t="shared" si="4"/>
        <v>J</v>
      </c>
      <c r="H107" s="287" t="str">
        <f t="shared" si="5"/>
        <v>123,3</v>
      </c>
      <c r="I107" s="288"/>
    </row>
    <row r="108" spans="1:9">
      <c r="A108" s="283">
        <v>106</v>
      </c>
      <c r="B108" s="284">
        <v>44393</v>
      </c>
      <c r="C108" s="285">
        <v>169.40151399999999</v>
      </c>
      <c r="D108" s="286">
        <v>123.29819065912838</v>
      </c>
      <c r="E108" s="285">
        <f t="shared" si="3"/>
        <v>123.29819065912838</v>
      </c>
      <c r="F108" s="295"/>
      <c r="G108" s="199" t="str">
        <f t="shared" si="4"/>
        <v/>
      </c>
      <c r="H108" s="287" t="str">
        <f t="shared" si="5"/>
        <v/>
      </c>
      <c r="I108" s="288"/>
    </row>
    <row r="109" spans="1:9">
      <c r="A109" s="283">
        <v>107</v>
      </c>
      <c r="B109" s="284">
        <v>44394</v>
      </c>
      <c r="C109" s="285">
        <v>110.355237</v>
      </c>
      <c r="D109" s="286">
        <v>123.29819065912838</v>
      </c>
      <c r="E109" s="285">
        <f t="shared" si="3"/>
        <v>110.355237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44395</v>
      </c>
      <c r="C110" s="285">
        <v>164.72239999999999</v>
      </c>
      <c r="D110" s="286">
        <v>123.29819065912838</v>
      </c>
      <c r="E110" s="285">
        <f t="shared" si="3"/>
        <v>123.29819065912838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44396</v>
      </c>
      <c r="C111" s="285">
        <v>90.316156000000007</v>
      </c>
      <c r="D111" s="286">
        <v>123.29819065912838</v>
      </c>
      <c r="E111" s="285">
        <f t="shared" si="3"/>
        <v>90.316156000000007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44397</v>
      </c>
      <c r="C112" s="285">
        <v>60.916510000000002</v>
      </c>
      <c r="D112" s="286">
        <v>123.29819065912838</v>
      </c>
      <c r="E112" s="285">
        <f t="shared" si="3"/>
        <v>60.916510000000002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44398</v>
      </c>
      <c r="C113" s="285">
        <v>54.754841999999996</v>
      </c>
      <c r="D113" s="286">
        <v>123.29819065912838</v>
      </c>
      <c r="E113" s="285">
        <f t="shared" si="3"/>
        <v>54.754841999999996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44399</v>
      </c>
      <c r="C114" s="285">
        <v>107.59925</v>
      </c>
      <c r="D114" s="286">
        <v>123.29819065912838</v>
      </c>
      <c r="E114" s="285">
        <f t="shared" si="3"/>
        <v>107.59925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44400</v>
      </c>
      <c r="C115" s="285">
        <v>186.93346700000001</v>
      </c>
      <c r="D115" s="286">
        <v>123.29819065912838</v>
      </c>
      <c r="E115" s="285">
        <f t="shared" si="3"/>
        <v>123.29819065912838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44401</v>
      </c>
      <c r="C116" s="285">
        <v>132.45575600000001</v>
      </c>
      <c r="D116" s="286">
        <v>123.29819065912838</v>
      </c>
      <c r="E116" s="285">
        <f t="shared" si="3"/>
        <v>123.29819065912838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44402</v>
      </c>
      <c r="C117" s="285">
        <v>99.539763999999991</v>
      </c>
      <c r="D117" s="286">
        <v>123.29819065912838</v>
      </c>
      <c r="E117" s="285">
        <f t="shared" si="3"/>
        <v>99.539763999999991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44403</v>
      </c>
      <c r="C118" s="285">
        <v>96.478289999999987</v>
      </c>
      <c r="D118" s="286">
        <v>123.29819065912838</v>
      </c>
      <c r="E118" s="285">
        <f t="shared" si="3"/>
        <v>96.478289999999987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44404</v>
      </c>
      <c r="C119" s="285">
        <v>97.796486999999999</v>
      </c>
      <c r="D119" s="286">
        <v>123.29819065912838</v>
      </c>
      <c r="E119" s="285">
        <f t="shared" si="3"/>
        <v>97.796486999999999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44405</v>
      </c>
      <c r="C120" s="285">
        <v>141.16972099999998</v>
      </c>
      <c r="D120" s="286">
        <v>123.29819065912838</v>
      </c>
      <c r="E120" s="285">
        <f t="shared" si="3"/>
        <v>123.29819065912838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44406</v>
      </c>
      <c r="C121" s="285">
        <v>126.49287799999999</v>
      </c>
      <c r="D121" s="286">
        <v>123.29819065912838</v>
      </c>
      <c r="E121" s="285">
        <f t="shared" si="3"/>
        <v>123.29819065912838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44407</v>
      </c>
      <c r="C122" s="285">
        <v>139.68551700000003</v>
      </c>
      <c r="D122" s="286">
        <v>123.29819065912838</v>
      </c>
      <c r="E122" s="285">
        <f t="shared" si="3"/>
        <v>123.29819065912838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44408</v>
      </c>
      <c r="C123" s="285">
        <v>231.39542799999998</v>
      </c>
      <c r="D123" s="286">
        <v>123.29819065912838</v>
      </c>
      <c r="E123" s="285">
        <f t="shared" si="3"/>
        <v>123.29819065912838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44409</v>
      </c>
      <c r="C124" s="285">
        <v>105.184585</v>
      </c>
      <c r="D124" s="286">
        <v>119.88189259959397</v>
      </c>
      <c r="E124" s="285">
        <f t="shared" si="3"/>
        <v>105.184585</v>
      </c>
      <c r="F124" s="295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44410</v>
      </c>
      <c r="C125" s="285">
        <v>65.451475000000002</v>
      </c>
      <c r="D125" s="286">
        <v>119.88189259959397</v>
      </c>
      <c r="E125" s="285">
        <f t="shared" si="3"/>
        <v>65.451475000000002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44411</v>
      </c>
      <c r="C126" s="285">
        <v>81.196016</v>
      </c>
      <c r="D126" s="286">
        <v>119.88189259959397</v>
      </c>
      <c r="E126" s="285">
        <f t="shared" si="3"/>
        <v>81.196016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44412</v>
      </c>
      <c r="C127" s="285">
        <v>117.95353299999999</v>
      </c>
      <c r="D127" s="286">
        <v>119.88189259959397</v>
      </c>
      <c r="E127" s="285">
        <f t="shared" si="3"/>
        <v>117.95353299999999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44413</v>
      </c>
      <c r="C128" s="285">
        <v>126.27573600000001</v>
      </c>
      <c r="D128" s="286">
        <v>119.88189259959397</v>
      </c>
      <c r="E128" s="285">
        <f t="shared" si="3"/>
        <v>119.88189259959397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44414</v>
      </c>
      <c r="C129" s="285">
        <v>136.36306099999999</v>
      </c>
      <c r="D129" s="286">
        <v>119.88189259959397</v>
      </c>
      <c r="E129" s="285">
        <f t="shared" si="3"/>
        <v>119.88189259959397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44415</v>
      </c>
      <c r="C130" s="285">
        <v>161.55542399999999</v>
      </c>
      <c r="D130" s="286">
        <v>119.88189259959397</v>
      </c>
      <c r="E130" s="285">
        <f t="shared" si="3"/>
        <v>119.88189259959397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44416</v>
      </c>
      <c r="C131" s="285">
        <v>90.905316999999997</v>
      </c>
      <c r="D131" s="286">
        <v>119.88189259959397</v>
      </c>
      <c r="E131" s="285">
        <f t="shared" ref="E131:E194" si="6">IF(C131&gt;D131,D131,C131)</f>
        <v>90.905316999999997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44417</v>
      </c>
      <c r="C132" s="285">
        <v>83.163594000000003</v>
      </c>
      <c r="D132" s="286">
        <v>119.88189259959397</v>
      </c>
      <c r="E132" s="285">
        <f t="shared" si="6"/>
        <v>83.163594000000003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44418</v>
      </c>
      <c r="C133" s="285">
        <v>63.677168999999999</v>
      </c>
      <c r="D133" s="286">
        <v>119.88189259959397</v>
      </c>
      <c r="E133" s="285">
        <f t="shared" si="6"/>
        <v>63.677168999999999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44419</v>
      </c>
      <c r="C134" s="285">
        <v>70.815585999999996</v>
      </c>
      <c r="D134" s="286">
        <v>119.88189259959397</v>
      </c>
      <c r="E134" s="285">
        <f t="shared" si="6"/>
        <v>70.815585999999996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44420</v>
      </c>
      <c r="C135" s="285">
        <v>105.13843500000002</v>
      </c>
      <c r="D135" s="286">
        <v>119.88189259959397</v>
      </c>
      <c r="E135" s="285">
        <f t="shared" si="6"/>
        <v>105.13843500000002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44421</v>
      </c>
      <c r="C136" s="285">
        <v>77.891987</v>
      </c>
      <c r="D136" s="286">
        <v>119.88189259959397</v>
      </c>
      <c r="E136" s="285">
        <f t="shared" si="6"/>
        <v>77.891987</v>
      </c>
      <c r="F136" s="295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44422</v>
      </c>
      <c r="C137" s="285">
        <v>88.146130999999997</v>
      </c>
      <c r="D137" s="286">
        <v>119.88189259959397</v>
      </c>
      <c r="E137" s="285">
        <f t="shared" si="6"/>
        <v>88.146130999999997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44423</v>
      </c>
      <c r="C138" s="285">
        <v>135.29221699999999</v>
      </c>
      <c r="D138" s="286">
        <v>119.88189259959397</v>
      </c>
      <c r="E138" s="285">
        <f t="shared" si="6"/>
        <v>119.88189259959397</v>
      </c>
      <c r="F138" s="295"/>
      <c r="G138" s="199" t="str">
        <f t="shared" si="7"/>
        <v>A</v>
      </c>
      <c r="H138" s="287" t="str">
        <f t="shared" si="8"/>
        <v>119,9</v>
      </c>
      <c r="I138" s="288"/>
    </row>
    <row r="139" spans="1:9">
      <c r="A139" s="283">
        <v>137</v>
      </c>
      <c r="B139" s="284">
        <v>44424</v>
      </c>
      <c r="C139" s="285">
        <v>245.59370000000001</v>
      </c>
      <c r="D139" s="286">
        <v>119.88189259959397</v>
      </c>
      <c r="E139" s="285">
        <f t="shared" si="6"/>
        <v>119.88189259959397</v>
      </c>
      <c r="F139" s="295"/>
      <c r="G139" s="199" t="str">
        <f t="shared" si="7"/>
        <v/>
      </c>
      <c r="H139" s="287" t="str">
        <f t="shared" si="8"/>
        <v/>
      </c>
      <c r="I139" s="288"/>
    </row>
    <row r="140" spans="1:9">
      <c r="A140" s="283">
        <v>138</v>
      </c>
      <c r="B140" s="284">
        <v>44425</v>
      </c>
      <c r="C140" s="285">
        <v>264.10150699999997</v>
      </c>
      <c r="D140" s="286">
        <v>119.88189259959397</v>
      </c>
      <c r="E140" s="285">
        <f t="shared" si="6"/>
        <v>119.88189259959397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44426</v>
      </c>
      <c r="C141" s="285">
        <v>194.31456600000001</v>
      </c>
      <c r="D141" s="286">
        <v>119.88189259959397</v>
      </c>
      <c r="E141" s="285">
        <f t="shared" si="6"/>
        <v>119.88189259959397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44427</v>
      </c>
      <c r="C142" s="285">
        <v>100.869519</v>
      </c>
      <c r="D142" s="286">
        <v>119.88189259959397</v>
      </c>
      <c r="E142" s="285">
        <f t="shared" si="6"/>
        <v>100.869519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44428</v>
      </c>
      <c r="C143" s="285">
        <v>70.188290999999992</v>
      </c>
      <c r="D143" s="286">
        <v>119.88189259959397</v>
      </c>
      <c r="E143" s="285">
        <f t="shared" si="6"/>
        <v>70.188290999999992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44429</v>
      </c>
      <c r="C144" s="285">
        <v>75.149498000000008</v>
      </c>
      <c r="D144" s="286">
        <v>119.88189259959397</v>
      </c>
      <c r="E144" s="285">
        <f t="shared" si="6"/>
        <v>75.149498000000008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44430</v>
      </c>
      <c r="C145" s="285">
        <v>136.277231</v>
      </c>
      <c r="D145" s="286">
        <v>119.88189259959397</v>
      </c>
      <c r="E145" s="285">
        <f t="shared" si="6"/>
        <v>119.88189259959397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44431</v>
      </c>
      <c r="C146" s="285">
        <v>225.98200699999998</v>
      </c>
      <c r="D146" s="286">
        <v>119.88189259959397</v>
      </c>
      <c r="E146" s="285">
        <f t="shared" si="6"/>
        <v>119.88189259959397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44432</v>
      </c>
      <c r="C147" s="285">
        <v>200.105333</v>
      </c>
      <c r="D147" s="286">
        <v>119.88189259959397</v>
      </c>
      <c r="E147" s="285">
        <f t="shared" si="6"/>
        <v>119.88189259959397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44433</v>
      </c>
      <c r="C148" s="285">
        <v>84.59216099999999</v>
      </c>
      <c r="D148" s="286">
        <v>119.88189259959397</v>
      </c>
      <c r="E148" s="285">
        <f t="shared" si="6"/>
        <v>84.59216099999999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44434</v>
      </c>
      <c r="C149" s="285">
        <v>43.372470999999997</v>
      </c>
      <c r="D149" s="286">
        <v>119.88189259959397</v>
      </c>
      <c r="E149" s="285">
        <f t="shared" si="6"/>
        <v>43.372470999999997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44435</v>
      </c>
      <c r="C150" s="285">
        <v>80.783937999999992</v>
      </c>
      <c r="D150" s="286">
        <v>119.88189259959397</v>
      </c>
      <c r="E150" s="285">
        <f t="shared" si="6"/>
        <v>80.783937999999992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44436</v>
      </c>
      <c r="C151" s="285">
        <v>164.18552199999999</v>
      </c>
      <c r="D151" s="286">
        <v>119.88189259959397</v>
      </c>
      <c r="E151" s="285">
        <f t="shared" si="6"/>
        <v>119.88189259959397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44437</v>
      </c>
      <c r="C152" s="285">
        <v>107.689087</v>
      </c>
      <c r="D152" s="286">
        <v>119.88189259959397</v>
      </c>
      <c r="E152" s="285">
        <f t="shared" si="6"/>
        <v>107.689087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44438</v>
      </c>
      <c r="C153" s="285">
        <v>70.608243999999999</v>
      </c>
      <c r="D153" s="286">
        <v>119.88189259959397</v>
      </c>
      <c r="E153" s="285">
        <f t="shared" si="6"/>
        <v>70.608243999999999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44439</v>
      </c>
      <c r="C154" s="285">
        <v>79.501566000000011</v>
      </c>
      <c r="D154" s="286">
        <v>119.88189259959397</v>
      </c>
      <c r="E154" s="285">
        <f t="shared" si="6"/>
        <v>79.501566000000011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44440</v>
      </c>
      <c r="C155" s="285">
        <v>106.17876099999999</v>
      </c>
      <c r="D155" s="286">
        <v>117.97411428529821</v>
      </c>
      <c r="E155" s="285">
        <f t="shared" si="6"/>
        <v>106.17876099999999</v>
      </c>
      <c r="F155" s="295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44441</v>
      </c>
      <c r="C156" s="285">
        <v>31.283776000000003</v>
      </c>
      <c r="D156" s="286">
        <v>117.97411428529821</v>
      </c>
      <c r="E156" s="285">
        <f t="shared" si="6"/>
        <v>31.283776000000003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44442</v>
      </c>
      <c r="C157" s="285">
        <v>18.009798</v>
      </c>
      <c r="D157" s="286">
        <v>117.97411428529821</v>
      </c>
      <c r="E157" s="285">
        <f t="shared" si="6"/>
        <v>18.009798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44443</v>
      </c>
      <c r="C158" s="285">
        <v>30.801286000000001</v>
      </c>
      <c r="D158" s="286">
        <v>117.97411428529821</v>
      </c>
      <c r="E158" s="285">
        <f t="shared" si="6"/>
        <v>30.801286000000001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44444</v>
      </c>
      <c r="C159" s="285">
        <v>76.818422999999996</v>
      </c>
      <c r="D159" s="286">
        <v>117.97411428529821</v>
      </c>
      <c r="E159" s="285">
        <f t="shared" si="6"/>
        <v>76.818422999999996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44445</v>
      </c>
      <c r="C160" s="285">
        <v>139.00310899999999</v>
      </c>
      <c r="D160" s="286">
        <v>117.97411428529821</v>
      </c>
      <c r="E160" s="285">
        <f t="shared" si="6"/>
        <v>117.97411428529821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44446</v>
      </c>
      <c r="C161" s="285">
        <v>224.04742100000001</v>
      </c>
      <c r="D161" s="286">
        <v>117.97411428529821</v>
      </c>
      <c r="E161" s="285">
        <f t="shared" si="6"/>
        <v>117.97411428529821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44447</v>
      </c>
      <c r="C162" s="285">
        <v>131.33592899999999</v>
      </c>
      <c r="D162" s="286">
        <v>117.97411428529821</v>
      </c>
      <c r="E162" s="285">
        <f t="shared" si="6"/>
        <v>117.97411428529821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44448</v>
      </c>
      <c r="C163" s="285">
        <v>116.04786800000001</v>
      </c>
      <c r="D163" s="286">
        <v>117.97411428529821</v>
      </c>
      <c r="E163" s="285">
        <f t="shared" si="6"/>
        <v>116.04786800000001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44449</v>
      </c>
      <c r="C164" s="285">
        <v>65.756388000000001</v>
      </c>
      <c r="D164" s="286">
        <v>117.97411428529821</v>
      </c>
      <c r="E164" s="285">
        <f t="shared" si="6"/>
        <v>65.756388000000001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44450</v>
      </c>
      <c r="C165" s="285">
        <v>33.642375999999999</v>
      </c>
      <c r="D165" s="286">
        <v>117.97411428529821</v>
      </c>
      <c r="E165" s="285">
        <f t="shared" si="6"/>
        <v>33.642375999999999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44451</v>
      </c>
      <c r="C166" s="285">
        <v>46.564877000000003</v>
      </c>
      <c r="D166" s="286">
        <v>117.97411428529821</v>
      </c>
      <c r="E166" s="285">
        <f t="shared" si="6"/>
        <v>46.564877000000003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44452</v>
      </c>
      <c r="C167" s="285">
        <v>152.68408700000001</v>
      </c>
      <c r="D167" s="286">
        <v>117.97411428529821</v>
      </c>
      <c r="E167" s="285">
        <f t="shared" si="6"/>
        <v>117.97411428529821</v>
      </c>
      <c r="F167" s="295"/>
      <c r="G167" s="199" t="str">
        <f t="shared" si="7"/>
        <v/>
      </c>
      <c r="H167" s="287" t="str">
        <f t="shared" si="8"/>
        <v/>
      </c>
      <c r="I167" s="288"/>
    </row>
    <row r="168" spans="1:9">
      <c r="A168" s="283">
        <v>166</v>
      </c>
      <c r="B168" s="284">
        <v>44453</v>
      </c>
      <c r="C168" s="285">
        <v>117.793465</v>
      </c>
      <c r="D168" s="286">
        <v>117.97411428529821</v>
      </c>
      <c r="E168" s="285">
        <f t="shared" si="6"/>
        <v>117.793465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44454</v>
      </c>
      <c r="C169" s="285">
        <v>45.131029000000005</v>
      </c>
      <c r="D169" s="286">
        <v>117.97411428529821</v>
      </c>
      <c r="E169" s="285">
        <f t="shared" si="6"/>
        <v>45.131029000000005</v>
      </c>
      <c r="F169" s="295"/>
      <c r="G169" s="199" t="str">
        <f t="shared" si="7"/>
        <v>S</v>
      </c>
      <c r="H169" s="287" t="str">
        <f t="shared" si="8"/>
        <v>118,0</v>
      </c>
      <c r="I169" s="288"/>
    </row>
    <row r="170" spans="1:9">
      <c r="A170" s="283">
        <v>168</v>
      </c>
      <c r="B170" s="284">
        <v>44455</v>
      </c>
      <c r="C170" s="285">
        <v>82.342123000000001</v>
      </c>
      <c r="D170" s="286">
        <v>117.97411428529821</v>
      </c>
      <c r="E170" s="285">
        <f t="shared" si="6"/>
        <v>82.342123000000001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44456</v>
      </c>
      <c r="C171" s="285">
        <v>51.168244000000008</v>
      </c>
      <c r="D171" s="286">
        <v>117.97411428529821</v>
      </c>
      <c r="E171" s="285">
        <f t="shared" si="6"/>
        <v>51.168244000000008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44457</v>
      </c>
      <c r="C172" s="285">
        <v>108.26396200000001</v>
      </c>
      <c r="D172" s="286">
        <v>117.97411428529821</v>
      </c>
      <c r="E172" s="285">
        <f t="shared" si="6"/>
        <v>108.26396200000001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44458</v>
      </c>
      <c r="C173" s="285">
        <v>91.990882999999997</v>
      </c>
      <c r="D173" s="286">
        <v>117.97411428529821</v>
      </c>
      <c r="E173" s="285">
        <f t="shared" si="6"/>
        <v>91.990882999999997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44459</v>
      </c>
      <c r="C174" s="285">
        <v>196.96962100000002</v>
      </c>
      <c r="D174" s="286">
        <v>117.97411428529821</v>
      </c>
      <c r="E174" s="285">
        <f t="shared" si="6"/>
        <v>117.97411428529821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44460</v>
      </c>
      <c r="C175" s="285">
        <v>221.25798699999999</v>
      </c>
      <c r="D175" s="286">
        <v>117.97411428529821</v>
      </c>
      <c r="E175" s="285">
        <f t="shared" si="6"/>
        <v>117.97411428529821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44461</v>
      </c>
      <c r="C176" s="285">
        <v>154.246115</v>
      </c>
      <c r="D176" s="286">
        <v>117.97411428529821</v>
      </c>
      <c r="E176" s="285">
        <f t="shared" si="6"/>
        <v>117.97411428529821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44462</v>
      </c>
      <c r="C177" s="285">
        <v>208.75555300000002</v>
      </c>
      <c r="D177" s="286">
        <v>117.97411428529821</v>
      </c>
      <c r="E177" s="285">
        <f t="shared" si="6"/>
        <v>117.97411428529821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44463</v>
      </c>
      <c r="C178" s="285">
        <v>120.70046499999999</v>
      </c>
      <c r="D178" s="286">
        <v>117.97411428529821</v>
      </c>
      <c r="E178" s="285">
        <f t="shared" si="6"/>
        <v>117.97411428529821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44464</v>
      </c>
      <c r="C179" s="285">
        <v>118.211063</v>
      </c>
      <c r="D179" s="286">
        <v>117.97411428529821</v>
      </c>
      <c r="E179" s="285">
        <f t="shared" si="6"/>
        <v>117.97411428529821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44465</v>
      </c>
      <c r="C180" s="285">
        <v>100.70335300000001</v>
      </c>
      <c r="D180" s="286">
        <v>117.97411428529821</v>
      </c>
      <c r="E180" s="285">
        <f t="shared" si="6"/>
        <v>100.70335300000001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44466</v>
      </c>
      <c r="C181" s="285">
        <v>77.789228000000008</v>
      </c>
      <c r="D181" s="286">
        <v>117.97411428529821</v>
      </c>
      <c r="E181" s="285">
        <f t="shared" si="6"/>
        <v>77.789228000000008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44467</v>
      </c>
      <c r="C182" s="285">
        <v>58.146766000000007</v>
      </c>
      <c r="D182" s="286">
        <v>117.97411428529821</v>
      </c>
      <c r="E182" s="285">
        <f t="shared" si="6"/>
        <v>58.146766000000007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44468</v>
      </c>
      <c r="C183" s="285">
        <v>121.07462099999999</v>
      </c>
      <c r="D183" s="286">
        <v>117.97411428529821</v>
      </c>
      <c r="E183" s="285">
        <f t="shared" si="6"/>
        <v>117.97411428529821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44469</v>
      </c>
      <c r="C184" s="285">
        <v>83.121623999999997</v>
      </c>
      <c r="D184" s="286">
        <v>117.97411428529821</v>
      </c>
      <c r="E184" s="285">
        <f t="shared" si="6"/>
        <v>83.121623999999997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44470</v>
      </c>
      <c r="C185" s="285">
        <v>38.888199</v>
      </c>
      <c r="D185" s="286">
        <v>137.65246829030852</v>
      </c>
      <c r="E185" s="285">
        <f t="shared" si="6"/>
        <v>38.888199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44471</v>
      </c>
      <c r="C186" s="285">
        <v>179.964888</v>
      </c>
      <c r="D186" s="286">
        <v>137.65246829030852</v>
      </c>
      <c r="E186" s="285">
        <f t="shared" si="6"/>
        <v>137.65246829030852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44472</v>
      </c>
      <c r="C187" s="285">
        <v>246.533998</v>
      </c>
      <c r="D187" s="286">
        <v>137.65246829030852</v>
      </c>
      <c r="E187" s="285">
        <f t="shared" si="6"/>
        <v>137.65246829030852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44473</v>
      </c>
      <c r="C188" s="285">
        <v>215.238437</v>
      </c>
      <c r="D188" s="286">
        <v>137.65246829030852</v>
      </c>
      <c r="E188" s="285">
        <f t="shared" si="6"/>
        <v>137.65246829030852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44474</v>
      </c>
      <c r="C189" s="285">
        <v>168.73938099999998</v>
      </c>
      <c r="D189" s="286">
        <v>137.65246829030852</v>
      </c>
      <c r="E189" s="285">
        <f t="shared" si="6"/>
        <v>137.65246829030852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44475</v>
      </c>
      <c r="C190" s="285">
        <v>125.47463</v>
      </c>
      <c r="D190" s="286">
        <v>137.65246829030852</v>
      </c>
      <c r="E190" s="285">
        <f t="shared" si="6"/>
        <v>125.47463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44476</v>
      </c>
      <c r="C191" s="285">
        <v>105.89893099999999</v>
      </c>
      <c r="D191" s="286">
        <v>137.65246829030852</v>
      </c>
      <c r="E191" s="285">
        <f t="shared" si="6"/>
        <v>105.89893099999999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44477</v>
      </c>
      <c r="C192" s="285">
        <v>90.848475000000008</v>
      </c>
      <c r="D192" s="286">
        <v>137.65246829030852</v>
      </c>
      <c r="E192" s="285">
        <f t="shared" si="6"/>
        <v>90.848475000000008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44478</v>
      </c>
      <c r="C193" s="285">
        <v>122.08157700000001</v>
      </c>
      <c r="D193" s="286">
        <v>137.65246829030852</v>
      </c>
      <c r="E193" s="285">
        <f t="shared" si="6"/>
        <v>122.08157700000001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44479</v>
      </c>
      <c r="C194" s="285">
        <v>201.98101399999999</v>
      </c>
      <c r="D194" s="286">
        <v>137.65246829030852</v>
      </c>
      <c r="E194" s="285">
        <f t="shared" si="6"/>
        <v>137.65246829030852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44480</v>
      </c>
      <c r="C195" s="285">
        <v>170.255595</v>
      </c>
      <c r="D195" s="286">
        <v>137.65246829030852</v>
      </c>
      <c r="E195" s="285">
        <f t="shared" ref="E195:E258" si="9">IF(C195&gt;D195,D195,C195)</f>
        <v>137.65246829030852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44481</v>
      </c>
      <c r="C196" s="285">
        <v>151.565426</v>
      </c>
      <c r="D196" s="286">
        <v>137.65246829030852</v>
      </c>
      <c r="E196" s="285">
        <f t="shared" si="9"/>
        <v>137.65246829030852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44482</v>
      </c>
      <c r="C197" s="285">
        <v>178.06794099999999</v>
      </c>
      <c r="D197" s="286">
        <v>137.65246829030852</v>
      </c>
      <c r="E197" s="285">
        <f t="shared" si="9"/>
        <v>137.65246829030852</v>
      </c>
      <c r="F197" s="295"/>
      <c r="G197" s="199" t="str">
        <f t="shared" si="10"/>
        <v/>
      </c>
      <c r="H197" s="287" t="str">
        <f t="shared" si="11"/>
        <v/>
      </c>
      <c r="I197" s="288"/>
    </row>
    <row r="198" spans="1:9">
      <c r="A198" s="283">
        <v>196</v>
      </c>
      <c r="B198" s="284">
        <v>44483</v>
      </c>
      <c r="C198" s="285">
        <v>76.483199999999997</v>
      </c>
      <c r="D198" s="286">
        <v>137.65246829030852</v>
      </c>
      <c r="E198" s="285">
        <f t="shared" si="9"/>
        <v>76.483199999999997</v>
      </c>
      <c r="F198" s="295"/>
      <c r="G198" s="199" t="str">
        <f t="shared" si="10"/>
        <v/>
      </c>
      <c r="H198" s="287" t="str">
        <f t="shared" si="11"/>
        <v/>
      </c>
      <c r="I198" s="288"/>
    </row>
    <row r="199" spans="1:9">
      <c r="A199" s="283">
        <v>197</v>
      </c>
      <c r="B199" s="284">
        <v>44484</v>
      </c>
      <c r="C199" s="285">
        <v>59.870756</v>
      </c>
      <c r="D199" s="286">
        <v>137.65246829030852</v>
      </c>
      <c r="E199" s="285">
        <f t="shared" si="9"/>
        <v>59.870756</v>
      </c>
      <c r="F199" s="295"/>
      <c r="G199" s="199" t="str">
        <f t="shared" si="10"/>
        <v>O</v>
      </c>
      <c r="H199" s="287" t="str">
        <f t="shared" si="11"/>
        <v>137,7</v>
      </c>
      <c r="I199" s="288"/>
    </row>
    <row r="200" spans="1:9">
      <c r="A200" s="283">
        <v>198</v>
      </c>
      <c r="B200" s="284">
        <v>44485</v>
      </c>
      <c r="C200" s="285">
        <v>51.859968000000002</v>
      </c>
      <c r="D200" s="286">
        <v>137.65246829030852</v>
      </c>
      <c r="E200" s="285">
        <f t="shared" si="9"/>
        <v>51.859968000000002</v>
      </c>
      <c r="F200" s="295"/>
      <c r="G200" s="199" t="str">
        <f t="shared" si="10"/>
        <v/>
      </c>
      <c r="H200" s="287" t="str">
        <f t="shared" si="11"/>
        <v/>
      </c>
      <c r="I200" s="288"/>
    </row>
    <row r="201" spans="1:9">
      <c r="A201" s="283">
        <v>199</v>
      </c>
      <c r="B201" s="284">
        <v>44486</v>
      </c>
      <c r="C201" s="285">
        <v>54.082108999999996</v>
      </c>
      <c r="D201" s="286">
        <v>137.65246829030852</v>
      </c>
      <c r="E201" s="285">
        <f t="shared" si="9"/>
        <v>54.082108999999996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44487</v>
      </c>
      <c r="C202" s="285">
        <v>68.709029999999998</v>
      </c>
      <c r="D202" s="286">
        <v>137.65246829030852</v>
      </c>
      <c r="E202" s="285">
        <f t="shared" si="9"/>
        <v>68.709029999999998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44488</v>
      </c>
      <c r="C203" s="285">
        <v>183.80328700000001</v>
      </c>
      <c r="D203" s="286">
        <v>137.65246829030852</v>
      </c>
      <c r="E203" s="285">
        <f t="shared" si="9"/>
        <v>137.65246829030852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44489</v>
      </c>
      <c r="C204" s="285">
        <v>217.531643</v>
      </c>
      <c r="D204" s="286">
        <v>137.65246829030852</v>
      </c>
      <c r="E204" s="285">
        <f t="shared" si="9"/>
        <v>137.65246829030852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44490</v>
      </c>
      <c r="C205" s="285">
        <v>113.222797</v>
      </c>
      <c r="D205" s="286">
        <v>137.65246829030852</v>
      </c>
      <c r="E205" s="285">
        <f t="shared" si="9"/>
        <v>113.222797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44491</v>
      </c>
      <c r="C206" s="285">
        <v>168.46372399999998</v>
      </c>
      <c r="D206" s="286">
        <v>137.65246829030852</v>
      </c>
      <c r="E206" s="285">
        <f t="shared" si="9"/>
        <v>137.65246829030852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44492</v>
      </c>
      <c r="C207" s="285">
        <v>77.004168000000007</v>
      </c>
      <c r="D207" s="286">
        <v>137.65246829030852</v>
      </c>
      <c r="E207" s="285">
        <f t="shared" si="9"/>
        <v>77.004168000000007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44493</v>
      </c>
      <c r="C208" s="285">
        <v>53.185224000000005</v>
      </c>
      <c r="D208" s="286">
        <v>137.65246829030852</v>
      </c>
      <c r="E208" s="285">
        <f t="shared" si="9"/>
        <v>53.185224000000005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44494</v>
      </c>
      <c r="C209" s="285">
        <v>37.106322999999996</v>
      </c>
      <c r="D209" s="286">
        <v>137.65246829030852</v>
      </c>
      <c r="E209" s="285">
        <f t="shared" si="9"/>
        <v>37.106322999999996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44495</v>
      </c>
      <c r="C210" s="285">
        <v>77.944802999999993</v>
      </c>
      <c r="D210" s="286">
        <v>137.65246829030852</v>
      </c>
      <c r="E210" s="285">
        <f t="shared" si="9"/>
        <v>77.944802999999993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44496</v>
      </c>
      <c r="C211" s="285">
        <v>43.982253</v>
      </c>
      <c r="D211" s="286">
        <v>137.65246829030852</v>
      </c>
      <c r="E211" s="285">
        <f t="shared" si="9"/>
        <v>43.982253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44497</v>
      </c>
      <c r="C212" s="285">
        <v>159.536011</v>
      </c>
      <c r="D212" s="286">
        <v>137.65246829030852</v>
      </c>
      <c r="E212" s="285">
        <f t="shared" si="9"/>
        <v>137.65246829030852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44498</v>
      </c>
      <c r="C213" s="285">
        <v>214.90374</v>
      </c>
      <c r="D213" s="286">
        <v>137.65246829030852</v>
      </c>
      <c r="E213" s="285">
        <f t="shared" si="9"/>
        <v>137.65246829030852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44499</v>
      </c>
      <c r="C214" s="285">
        <v>278.104557</v>
      </c>
      <c r="D214" s="286">
        <v>137.65246829030852</v>
      </c>
      <c r="E214" s="285">
        <f t="shared" si="9"/>
        <v>137.65246829030852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44500</v>
      </c>
      <c r="C215" s="285">
        <v>321.622816</v>
      </c>
      <c r="D215" s="286">
        <v>137.65246829030852</v>
      </c>
      <c r="E215" s="285">
        <f t="shared" si="9"/>
        <v>137.65246829030852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44501</v>
      </c>
      <c r="C216" s="285">
        <v>299.71646100000004</v>
      </c>
      <c r="D216" s="286">
        <v>183.91544727138802</v>
      </c>
      <c r="E216" s="285">
        <f t="shared" si="9"/>
        <v>183.91544727138802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44502</v>
      </c>
      <c r="C217" s="285">
        <v>291.50400000000002</v>
      </c>
      <c r="D217" s="286">
        <v>183.91544727138802</v>
      </c>
      <c r="E217" s="285">
        <f t="shared" si="9"/>
        <v>183.91544727138802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44503</v>
      </c>
      <c r="C218" s="285">
        <v>238.34883899999997</v>
      </c>
      <c r="D218" s="286">
        <v>183.91544727138802</v>
      </c>
      <c r="E218" s="285">
        <f t="shared" si="9"/>
        <v>183.91544727138802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44504</v>
      </c>
      <c r="C219" s="285">
        <v>168.86299299999999</v>
      </c>
      <c r="D219" s="286">
        <v>183.91544727138802</v>
      </c>
      <c r="E219" s="285">
        <f t="shared" si="9"/>
        <v>168.86299299999999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44505</v>
      </c>
      <c r="C220" s="285">
        <v>235.93647799999999</v>
      </c>
      <c r="D220" s="286">
        <v>183.91544727138802</v>
      </c>
      <c r="E220" s="285">
        <f t="shared" si="9"/>
        <v>183.91544727138802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44506</v>
      </c>
      <c r="C221" s="285">
        <v>274.33406899999994</v>
      </c>
      <c r="D221" s="286">
        <v>183.91544727138802</v>
      </c>
      <c r="E221" s="285">
        <f t="shared" si="9"/>
        <v>183.91544727138802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44507</v>
      </c>
      <c r="C222" s="285">
        <v>295.472418</v>
      </c>
      <c r="D222" s="286">
        <v>183.91544727138802</v>
      </c>
      <c r="E222" s="285">
        <f t="shared" si="9"/>
        <v>183.91544727138802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44508</v>
      </c>
      <c r="C223" s="285">
        <v>281.052682</v>
      </c>
      <c r="D223" s="286">
        <v>183.91544727138802</v>
      </c>
      <c r="E223" s="285">
        <f t="shared" si="9"/>
        <v>183.91544727138802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44509</v>
      </c>
      <c r="C224" s="285">
        <v>187.24220600000001</v>
      </c>
      <c r="D224" s="286">
        <v>183.91544727138802</v>
      </c>
      <c r="E224" s="285">
        <f t="shared" si="9"/>
        <v>183.91544727138802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44510</v>
      </c>
      <c r="C225" s="285">
        <v>90.485464999999991</v>
      </c>
      <c r="D225" s="286">
        <v>183.91544727138802</v>
      </c>
      <c r="E225" s="285">
        <f t="shared" si="9"/>
        <v>90.485464999999991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44511</v>
      </c>
      <c r="C226" s="285">
        <v>58.279859999999999</v>
      </c>
      <c r="D226" s="286">
        <v>183.91544727138802</v>
      </c>
      <c r="E226" s="285">
        <f t="shared" si="9"/>
        <v>58.279859999999999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44512</v>
      </c>
      <c r="C227" s="285">
        <v>80.061032000000012</v>
      </c>
      <c r="D227" s="286">
        <v>183.91544727138802</v>
      </c>
      <c r="E227" s="285">
        <f t="shared" si="9"/>
        <v>80.061032000000012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44513</v>
      </c>
      <c r="C228" s="285">
        <v>127.324252</v>
      </c>
      <c r="D228" s="286">
        <v>183.91544727138802</v>
      </c>
      <c r="E228" s="285">
        <f t="shared" si="9"/>
        <v>127.324252</v>
      </c>
      <c r="F228" s="295"/>
      <c r="G228" s="199" t="str">
        <f t="shared" si="10"/>
        <v/>
      </c>
      <c r="H228" s="287" t="str">
        <f t="shared" si="11"/>
        <v/>
      </c>
      <c r="I228" s="288"/>
    </row>
    <row r="229" spans="1:9">
      <c r="A229" s="283">
        <v>227</v>
      </c>
      <c r="B229" s="284">
        <v>44514</v>
      </c>
      <c r="C229" s="285">
        <v>228.948578</v>
      </c>
      <c r="D229" s="286">
        <v>183.91544727138802</v>
      </c>
      <c r="E229" s="285">
        <f t="shared" si="9"/>
        <v>183.91544727138802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44515</v>
      </c>
      <c r="C230" s="285">
        <v>277.06967099999997</v>
      </c>
      <c r="D230" s="286">
        <v>183.91544727138802</v>
      </c>
      <c r="E230" s="285">
        <f t="shared" si="9"/>
        <v>183.91544727138802</v>
      </c>
      <c r="F230" s="288"/>
      <c r="G230" s="199" t="str">
        <f t="shared" si="10"/>
        <v>N</v>
      </c>
      <c r="H230" s="287" t="str">
        <f t="shared" si="11"/>
        <v>183,9</v>
      </c>
      <c r="I230" s="288"/>
    </row>
    <row r="231" spans="1:9">
      <c r="A231" s="283">
        <v>229</v>
      </c>
      <c r="B231" s="284">
        <v>44516</v>
      </c>
      <c r="C231" s="285">
        <v>219.12346399999998</v>
      </c>
      <c r="D231" s="286">
        <v>183.91544727138802</v>
      </c>
      <c r="E231" s="285">
        <f t="shared" si="9"/>
        <v>183.91544727138802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44517</v>
      </c>
      <c r="C232" s="285">
        <v>289.04092700000001</v>
      </c>
      <c r="D232" s="286">
        <v>183.91544727138802</v>
      </c>
      <c r="E232" s="285">
        <f t="shared" si="9"/>
        <v>183.91544727138802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44518</v>
      </c>
      <c r="C233" s="285">
        <v>219.48891999999998</v>
      </c>
      <c r="D233" s="286">
        <v>183.91544727138802</v>
      </c>
      <c r="E233" s="285">
        <f t="shared" si="9"/>
        <v>183.91544727138802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44519</v>
      </c>
      <c r="C234" s="285">
        <v>154.32367099999999</v>
      </c>
      <c r="D234" s="286">
        <v>183.91544727138802</v>
      </c>
      <c r="E234" s="285">
        <f t="shared" si="9"/>
        <v>154.32367099999999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44520</v>
      </c>
      <c r="C235" s="285">
        <v>82.706011000000004</v>
      </c>
      <c r="D235" s="286">
        <v>183.91544727138802</v>
      </c>
      <c r="E235" s="285">
        <f t="shared" si="9"/>
        <v>82.706011000000004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44521</v>
      </c>
      <c r="C236" s="285">
        <v>82.872039000000001</v>
      </c>
      <c r="D236" s="286">
        <v>183.91544727138802</v>
      </c>
      <c r="E236" s="285">
        <f t="shared" si="9"/>
        <v>82.872039000000001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44522</v>
      </c>
      <c r="C237" s="285">
        <v>165.64692600000001</v>
      </c>
      <c r="D237" s="286">
        <v>183.91544727138802</v>
      </c>
      <c r="E237" s="285">
        <f t="shared" si="9"/>
        <v>165.64692600000001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44523</v>
      </c>
      <c r="C238" s="285">
        <v>218.25944699999999</v>
      </c>
      <c r="D238" s="286">
        <v>183.91544727138802</v>
      </c>
      <c r="E238" s="285">
        <f t="shared" si="9"/>
        <v>183.91544727138802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44524</v>
      </c>
      <c r="C239" s="285">
        <v>184.36218700000001</v>
      </c>
      <c r="D239" s="286">
        <v>183.91544727138802</v>
      </c>
      <c r="E239" s="285">
        <f t="shared" si="9"/>
        <v>183.91544727138802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44525</v>
      </c>
      <c r="C240" s="285">
        <v>249.635299</v>
      </c>
      <c r="D240" s="286">
        <v>183.91544727138802</v>
      </c>
      <c r="E240" s="285">
        <f t="shared" si="9"/>
        <v>183.91544727138802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44526</v>
      </c>
      <c r="C241" s="285">
        <v>259.46151900000001</v>
      </c>
      <c r="D241" s="286">
        <v>183.91544727138802</v>
      </c>
      <c r="E241" s="285">
        <f t="shared" si="9"/>
        <v>183.91544727138802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44527</v>
      </c>
      <c r="C242" s="285">
        <v>368.92908699999998</v>
      </c>
      <c r="D242" s="286">
        <v>183.91544727138802</v>
      </c>
      <c r="E242" s="285">
        <f t="shared" si="9"/>
        <v>183.91544727138802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44528</v>
      </c>
      <c r="C243" s="285">
        <v>350.87088900000003</v>
      </c>
      <c r="D243" s="286">
        <v>183.91544727138802</v>
      </c>
      <c r="E243" s="285">
        <f t="shared" si="9"/>
        <v>183.91544727138802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44529</v>
      </c>
      <c r="C244" s="285">
        <v>309.36996700000003</v>
      </c>
      <c r="D244" s="286">
        <v>183.91544727138802</v>
      </c>
      <c r="E244" s="285">
        <f t="shared" si="9"/>
        <v>183.91544727138802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44530</v>
      </c>
      <c r="C245" s="285">
        <v>81.182106000000005</v>
      </c>
      <c r="D245" s="286">
        <v>183.91544727138802</v>
      </c>
      <c r="E245" s="285">
        <f t="shared" si="9"/>
        <v>81.182106000000005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44531</v>
      </c>
      <c r="C246" s="285">
        <v>232.54872</v>
      </c>
      <c r="D246" s="286">
        <v>181.48791176451735</v>
      </c>
      <c r="E246" s="285">
        <f t="shared" si="9"/>
        <v>181.48791176451735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44532</v>
      </c>
      <c r="C247" s="285">
        <v>335.91356800000005</v>
      </c>
      <c r="D247" s="286">
        <v>181.48791176451735</v>
      </c>
      <c r="E247" s="285">
        <f t="shared" si="9"/>
        <v>181.48791176451735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44533</v>
      </c>
      <c r="C248" s="285">
        <v>294.551716</v>
      </c>
      <c r="D248" s="286">
        <v>181.48791176451735</v>
      </c>
      <c r="E248" s="285">
        <f t="shared" si="9"/>
        <v>181.48791176451735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44534</v>
      </c>
      <c r="C249" s="285">
        <v>319.35013800000002</v>
      </c>
      <c r="D249" s="286">
        <v>181.48791176451735</v>
      </c>
      <c r="E249" s="285">
        <f t="shared" si="9"/>
        <v>181.48791176451735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44535</v>
      </c>
      <c r="C250" s="285">
        <v>390.46231300000005</v>
      </c>
      <c r="D250" s="286">
        <v>181.48791176451735</v>
      </c>
      <c r="E250" s="285">
        <f t="shared" si="9"/>
        <v>181.48791176451735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44536</v>
      </c>
      <c r="C251" s="285">
        <v>282.725908</v>
      </c>
      <c r="D251" s="286">
        <v>181.48791176451735</v>
      </c>
      <c r="E251" s="285">
        <f t="shared" si="9"/>
        <v>181.48791176451735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44537</v>
      </c>
      <c r="C252" s="285">
        <v>301.45201200000002</v>
      </c>
      <c r="D252" s="286">
        <v>181.48791176451735</v>
      </c>
      <c r="E252" s="285">
        <f t="shared" si="9"/>
        <v>181.48791176451735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44538</v>
      </c>
      <c r="C253" s="285">
        <v>423.30775200000005</v>
      </c>
      <c r="D253" s="286">
        <v>181.48791176451735</v>
      </c>
      <c r="E253" s="285">
        <f t="shared" si="9"/>
        <v>181.48791176451735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44539</v>
      </c>
      <c r="C254" s="285">
        <v>386.485388</v>
      </c>
      <c r="D254" s="286">
        <v>181.48791176451735</v>
      </c>
      <c r="E254" s="285">
        <f t="shared" si="9"/>
        <v>181.48791176451735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44540</v>
      </c>
      <c r="C255" s="285">
        <v>417.07023799999996</v>
      </c>
      <c r="D255" s="286">
        <v>181.48791176451735</v>
      </c>
      <c r="E255" s="285">
        <f t="shared" si="9"/>
        <v>181.48791176451735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44541</v>
      </c>
      <c r="C256" s="285">
        <v>260.28360699999996</v>
      </c>
      <c r="D256" s="286">
        <v>181.48791176451735</v>
      </c>
      <c r="E256" s="285">
        <f t="shared" si="9"/>
        <v>181.48791176451735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44542</v>
      </c>
      <c r="C257" s="285">
        <v>99.346322000000001</v>
      </c>
      <c r="D257" s="286">
        <v>181.48791176451735</v>
      </c>
      <c r="E257" s="285">
        <f t="shared" si="9"/>
        <v>99.346322000000001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44543</v>
      </c>
      <c r="C258" s="285">
        <v>92.523330000000001</v>
      </c>
      <c r="D258" s="286">
        <v>181.48791176451735</v>
      </c>
      <c r="E258" s="285">
        <f t="shared" si="9"/>
        <v>92.523330000000001</v>
      </c>
      <c r="F258" s="295"/>
      <c r="G258" s="199" t="str">
        <f t="shared" si="10"/>
        <v/>
      </c>
      <c r="H258" s="287" t="str">
        <f t="shared" si="11"/>
        <v/>
      </c>
      <c r="I258" s="288"/>
    </row>
    <row r="259" spans="1:9">
      <c r="A259" s="283">
        <v>257</v>
      </c>
      <c r="B259" s="284">
        <v>44544</v>
      </c>
      <c r="C259" s="285">
        <v>60.152150999999996</v>
      </c>
      <c r="D259" s="286">
        <v>181.48791176451735</v>
      </c>
      <c r="E259" s="285">
        <f t="shared" ref="E259:E322" si="12">IF(C259&gt;D259,D259,C259)</f>
        <v>60.152150999999996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87" t="str">
        <f t="shared" ref="H259:H322" si="14">IF(DAY($B259)=15,TEXT(D259,"#,0"),"")</f>
        <v/>
      </c>
      <c r="I259" s="288"/>
    </row>
    <row r="260" spans="1:9">
      <c r="A260" s="283">
        <v>258</v>
      </c>
      <c r="B260" s="284">
        <v>44545</v>
      </c>
      <c r="C260" s="285">
        <v>107.20201300000001</v>
      </c>
      <c r="D260" s="286">
        <v>181.48791176451735</v>
      </c>
      <c r="E260" s="285">
        <f t="shared" si="12"/>
        <v>107.20201300000001</v>
      </c>
      <c r="F260" s="295"/>
      <c r="G260" s="199" t="str">
        <f t="shared" si="13"/>
        <v>D</v>
      </c>
      <c r="H260" s="287" t="str">
        <f t="shared" si="14"/>
        <v>181,5</v>
      </c>
      <c r="I260" s="288"/>
    </row>
    <row r="261" spans="1:9">
      <c r="A261" s="283">
        <v>259</v>
      </c>
      <c r="B261" s="284">
        <v>44546</v>
      </c>
      <c r="C261" s="285">
        <v>147.840676</v>
      </c>
      <c r="D261" s="286">
        <v>181.48791176451735</v>
      </c>
      <c r="E261" s="285">
        <f t="shared" si="12"/>
        <v>147.840676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44547</v>
      </c>
      <c r="C262" s="285">
        <v>113.43718</v>
      </c>
      <c r="D262" s="286">
        <v>181.48791176451735</v>
      </c>
      <c r="E262" s="285">
        <f t="shared" si="12"/>
        <v>113.43718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44548</v>
      </c>
      <c r="C263" s="285">
        <v>83.451227000000003</v>
      </c>
      <c r="D263" s="286">
        <v>181.48791176451735</v>
      </c>
      <c r="E263" s="285">
        <f t="shared" si="12"/>
        <v>83.451227000000003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44549</v>
      </c>
      <c r="C264" s="285">
        <v>122.51447400000001</v>
      </c>
      <c r="D264" s="286">
        <v>181.48791176451735</v>
      </c>
      <c r="E264" s="285">
        <f t="shared" si="12"/>
        <v>122.51447400000001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44550</v>
      </c>
      <c r="C265" s="285">
        <v>119.96771099999999</v>
      </c>
      <c r="D265" s="286">
        <v>181.48791176451735</v>
      </c>
      <c r="E265" s="285">
        <f t="shared" si="12"/>
        <v>119.96771099999999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44551</v>
      </c>
      <c r="C266" s="285">
        <v>131.450579</v>
      </c>
      <c r="D266" s="286">
        <v>181.48791176451735</v>
      </c>
      <c r="E266" s="285">
        <f t="shared" si="12"/>
        <v>131.450579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44552</v>
      </c>
      <c r="C267" s="285">
        <v>141.59109799999999</v>
      </c>
      <c r="D267" s="286">
        <v>181.48791176451735</v>
      </c>
      <c r="E267" s="285">
        <f t="shared" si="12"/>
        <v>141.59109799999999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44553</v>
      </c>
      <c r="C268" s="285">
        <v>162.03058199999998</v>
      </c>
      <c r="D268" s="286">
        <v>181.48791176451735</v>
      </c>
      <c r="E268" s="285">
        <f t="shared" si="12"/>
        <v>162.03058199999998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44554</v>
      </c>
      <c r="C269" s="285">
        <v>198.19411799999997</v>
      </c>
      <c r="D269" s="286">
        <v>181.48791176451735</v>
      </c>
      <c r="E269" s="285">
        <f t="shared" si="12"/>
        <v>181.48791176451735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44555</v>
      </c>
      <c r="C270" s="285">
        <v>160.13869</v>
      </c>
      <c r="D270" s="286">
        <v>181.48791176451735</v>
      </c>
      <c r="E270" s="285">
        <f t="shared" si="12"/>
        <v>160.13869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44556</v>
      </c>
      <c r="C271" s="285">
        <v>235.758375</v>
      </c>
      <c r="D271" s="286">
        <v>181.48791176451735</v>
      </c>
      <c r="E271" s="285">
        <f t="shared" si="12"/>
        <v>181.48791176451735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44557</v>
      </c>
      <c r="C272" s="285">
        <v>391.16411900000003</v>
      </c>
      <c r="D272" s="286">
        <v>181.48791176451735</v>
      </c>
      <c r="E272" s="285">
        <f t="shared" si="12"/>
        <v>181.48791176451735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44558</v>
      </c>
      <c r="C273" s="285">
        <v>378.94098299999996</v>
      </c>
      <c r="D273" s="286">
        <v>181.48791176451735</v>
      </c>
      <c r="E273" s="285">
        <f t="shared" si="12"/>
        <v>181.48791176451735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44559</v>
      </c>
      <c r="C274" s="285">
        <v>214.961682</v>
      </c>
      <c r="D274" s="286">
        <v>181.48791176451735</v>
      </c>
      <c r="E274" s="285">
        <f t="shared" si="12"/>
        <v>181.48791176451735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44560</v>
      </c>
      <c r="C275" s="285">
        <v>93.666549000000003</v>
      </c>
      <c r="D275" s="286">
        <v>181.48791176451735</v>
      </c>
      <c r="E275" s="285">
        <f t="shared" si="12"/>
        <v>93.666549000000003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44561</v>
      </c>
      <c r="C276" s="285">
        <v>120.18132399999999</v>
      </c>
      <c r="D276" s="286">
        <v>181.48791176451735</v>
      </c>
      <c r="E276" s="285">
        <f t="shared" si="12"/>
        <v>120.18132399999999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44562</v>
      </c>
      <c r="C277" s="285">
        <v>139.46714299999999</v>
      </c>
      <c r="D277" s="286">
        <v>211.46485176939154</v>
      </c>
      <c r="E277" s="285">
        <f t="shared" si="12"/>
        <v>139.46714299999999</v>
      </c>
      <c r="F277" s="288">
        <f>YEAR(B277)</f>
        <v>2022</v>
      </c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44563</v>
      </c>
      <c r="C278" s="285">
        <v>103.22421899999999</v>
      </c>
      <c r="D278" s="286">
        <v>211.46485176939154</v>
      </c>
      <c r="E278" s="285">
        <f t="shared" si="12"/>
        <v>103.22421899999999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44564</v>
      </c>
      <c r="C279" s="285">
        <v>151.54802099999998</v>
      </c>
      <c r="D279" s="286">
        <v>211.46485176939154</v>
      </c>
      <c r="E279" s="285">
        <f t="shared" si="12"/>
        <v>151.54802099999998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44565</v>
      </c>
      <c r="C280" s="285">
        <v>303.58201500000001</v>
      </c>
      <c r="D280" s="286">
        <v>211.46485176939154</v>
      </c>
      <c r="E280" s="285">
        <f t="shared" si="12"/>
        <v>211.46485176939154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44566</v>
      </c>
      <c r="C281" s="285">
        <v>291.232482</v>
      </c>
      <c r="D281" s="286">
        <v>211.46485176939154</v>
      </c>
      <c r="E281" s="285">
        <f t="shared" si="12"/>
        <v>211.46485176939154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44567</v>
      </c>
      <c r="C282" s="285">
        <v>206.08566300000001</v>
      </c>
      <c r="D282" s="286">
        <v>211.46485176939154</v>
      </c>
      <c r="E282" s="285">
        <f t="shared" si="12"/>
        <v>206.08566300000001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44568</v>
      </c>
      <c r="C283" s="285">
        <v>208.517426</v>
      </c>
      <c r="D283" s="286">
        <v>211.46485176939154</v>
      </c>
      <c r="E283" s="285">
        <f t="shared" si="12"/>
        <v>208.517426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44569</v>
      </c>
      <c r="C284" s="285">
        <v>261.85432700000001</v>
      </c>
      <c r="D284" s="286">
        <v>211.46485176939154</v>
      </c>
      <c r="E284" s="285">
        <f t="shared" si="12"/>
        <v>211.46485176939154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44570</v>
      </c>
      <c r="C285" s="285">
        <v>392.63695100000001</v>
      </c>
      <c r="D285" s="286">
        <v>211.46485176939154</v>
      </c>
      <c r="E285" s="285">
        <f t="shared" si="12"/>
        <v>211.46485176939154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44571</v>
      </c>
      <c r="C286" s="285">
        <v>307.09090900000001</v>
      </c>
      <c r="D286" s="286">
        <v>211.46485176939154</v>
      </c>
      <c r="E286" s="285">
        <f t="shared" si="12"/>
        <v>211.46485176939154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44572</v>
      </c>
      <c r="C287" s="285">
        <v>245.221847</v>
      </c>
      <c r="D287" s="286">
        <v>211.46485176939154</v>
      </c>
      <c r="E287" s="285">
        <f t="shared" si="12"/>
        <v>211.46485176939154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44573</v>
      </c>
      <c r="C288" s="285">
        <v>263.36616300000003</v>
      </c>
      <c r="D288" s="286">
        <v>211.46485176939154</v>
      </c>
      <c r="E288" s="285">
        <f t="shared" si="12"/>
        <v>211.46485176939154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44574</v>
      </c>
      <c r="C289" s="285">
        <v>128.97225800000001</v>
      </c>
      <c r="D289" s="286">
        <v>211.46485176939154</v>
      </c>
      <c r="E289" s="285">
        <f t="shared" si="12"/>
        <v>128.97225800000001</v>
      </c>
      <c r="F289" s="295"/>
      <c r="G289" s="199" t="str">
        <f t="shared" si="13"/>
        <v/>
      </c>
      <c r="H289" s="287" t="str">
        <f t="shared" si="14"/>
        <v/>
      </c>
      <c r="I289" s="288"/>
    </row>
    <row r="290" spans="1:9">
      <c r="A290" s="283">
        <v>288</v>
      </c>
      <c r="B290" s="284">
        <v>44575</v>
      </c>
      <c r="C290" s="285">
        <v>84.023750000000007</v>
      </c>
      <c r="D290" s="286">
        <v>211.46485176939154</v>
      </c>
      <c r="E290" s="285">
        <f t="shared" si="12"/>
        <v>84.023750000000007</v>
      </c>
      <c r="F290" s="295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44576</v>
      </c>
      <c r="C291" s="285">
        <v>62.009610000000002</v>
      </c>
      <c r="D291" s="286">
        <v>211.46485176939154</v>
      </c>
      <c r="E291" s="285">
        <f t="shared" si="12"/>
        <v>62.009610000000002</v>
      </c>
      <c r="F291" s="288"/>
      <c r="G291" s="199" t="str">
        <f t="shared" si="13"/>
        <v>E</v>
      </c>
      <c r="H291" s="287" t="str">
        <f t="shared" si="14"/>
        <v>211,5</v>
      </c>
      <c r="I291" s="288"/>
    </row>
    <row r="292" spans="1:9">
      <c r="A292" s="283">
        <v>290</v>
      </c>
      <c r="B292" s="284">
        <v>44577</v>
      </c>
      <c r="C292" s="285">
        <v>64.098206000000005</v>
      </c>
      <c r="D292" s="286">
        <v>211.46485176939154</v>
      </c>
      <c r="E292" s="285">
        <f t="shared" si="12"/>
        <v>64.098206000000005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44578</v>
      </c>
      <c r="C293" s="285">
        <v>76.089658</v>
      </c>
      <c r="D293" s="286">
        <v>211.46485176939154</v>
      </c>
      <c r="E293" s="285">
        <f t="shared" si="12"/>
        <v>76.089658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44579</v>
      </c>
      <c r="C294" s="285">
        <v>50.593338000000003</v>
      </c>
      <c r="D294" s="286">
        <v>211.46485176939154</v>
      </c>
      <c r="E294" s="285">
        <f t="shared" si="12"/>
        <v>50.593338000000003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44580</v>
      </c>
      <c r="C295" s="285">
        <v>95.961089000000001</v>
      </c>
      <c r="D295" s="286">
        <v>211.46485176939154</v>
      </c>
      <c r="E295" s="285">
        <f t="shared" si="12"/>
        <v>95.961089000000001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44581</v>
      </c>
      <c r="C296" s="285">
        <v>208.84425399999998</v>
      </c>
      <c r="D296" s="286">
        <v>211.46485176939154</v>
      </c>
      <c r="E296" s="285">
        <f t="shared" si="12"/>
        <v>208.84425399999998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44582</v>
      </c>
      <c r="C297" s="285">
        <v>308.51583400000004</v>
      </c>
      <c r="D297" s="286">
        <v>211.46485176939154</v>
      </c>
      <c r="E297" s="285">
        <f t="shared" si="12"/>
        <v>211.46485176939154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44583</v>
      </c>
      <c r="C298" s="285">
        <v>174.68729300000001</v>
      </c>
      <c r="D298" s="286">
        <v>211.46485176939154</v>
      </c>
      <c r="E298" s="285">
        <f t="shared" si="12"/>
        <v>174.68729300000001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44584</v>
      </c>
      <c r="C299" s="285">
        <v>95.033597</v>
      </c>
      <c r="D299" s="286">
        <v>211.46485176939154</v>
      </c>
      <c r="E299" s="285">
        <f t="shared" si="12"/>
        <v>95.033597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44585</v>
      </c>
      <c r="C300" s="285">
        <v>82.138345000000001</v>
      </c>
      <c r="D300" s="286">
        <v>211.46485176939154</v>
      </c>
      <c r="E300" s="285">
        <f t="shared" si="12"/>
        <v>82.138345000000001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44586</v>
      </c>
      <c r="C301" s="285">
        <v>99.780138000000008</v>
      </c>
      <c r="D301" s="286">
        <v>211.46485176939154</v>
      </c>
      <c r="E301" s="285">
        <f t="shared" si="12"/>
        <v>99.780138000000008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44587</v>
      </c>
      <c r="C302" s="285">
        <v>122.851392</v>
      </c>
      <c r="D302" s="286">
        <v>211.46485176939154</v>
      </c>
      <c r="E302" s="285">
        <f t="shared" si="12"/>
        <v>122.851392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44588</v>
      </c>
      <c r="C303" s="285">
        <v>134.06660399999998</v>
      </c>
      <c r="D303" s="286">
        <v>211.46485176939154</v>
      </c>
      <c r="E303" s="285">
        <f t="shared" si="12"/>
        <v>134.06660399999998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44589</v>
      </c>
      <c r="C304" s="285">
        <v>212.95236799999998</v>
      </c>
      <c r="D304" s="286">
        <v>211.46485176939154</v>
      </c>
      <c r="E304" s="285">
        <f t="shared" si="12"/>
        <v>211.46485176939154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44590</v>
      </c>
      <c r="C305" s="285">
        <v>114.510254</v>
      </c>
      <c r="D305" s="286">
        <v>211.46485176939154</v>
      </c>
      <c r="E305" s="285">
        <f t="shared" si="12"/>
        <v>114.510254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44591</v>
      </c>
      <c r="C306" s="285">
        <v>91.937937999999988</v>
      </c>
      <c r="D306" s="286">
        <v>211.46485176939154</v>
      </c>
      <c r="E306" s="285">
        <f t="shared" si="12"/>
        <v>91.937937999999988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44592</v>
      </c>
      <c r="C307" s="285">
        <v>297.76748099999998</v>
      </c>
      <c r="D307" s="286">
        <v>211.46485176939154</v>
      </c>
      <c r="E307" s="285">
        <f t="shared" si="12"/>
        <v>211.46485176939154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44593</v>
      </c>
      <c r="C308" s="285">
        <v>315.257271</v>
      </c>
      <c r="D308" s="286">
        <v>223.24475299128139</v>
      </c>
      <c r="E308" s="285">
        <f t="shared" si="12"/>
        <v>223.24475299128139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44594</v>
      </c>
      <c r="C309" s="285">
        <v>143.00407200000001</v>
      </c>
      <c r="D309" s="286">
        <v>223.24475299128139</v>
      </c>
      <c r="E309" s="285">
        <f t="shared" si="12"/>
        <v>143.00407200000001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44595</v>
      </c>
      <c r="C310" s="285">
        <v>83.152304999999998</v>
      </c>
      <c r="D310" s="286">
        <v>223.24475299128139</v>
      </c>
      <c r="E310" s="285">
        <f t="shared" si="12"/>
        <v>83.152304999999998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44596</v>
      </c>
      <c r="C311" s="285">
        <v>104.76411</v>
      </c>
      <c r="D311" s="286">
        <v>223.24475299128139</v>
      </c>
      <c r="E311" s="285">
        <f t="shared" si="12"/>
        <v>104.76411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44597</v>
      </c>
      <c r="C312" s="285">
        <v>199.61296399999998</v>
      </c>
      <c r="D312" s="286">
        <v>223.24475299128139</v>
      </c>
      <c r="E312" s="285">
        <f t="shared" si="12"/>
        <v>199.61296399999998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44598</v>
      </c>
      <c r="C313" s="285">
        <v>147.17840699999999</v>
      </c>
      <c r="D313" s="286">
        <v>223.24475299128139</v>
      </c>
      <c r="E313" s="285">
        <f t="shared" si="12"/>
        <v>147.17840699999999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44599</v>
      </c>
      <c r="C314" s="285">
        <v>237.96122199999999</v>
      </c>
      <c r="D314" s="286">
        <v>223.24475299128139</v>
      </c>
      <c r="E314" s="285">
        <f t="shared" si="12"/>
        <v>223.24475299128139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44600</v>
      </c>
      <c r="C315" s="285">
        <v>135.36111300000002</v>
      </c>
      <c r="D315" s="286">
        <v>223.24475299128139</v>
      </c>
      <c r="E315" s="285">
        <f t="shared" si="12"/>
        <v>135.36111300000002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44601</v>
      </c>
      <c r="C316" s="285">
        <v>102.295768</v>
      </c>
      <c r="D316" s="286">
        <v>223.24475299128139</v>
      </c>
      <c r="E316" s="285">
        <f t="shared" si="12"/>
        <v>102.295768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44602</v>
      </c>
      <c r="C317" s="285">
        <v>49.844251999999997</v>
      </c>
      <c r="D317" s="286">
        <v>223.24475299128139</v>
      </c>
      <c r="E317" s="285">
        <f t="shared" si="12"/>
        <v>49.844251999999997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44603</v>
      </c>
      <c r="C318" s="285">
        <v>73.976751999999991</v>
      </c>
      <c r="D318" s="286">
        <v>223.24475299128139</v>
      </c>
      <c r="E318" s="285">
        <f t="shared" si="12"/>
        <v>73.976751999999991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44604</v>
      </c>
      <c r="C319" s="285">
        <v>49.262667999999998</v>
      </c>
      <c r="D319" s="286">
        <v>223.24475299128139</v>
      </c>
      <c r="E319" s="285">
        <f t="shared" si="12"/>
        <v>49.262667999999998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44605</v>
      </c>
      <c r="C320" s="285">
        <v>247.01759799999999</v>
      </c>
      <c r="D320" s="286">
        <v>223.24475299128139</v>
      </c>
      <c r="E320" s="285">
        <f t="shared" si="12"/>
        <v>223.24475299128139</v>
      </c>
      <c r="F320" s="295"/>
      <c r="G320" s="199" t="str">
        <f t="shared" si="13"/>
        <v/>
      </c>
      <c r="H320" s="287" t="str">
        <f t="shared" si="14"/>
        <v/>
      </c>
      <c r="I320" s="288"/>
    </row>
    <row r="321" spans="1:9">
      <c r="A321" s="283">
        <v>319</v>
      </c>
      <c r="B321" s="284">
        <v>44606</v>
      </c>
      <c r="C321" s="285">
        <v>299.31438199999997</v>
      </c>
      <c r="D321" s="286">
        <v>223.24475299128139</v>
      </c>
      <c r="E321" s="285">
        <f t="shared" si="12"/>
        <v>223.24475299128139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44607</v>
      </c>
      <c r="C322" s="285">
        <v>232.98200600000001</v>
      </c>
      <c r="D322" s="286">
        <v>223.24475299128139</v>
      </c>
      <c r="E322" s="285">
        <f t="shared" si="12"/>
        <v>223.24475299128139</v>
      </c>
      <c r="F322" s="288"/>
      <c r="G322" s="199" t="str">
        <f t="shared" si="13"/>
        <v>F</v>
      </c>
      <c r="H322" s="287" t="str">
        <f t="shared" si="14"/>
        <v>223,2</v>
      </c>
      <c r="I322" s="288"/>
    </row>
    <row r="323" spans="1:9">
      <c r="A323" s="283">
        <v>321</v>
      </c>
      <c r="B323" s="284">
        <v>44608</v>
      </c>
      <c r="C323" s="285">
        <v>313.494958</v>
      </c>
      <c r="D323" s="286">
        <v>223.24475299128139</v>
      </c>
      <c r="E323" s="285">
        <f t="shared" ref="E323:E386" si="15">IF(C323&gt;D323,D323,C323)</f>
        <v>223.24475299128139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44609</v>
      </c>
      <c r="C324" s="285">
        <v>175.595237</v>
      </c>
      <c r="D324" s="286">
        <v>223.24475299128139</v>
      </c>
      <c r="E324" s="285">
        <f t="shared" si="15"/>
        <v>175.595237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44610</v>
      </c>
      <c r="C325" s="285">
        <v>145.04514500000002</v>
      </c>
      <c r="D325" s="286">
        <v>223.24475299128139</v>
      </c>
      <c r="E325" s="285">
        <f t="shared" si="15"/>
        <v>145.04514500000002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44611</v>
      </c>
      <c r="C326" s="285">
        <v>233.749876</v>
      </c>
      <c r="D326" s="286">
        <v>223.24475299128139</v>
      </c>
      <c r="E326" s="285">
        <f t="shared" si="15"/>
        <v>223.24475299128139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44612</v>
      </c>
      <c r="C327" s="285">
        <v>139.12622699999997</v>
      </c>
      <c r="D327" s="286">
        <v>223.24475299128139</v>
      </c>
      <c r="E327" s="285">
        <f t="shared" si="15"/>
        <v>139.12622699999997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44613</v>
      </c>
      <c r="C328" s="285">
        <v>204.219041</v>
      </c>
      <c r="D328" s="286">
        <v>223.24475299128139</v>
      </c>
      <c r="E328" s="285">
        <f t="shared" si="15"/>
        <v>204.219041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44614</v>
      </c>
      <c r="C329" s="285">
        <v>187.93743399999997</v>
      </c>
      <c r="D329" s="286">
        <v>223.24475299128139</v>
      </c>
      <c r="E329" s="285">
        <f t="shared" si="15"/>
        <v>187.93743399999997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44615</v>
      </c>
      <c r="C330" s="285">
        <v>111.768598</v>
      </c>
      <c r="D330" s="286">
        <v>223.24475299128139</v>
      </c>
      <c r="E330" s="285">
        <f t="shared" si="15"/>
        <v>111.768598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44616</v>
      </c>
      <c r="C331" s="285">
        <v>134.72277400000002</v>
      </c>
      <c r="D331" s="286">
        <v>223.24475299128139</v>
      </c>
      <c r="E331" s="285">
        <f t="shared" si="15"/>
        <v>134.72277400000002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44617</v>
      </c>
      <c r="C332" s="285">
        <v>301.68914000000001</v>
      </c>
      <c r="D332" s="286">
        <v>223.24475299128139</v>
      </c>
      <c r="E332" s="285">
        <f t="shared" si="15"/>
        <v>223.24475299128139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44618</v>
      </c>
      <c r="C333" s="285">
        <v>175.135582</v>
      </c>
      <c r="D333" s="286">
        <v>223.24475299128139</v>
      </c>
      <c r="E333" s="285">
        <f t="shared" si="15"/>
        <v>175.135582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44619</v>
      </c>
      <c r="C334" s="285">
        <v>59.524362000000004</v>
      </c>
      <c r="D334" s="286">
        <v>223.24475299128139</v>
      </c>
      <c r="E334" s="285">
        <f t="shared" si="15"/>
        <v>59.524362000000004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44620</v>
      </c>
      <c r="C335" s="285">
        <v>58.070957</v>
      </c>
      <c r="D335" s="286">
        <v>223.24475299128139</v>
      </c>
      <c r="E335" s="285">
        <f>IF(C335&gt;D335,D335,C335)</f>
        <v>58.070957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44621</v>
      </c>
      <c r="C336" s="285">
        <v>122.91699700000001</v>
      </c>
      <c r="D336" s="286">
        <v>206.73080165777128</v>
      </c>
      <c r="E336" s="285">
        <f t="shared" si="15"/>
        <v>122.91699700000001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44622</v>
      </c>
      <c r="C337" s="285">
        <v>183.592702</v>
      </c>
      <c r="D337" s="286">
        <v>206.73080165777128</v>
      </c>
      <c r="E337" s="285">
        <f t="shared" si="15"/>
        <v>183.592702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44623</v>
      </c>
      <c r="C338" s="285">
        <v>179.27895699999999</v>
      </c>
      <c r="D338" s="286">
        <v>206.73080165777128</v>
      </c>
      <c r="E338" s="285">
        <f t="shared" si="15"/>
        <v>179.27895699999999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44624</v>
      </c>
      <c r="C339" s="285">
        <v>292.193397</v>
      </c>
      <c r="D339" s="286">
        <v>206.73080165777128</v>
      </c>
      <c r="E339" s="285">
        <f t="shared" si="15"/>
        <v>206.73080165777128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44625</v>
      </c>
      <c r="C340" s="285">
        <v>162.66122399999998</v>
      </c>
      <c r="D340" s="286">
        <v>206.73080165777128</v>
      </c>
      <c r="E340" s="285">
        <f t="shared" si="15"/>
        <v>162.66122399999998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44626</v>
      </c>
      <c r="C341" s="285">
        <v>130.20854700000001</v>
      </c>
      <c r="D341" s="286">
        <v>206.73080165777128</v>
      </c>
      <c r="E341" s="285">
        <f t="shared" si="15"/>
        <v>130.20854700000001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44627</v>
      </c>
      <c r="C342" s="285">
        <v>102.681793</v>
      </c>
      <c r="D342" s="286">
        <v>206.73080165777128</v>
      </c>
      <c r="E342" s="285">
        <f t="shared" si="15"/>
        <v>102.681793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44628</v>
      </c>
      <c r="C343" s="285">
        <v>167.990995</v>
      </c>
      <c r="D343" s="286">
        <v>206.73080165777128</v>
      </c>
      <c r="E343" s="285">
        <f t="shared" si="15"/>
        <v>167.990995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44629</v>
      </c>
      <c r="C344" s="285">
        <v>159.00417899999997</v>
      </c>
      <c r="D344" s="286">
        <v>206.73080165777128</v>
      </c>
      <c r="E344" s="285">
        <f t="shared" si="15"/>
        <v>159.00417899999997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44630</v>
      </c>
      <c r="C345" s="285">
        <v>200.78646499999999</v>
      </c>
      <c r="D345" s="286">
        <v>206.73080165777128</v>
      </c>
      <c r="E345" s="285">
        <f t="shared" si="15"/>
        <v>200.78646499999999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44631</v>
      </c>
      <c r="C346" s="285">
        <v>249.18439599999999</v>
      </c>
      <c r="D346" s="286">
        <v>206.73080165777128</v>
      </c>
      <c r="E346" s="285">
        <f t="shared" si="15"/>
        <v>206.73080165777128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44632</v>
      </c>
      <c r="C347" s="285">
        <v>232.19116200000002</v>
      </c>
      <c r="D347" s="286">
        <v>206.73080165777128</v>
      </c>
      <c r="E347" s="285">
        <f t="shared" si="15"/>
        <v>206.73080165777128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44633</v>
      </c>
      <c r="C348" s="285">
        <v>162.969685</v>
      </c>
      <c r="D348" s="286">
        <v>206.73080165777128</v>
      </c>
      <c r="E348" s="285">
        <f t="shared" si="15"/>
        <v>162.969685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44634</v>
      </c>
      <c r="C349" s="285">
        <v>357.43951299999998</v>
      </c>
      <c r="D349" s="286">
        <v>206.73080165777128</v>
      </c>
      <c r="E349" s="285">
        <f t="shared" si="15"/>
        <v>206.73080165777128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44635</v>
      </c>
      <c r="C350" s="285">
        <v>324.42634100000004</v>
      </c>
      <c r="D350" s="286">
        <v>206.73080165777128</v>
      </c>
      <c r="E350" s="285">
        <f t="shared" si="15"/>
        <v>206.73080165777128</v>
      </c>
      <c r="F350" s="295"/>
      <c r="G350" s="199" t="str">
        <f t="shared" si="16"/>
        <v>M</v>
      </c>
      <c r="H350" s="287" t="str">
        <f t="shared" si="17"/>
        <v>206,7</v>
      </c>
      <c r="I350" s="288"/>
    </row>
    <row r="351" spans="1:9">
      <c r="A351" s="283">
        <v>349</v>
      </c>
      <c r="B351" s="284">
        <v>44636</v>
      </c>
      <c r="C351" s="285">
        <v>205.35738899999998</v>
      </c>
      <c r="D351" s="286">
        <v>206.73080165777128</v>
      </c>
      <c r="E351" s="285">
        <f t="shared" si="15"/>
        <v>205.35738899999998</v>
      </c>
      <c r="F351" s="288"/>
      <c r="G351" s="199" t="str">
        <f t="shared" si="16"/>
        <v/>
      </c>
      <c r="H351" s="287" t="str">
        <f t="shared" si="17"/>
        <v/>
      </c>
      <c r="I351" s="288"/>
    </row>
    <row r="352" spans="1:9">
      <c r="A352" s="283">
        <v>350</v>
      </c>
      <c r="B352" s="284">
        <v>44637</v>
      </c>
      <c r="C352" s="285">
        <v>392.84063500000002</v>
      </c>
      <c r="D352" s="286">
        <v>206.73080165777128</v>
      </c>
      <c r="E352" s="285">
        <f t="shared" si="15"/>
        <v>206.73080165777128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44638</v>
      </c>
      <c r="C353" s="285">
        <v>202.779304</v>
      </c>
      <c r="D353" s="286">
        <v>206.73080165777128</v>
      </c>
      <c r="E353" s="285">
        <f t="shared" si="15"/>
        <v>202.779304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44639</v>
      </c>
      <c r="C354" s="285">
        <v>138.549688</v>
      </c>
      <c r="D354" s="286">
        <v>206.73080165777128</v>
      </c>
      <c r="E354" s="285">
        <f t="shared" si="15"/>
        <v>138.549688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44640</v>
      </c>
      <c r="C355" s="285">
        <v>238.59893700000001</v>
      </c>
      <c r="D355" s="286">
        <v>206.73080165777128</v>
      </c>
      <c r="E355" s="285">
        <f t="shared" si="15"/>
        <v>206.73080165777128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44641</v>
      </c>
      <c r="C356" s="285">
        <v>284.60391299999998</v>
      </c>
      <c r="D356" s="286">
        <v>206.73080165777128</v>
      </c>
      <c r="E356" s="285">
        <f t="shared" si="15"/>
        <v>206.73080165777128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44642</v>
      </c>
      <c r="C357" s="285">
        <v>306.63752199999999</v>
      </c>
      <c r="D357" s="286">
        <v>206.73080165777128</v>
      </c>
      <c r="E357" s="285">
        <f t="shared" si="15"/>
        <v>206.73080165777128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44643</v>
      </c>
      <c r="C358" s="285">
        <v>278.91898700000002</v>
      </c>
      <c r="D358" s="286">
        <v>206.73080165777128</v>
      </c>
      <c r="E358" s="285">
        <f t="shared" si="15"/>
        <v>206.73080165777128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44644</v>
      </c>
      <c r="C359" s="285">
        <v>226.112503</v>
      </c>
      <c r="D359" s="286">
        <v>206.73080165777128</v>
      </c>
      <c r="E359" s="285">
        <f t="shared" si="15"/>
        <v>206.73080165777128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44645</v>
      </c>
      <c r="C360" s="285">
        <v>186.82620399999999</v>
      </c>
      <c r="D360" s="286">
        <v>206.73080165777128</v>
      </c>
      <c r="E360" s="285">
        <f t="shared" si="15"/>
        <v>186.82620399999999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44646</v>
      </c>
      <c r="C361" s="285">
        <v>115.387671</v>
      </c>
      <c r="D361" s="286">
        <v>206.73080165777128</v>
      </c>
      <c r="E361" s="285">
        <f t="shared" si="15"/>
        <v>115.387671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44647</v>
      </c>
      <c r="C362" s="285">
        <v>115.301436</v>
      </c>
      <c r="D362" s="286">
        <v>206.73080165777128</v>
      </c>
      <c r="E362" s="285">
        <f t="shared" si="15"/>
        <v>115.301436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44648</v>
      </c>
      <c r="C363" s="285">
        <v>172.24667700000001</v>
      </c>
      <c r="D363" s="286">
        <v>206.73080165777128</v>
      </c>
      <c r="E363" s="285">
        <f t="shared" si="15"/>
        <v>172.24667700000001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44649</v>
      </c>
      <c r="C364" s="285">
        <v>64.639876999999998</v>
      </c>
      <c r="D364" s="286">
        <v>206.73080165777128</v>
      </c>
      <c r="E364" s="285">
        <f t="shared" si="15"/>
        <v>64.639876999999998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44650</v>
      </c>
      <c r="C365" s="285">
        <v>183.386764</v>
      </c>
      <c r="D365" s="286">
        <v>206.73080165777128</v>
      </c>
      <c r="E365" s="285">
        <f t="shared" si="15"/>
        <v>183.386764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44651</v>
      </c>
      <c r="C366" s="285">
        <v>308.62641300000001</v>
      </c>
      <c r="D366" s="286">
        <v>206.73080165777128</v>
      </c>
      <c r="E366" s="285">
        <f t="shared" si="15"/>
        <v>206.73080165777128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44652</v>
      </c>
      <c r="C367" s="285">
        <v>327.84807699999999</v>
      </c>
      <c r="D367" s="286">
        <v>173.32165756034877</v>
      </c>
      <c r="E367" s="285">
        <f t="shared" si="15"/>
        <v>173.32165756034877</v>
      </c>
      <c r="F367" s="288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44653</v>
      </c>
      <c r="C368" s="285">
        <v>259.572315</v>
      </c>
      <c r="D368" s="286">
        <v>173.32165756034877</v>
      </c>
      <c r="E368" s="285">
        <f t="shared" si="15"/>
        <v>173.32165756034877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44654</v>
      </c>
      <c r="C369" s="285">
        <v>247.54922600000003</v>
      </c>
      <c r="D369" s="286">
        <v>173.32165756034877</v>
      </c>
      <c r="E369" s="285">
        <f t="shared" si="15"/>
        <v>173.32165756034877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44655</v>
      </c>
      <c r="C370" s="285">
        <v>298.96186999999998</v>
      </c>
      <c r="D370" s="286">
        <v>173.32165756034877</v>
      </c>
      <c r="E370" s="285">
        <f t="shared" si="15"/>
        <v>173.32165756034877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44656</v>
      </c>
      <c r="C371" s="285">
        <v>180.01666200000003</v>
      </c>
      <c r="D371" s="286">
        <v>173.32165756034877</v>
      </c>
      <c r="E371" s="285">
        <f t="shared" si="15"/>
        <v>173.32165756034877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44657</v>
      </c>
      <c r="C372" s="285">
        <v>140.25360599999999</v>
      </c>
      <c r="D372" s="286">
        <v>173.32165756034877</v>
      </c>
      <c r="E372" s="285">
        <f t="shared" si="15"/>
        <v>140.25360599999999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44658</v>
      </c>
      <c r="C373" s="285">
        <v>291.23038800000006</v>
      </c>
      <c r="D373" s="286">
        <v>173.32165756034877</v>
      </c>
      <c r="E373" s="285">
        <f t="shared" si="15"/>
        <v>173.32165756034877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44659</v>
      </c>
      <c r="C374" s="285">
        <v>340.73457100000002</v>
      </c>
      <c r="D374" s="286">
        <v>173.32165756034877</v>
      </c>
      <c r="E374" s="285">
        <f t="shared" si="15"/>
        <v>173.32165756034877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44660</v>
      </c>
      <c r="C375" s="285">
        <v>143.248672</v>
      </c>
      <c r="D375" s="286">
        <v>173.32165756034877</v>
      </c>
      <c r="E375" s="285">
        <f t="shared" si="15"/>
        <v>143.248672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44661</v>
      </c>
      <c r="C376" s="285">
        <v>188.62789799999999</v>
      </c>
      <c r="D376" s="286">
        <v>173.32165756034877</v>
      </c>
      <c r="E376" s="285">
        <f t="shared" si="15"/>
        <v>173.32165756034877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44662</v>
      </c>
      <c r="C377" s="285">
        <v>342.30431200000004</v>
      </c>
      <c r="D377" s="286">
        <v>173.32165756034877</v>
      </c>
      <c r="E377" s="285">
        <f t="shared" si="15"/>
        <v>173.32165756034877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44663</v>
      </c>
      <c r="C378" s="285">
        <v>172.513159</v>
      </c>
      <c r="D378" s="286">
        <v>173.32165756034877</v>
      </c>
      <c r="E378" s="285">
        <f t="shared" si="15"/>
        <v>172.513159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44664</v>
      </c>
      <c r="C379" s="285">
        <v>115.374332</v>
      </c>
      <c r="D379" s="286">
        <v>173.32165756034877</v>
      </c>
      <c r="E379" s="285">
        <f t="shared" si="15"/>
        <v>115.374332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44665</v>
      </c>
      <c r="C380" s="285">
        <v>111.75659399999999</v>
      </c>
      <c r="D380" s="286">
        <v>173.32165756034877</v>
      </c>
      <c r="E380" s="285">
        <f t="shared" si="15"/>
        <v>111.75659399999999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44666</v>
      </c>
      <c r="C381" s="285">
        <v>61.965980000000002</v>
      </c>
      <c r="D381" s="286">
        <v>173.32165756034877</v>
      </c>
      <c r="E381" s="285">
        <f t="shared" si="15"/>
        <v>61.965980000000002</v>
      </c>
      <c r="F381" s="295"/>
      <c r="G381" s="199" t="str">
        <f t="shared" si="16"/>
        <v>A</v>
      </c>
      <c r="H381" s="287" t="str">
        <f t="shared" si="17"/>
        <v>173,3</v>
      </c>
      <c r="I381" s="288"/>
    </row>
    <row r="382" spans="1:9">
      <c r="A382" s="283">
        <v>380</v>
      </c>
      <c r="B382" s="284">
        <v>44667</v>
      </c>
      <c r="C382" s="285">
        <v>139.81402199999999</v>
      </c>
      <c r="D382" s="286">
        <v>173.32165756034877</v>
      </c>
      <c r="E382" s="285">
        <f t="shared" si="15"/>
        <v>139.81402199999999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44668</v>
      </c>
      <c r="C383" s="285">
        <v>123.50419600000001</v>
      </c>
      <c r="D383" s="286">
        <v>173.32165756034877</v>
      </c>
      <c r="E383" s="285">
        <f t="shared" si="15"/>
        <v>123.50419600000001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44669</v>
      </c>
      <c r="C384" s="285">
        <v>169.95018699999997</v>
      </c>
      <c r="D384" s="286">
        <v>173.32165756034877</v>
      </c>
      <c r="E384" s="285">
        <f t="shared" si="15"/>
        <v>169.95018699999997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44670</v>
      </c>
      <c r="C385" s="285">
        <v>242.474557</v>
      </c>
      <c r="D385" s="286">
        <v>173.32165756034877</v>
      </c>
      <c r="E385" s="285">
        <f t="shared" si="15"/>
        <v>173.32165756034877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44671</v>
      </c>
      <c r="C386" s="285">
        <v>341.69873700000005</v>
      </c>
      <c r="D386" s="286">
        <v>173.32165756034877</v>
      </c>
      <c r="E386" s="285">
        <f t="shared" si="15"/>
        <v>173.32165756034877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44672</v>
      </c>
      <c r="C387" s="285">
        <v>218.93901399999999</v>
      </c>
      <c r="D387" s="286">
        <v>173.32165756034877</v>
      </c>
      <c r="E387" s="285">
        <f t="shared" ref="E387:E394" si="18">IF(C387&gt;D387,D387,C387)</f>
        <v>173.32165756034877</v>
      </c>
      <c r="F387" s="295"/>
      <c r="G387" s="199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4" si="20">IF(DAY($B387)=15,TEXT(D387,"#,0"),"")</f>
        <v/>
      </c>
      <c r="I387" s="288"/>
    </row>
    <row r="388" spans="1:9">
      <c r="A388" s="283">
        <v>386</v>
      </c>
      <c r="B388" s="284">
        <v>44673</v>
      </c>
      <c r="C388" s="285">
        <v>178.84892300000001</v>
      </c>
      <c r="D388" s="286">
        <v>173.32165756034877</v>
      </c>
      <c r="E388" s="285">
        <f t="shared" si="18"/>
        <v>173.32165756034877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44674</v>
      </c>
      <c r="C389" s="285">
        <v>347.51214400000003</v>
      </c>
      <c r="D389" s="286">
        <v>173.32165756034877</v>
      </c>
      <c r="E389" s="285">
        <f t="shared" si="18"/>
        <v>173.32165756034877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44675</v>
      </c>
      <c r="C390" s="285">
        <v>169.86396500000001</v>
      </c>
      <c r="D390" s="286">
        <v>173.32165756034877</v>
      </c>
      <c r="E390" s="285">
        <f t="shared" si="18"/>
        <v>169.86396500000001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44676</v>
      </c>
      <c r="C391" s="285">
        <v>33.181423000000002</v>
      </c>
      <c r="D391" s="286">
        <v>173.32165756034877</v>
      </c>
      <c r="E391" s="285">
        <f t="shared" si="18"/>
        <v>33.181423000000002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44677</v>
      </c>
      <c r="C392" s="285">
        <v>64.825469999999996</v>
      </c>
      <c r="D392" s="286">
        <v>173.32165756034877</v>
      </c>
      <c r="E392" s="285">
        <f t="shared" si="18"/>
        <v>64.825469999999996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44678</v>
      </c>
      <c r="C393" s="285">
        <v>42.705824</v>
      </c>
      <c r="D393" s="286">
        <v>173.32165756034877</v>
      </c>
      <c r="E393" s="285">
        <f t="shared" si="18"/>
        <v>42.705824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44679</v>
      </c>
      <c r="C394" s="285">
        <v>83.534083999999993</v>
      </c>
      <c r="D394" s="286">
        <v>173.32165756034877</v>
      </c>
      <c r="E394" s="285">
        <f t="shared" si="18"/>
        <v>83.534083999999993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44680</v>
      </c>
      <c r="C395" s="285">
        <v>76.712934000000004</v>
      </c>
      <c r="D395" s="286">
        <v>173.32165756034877</v>
      </c>
      <c r="E395" s="285">
        <f t="shared" ref="E395:E396" si="21">IF(C395&gt;D395,D395,C395)</f>
        <v>76.712934000000004</v>
      </c>
      <c r="F395" s="295"/>
      <c r="G395" s="199"/>
      <c r="H395" s="287"/>
      <c r="I395" s="288"/>
    </row>
    <row r="396" spans="1:9">
      <c r="A396" s="283">
        <v>394</v>
      </c>
      <c r="B396" s="284">
        <v>44681</v>
      </c>
      <c r="C396" s="285">
        <v>120.17782799999999</v>
      </c>
      <c r="D396" s="286">
        <v>173.32165756034877</v>
      </c>
      <c r="E396" s="285">
        <f t="shared" si="21"/>
        <v>120.17782799999999</v>
      </c>
      <c r="F396" s="295"/>
      <c r="G396" s="199"/>
      <c r="H396" s="287"/>
      <c r="I396" s="288"/>
    </row>
    <row r="397" spans="1:9">
      <c r="B397" s="284"/>
      <c r="C397" s="285"/>
      <c r="D397" s="286"/>
      <c r="E397" s="285"/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Abril 2022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7" t="s">
        <v>63</v>
      </c>
      <c r="D7" s="12"/>
      <c r="E7" s="13"/>
      <c r="F7" s="318" t="str">
        <f>K3</f>
        <v>Abril 2022</v>
      </c>
      <c r="G7" s="319"/>
      <c r="H7" s="320" t="s">
        <v>64</v>
      </c>
      <c r="I7" s="320"/>
      <c r="J7" s="320" t="s">
        <v>71</v>
      </c>
      <c r="K7" s="320"/>
      <c r="L7" s="9"/>
    </row>
    <row r="8" spans="1:19" ht="12.75" customHeight="1">
      <c r="A8" s="7"/>
      <c r="B8" s="8"/>
      <c r="C8" s="317"/>
      <c r="D8" s="12"/>
      <c r="E8" s="14"/>
      <c r="F8" s="15" t="s">
        <v>0</v>
      </c>
      <c r="G8" s="25" t="str">
        <f>CONCATENATE("% ",MID(YEAR(F7),3,2),"/",MID(YEAR(F7)-1,3,2))</f>
        <v>% 22/21</v>
      </c>
      <c r="H8" s="15" t="s">
        <v>0</v>
      </c>
      <c r="I8" s="25" t="str">
        <f>G8</f>
        <v>% 22/21</v>
      </c>
      <c r="J8" s="15" t="s">
        <v>0</v>
      </c>
      <c r="K8" s="25" t="str">
        <f>G8</f>
        <v>% 22/21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1778.795137696</v>
      </c>
      <c r="G9" s="92">
        <f>VLOOKUP("Hidráulica",Dat_01!$A$8:$J$29,4,FALSE)*100</f>
        <v>-35.195914600000002</v>
      </c>
      <c r="H9" s="91">
        <f>VLOOKUP("Hidráulica",Dat_01!$A$8:$J$29,5,FALSE)/1000</f>
        <v>6756.2195197459996</v>
      </c>
      <c r="I9" s="92">
        <f>VLOOKUP("Hidráulica",Dat_01!$A$8:$J$29,7,FALSE)*100</f>
        <v>-55.061619220000004</v>
      </c>
      <c r="J9" s="91">
        <f>VLOOKUP("Hidráulica",Dat_01!$A$8:$J$29,8,FALSE)/1000</f>
        <v>21314.194872432003</v>
      </c>
      <c r="K9" s="92">
        <f>VLOOKUP("Hidráulica",Dat_01!$A$8:$J$29,10,FALSE)*100</f>
        <v>-35.6444294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5534.7993699999997</v>
      </c>
      <c r="G10" s="92">
        <f>VLOOKUP("Eólica",Dat_01!$A$8:$J$29,4,FALSE)*100</f>
        <v>36.916268340000002</v>
      </c>
      <c r="H10" s="91">
        <f>VLOOKUP("Eólica",Dat_01!$A$8:$J$29,5,FALSE)/1000</f>
        <v>21920.137037</v>
      </c>
      <c r="I10" s="92">
        <f>VLOOKUP("Eólica",Dat_01!$A$8:$J$29,7,FALSE)*100</f>
        <v>-3.9408704299999999</v>
      </c>
      <c r="J10" s="91">
        <f>VLOOKUP("Eólica",Dat_01!$A$8:$J$29,8,FALSE)/1000</f>
        <v>58284.691308000001</v>
      </c>
      <c r="K10" s="92">
        <f>VLOOKUP("Eólica",Dat_01!$A$8:$J$29,10,FALSE)*100</f>
        <v>-0.76509031999999999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2523.8605299999999</v>
      </c>
      <c r="G11" s="92">
        <f>VLOOKUP("Solar fotovoltaica",Dat_01!$A$8:$J$29,4,FALSE)*100</f>
        <v>55.019578329999995</v>
      </c>
      <c r="H11" s="91">
        <f>VLOOKUP("Solar fotovoltaica",Dat_01!$A$8:$J$29,5,FALSE)/1000</f>
        <v>7101.6242389999998</v>
      </c>
      <c r="I11" s="92">
        <f>VLOOKUP("Solar fotovoltaica",Dat_01!$A$8:$J$29,7,FALSE)*100</f>
        <v>40.672471680000001</v>
      </c>
      <c r="J11" s="91">
        <f>VLOOKUP("Solar fotovoltaica",Dat_01!$A$8:$J$29,8,FALSE)/1000</f>
        <v>22556.816728000002</v>
      </c>
      <c r="K11" s="92">
        <f>VLOOKUP("Solar fotovoltaica",Dat_01!$A$8:$J$29,10,FALSE)*100</f>
        <v>38.590394680000003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412.77760999999998</v>
      </c>
      <c r="G12" s="92">
        <f>VLOOKUP("Solar térmica",Dat_01!$A$8:$J$29,4,FALSE)*100</f>
        <v>54.72148455</v>
      </c>
      <c r="H12" s="91">
        <f>VLOOKUP("Solar térmica",Dat_01!$A$8:$J$29,5,FALSE)/1000</f>
        <v>912.82975399999998</v>
      </c>
      <c r="I12" s="92">
        <f>VLOOKUP("Solar térmica",Dat_01!$A$8:$J$29,7,FALSE)*100</f>
        <v>5.8208192300000006</v>
      </c>
      <c r="J12" s="91">
        <f>VLOOKUP("Solar térmica",Dat_01!$A$8:$J$29,8,FALSE)/1000</f>
        <v>4755.7152070000002</v>
      </c>
      <c r="K12" s="92">
        <f>VLOOKUP("Solar térmica",Dat_01!$A$8:$J$29,10,FALSE)*100</f>
        <v>2.4017948800000002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152</v>
      </c>
      <c r="F13" s="91">
        <f>VLOOKUP("Otras renovables",Dat_01!$A$8:$J$29,2,FALSE)/1000</f>
        <v>429.863585</v>
      </c>
      <c r="G13" s="92">
        <f>VLOOKUP("Otras renovables",Dat_01!$A$8:$J$29,4,FALSE)*100</f>
        <v>9.8139844399999987</v>
      </c>
      <c r="H13" s="91">
        <f>VLOOKUP("Otras renovables",Dat_01!$A$8:$J$29,5,FALSE)/1000</f>
        <v>1654.7523079999999</v>
      </c>
      <c r="I13" s="92">
        <f>VLOOKUP("Otras renovables",Dat_01!$A$8:$J$29,7,FALSE)*100</f>
        <v>9.982059490000001</v>
      </c>
      <c r="J13" s="91">
        <f>VLOOKUP("Otras renovables",Dat_01!$A$8:$J$29,8,FALSE)/1000</f>
        <v>4859.3818389999997</v>
      </c>
      <c r="K13" s="92">
        <f>VLOOKUP("Otras renovables",Dat_01!$A$8:$J$29,10,FALSE)*100</f>
        <v>5.3397426499999998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64.712738999999999</v>
      </c>
      <c r="G14" s="92">
        <f>VLOOKUP("Residuos renovables",Dat_01!$A$8:$J$29,4,FALSE)*100</f>
        <v>-2.4272710800000001</v>
      </c>
      <c r="H14" s="91">
        <f>VLOOKUP("Residuos renovables",Dat_01!$A$8:$J$29,5,FALSE)/1000</f>
        <v>272.57317599999999</v>
      </c>
      <c r="I14" s="92">
        <f>VLOOKUP("Residuos renovables",Dat_01!$A$8:$J$29,7,FALSE)*100</f>
        <v>14.471594079999999</v>
      </c>
      <c r="J14" s="91">
        <f>VLOOKUP("Residuos renovables",Dat_01!$A$8:$J$29,8,FALSE)/1000</f>
        <v>785.32351349999999</v>
      </c>
      <c r="K14" s="92">
        <f>VLOOKUP("Residuos renovables",Dat_01!$A$8:$J$29,10,FALSE)*100</f>
        <v>20.460007999999998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150</v>
      </c>
      <c r="F15" s="94">
        <f>SUM(F9:F14)</f>
        <v>10744.808971695998</v>
      </c>
      <c r="G15" s="95">
        <f>((SUM(Dat_01!B8,Dat_01!B14:B17,Dat_01!B19)/SUM(Dat_01!C8,Dat_01!C14:C17,Dat_01!C19))-1)*100</f>
        <v>17.558085330054407</v>
      </c>
      <c r="H15" s="94">
        <f>SUM(H9:H14)</f>
        <v>38618.136033745999</v>
      </c>
      <c r="I15" s="95">
        <f>((SUM(Dat_01!E8,Dat_01!E14:E17,Dat_01!E19)/SUM(Dat_01!F8,Dat_01!F14:F17,Dat_01!F19))-1)*100</f>
        <v>-15.138901877423894</v>
      </c>
      <c r="J15" s="94">
        <f>SUM(J9:J14)</f>
        <v>112556.123467932</v>
      </c>
      <c r="K15" s="95">
        <f>((SUM(Dat_01!H8,Dat_01!H14:H17,Dat_01!H19)/SUM(Dat_01!I8,Dat_01!I14:I17,Dat_01!I19))-1)*100</f>
        <v>-4.6445968431193752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154</v>
      </c>
      <c r="F16" s="91">
        <f>VLOOKUP("Turbinación bombeo",Dat_01!$A$8:$J$29,2,FALSE)/1000</f>
        <v>336.71035219200002</v>
      </c>
      <c r="G16" s="92">
        <f>VLOOKUP("Turbinación bombeo",Dat_01!$A$8:$J$29,4,FALSE)*100</f>
        <v>119.09875580000001</v>
      </c>
      <c r="H16" s="91">
        <f>VLOOKUP("Turbinación bombeo",Dat_01!$A$8:$J$29,5,FALSE)/1000</f>
        <v>1117.359525934</v>
      </c>
      <c r="I16" s="92">
        <f>VLOOKUP("Turbinación bombeo",Dat_01!$A$8:$J$29,7,FALSE)*100</f>
        <v>-7.3729125399999997</v>
      </c>
      <c r="J16" s="91">
        <f>VLOOKUP("Turbinación bombeo",Dat_01!$A$8:$J$29,8,FALSE)/1000</f>
        <v>2560.35676805</v>
      </c>
      <c r="K16" s="92">
        <f>VLOOKUP("Turbinación bombeo",Dat_01!$A$8:$J$29,10,FALSE)*100</f>
        <v>-10.982771060000001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4413.7242699999997</v>
      </c>
      <c r="G17" s="92">
        <f>VLOOKUP("Nuclear",Dat_01!$A$8:$J$29,4,FALSE)*100</f>
        <v>5.15544856</v>
      </c>
      <c r="H17" s="91">
        <f>VLOOKUP("Nuclear",Dat_01!$A$8:$J$29,5,FALSE)/1000</f>
        <v>18999.999693000002</v>
      </c>
      <c r="I17" s="92">
        <f>VLOOKUP("Nuclear",Dat_01!$A$8:$J$29,7,FALSE)*100</f>
        <v>2.21288829</v>
      </c>
      <c r="J17" s="91">
        <f>VLOOKUP("Nuclear",Dat_01!$A$8:$J$29,8,FALSE)/1000</f>
        <v>54452.321410999997</v>
      </c>
      <c r="K17" s="92">
        <f>VLOOKUP("Nuclear",Dat_01!$A$8:$J$29,10,FALSE)*100</f>
        <v>-0.83645852999999992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156</v>
      </c>
      <c r="F18" s="91">
        <f>VLOOKUP("Ciclo combinado",Dat_01!$A$8:$J$29,2,FALSE)/1000</f>
        <v>2573.7803039999999</v>
      </c>
      <c r="G18" s="92">
        <f>VLOOKUP("Ciclo combinado",Dat_01!$A$8:$J$29,4,FALSE)*100</f>
        <v>-10.15629332</v>
      </c>
      <c r="H18" s="91">
        <f>VLOOKUP("Ciclo combinado",Dat_01!$A$8:$J$29,5,FALSE)/1000</f>
        <v>15111.491139</v>
      </c>
      <c r="I18" s="92">
        <f>VLOOKUP("Ciclo combinado",Dat_01!$A$8:$J$29,7,FALSE)*100</f>
        <v>94.003417679999998</v>
      </c>
      <c r="J18" s="91">
        <f>VLOOKUP("Ciclo combinado",Dat_01!$A$8:$J$29,8,FALSE)/1000</f>
        <v>44903.010715999997</v>
      </c>
      <c r="K18" s="92">
        <f>VLOOKUP("Ciclo combinado",Dat_01!$A$8:$J$29,10,FALSE)*100</f>
        <v>20.163934750000003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691.80370400000004</v>
      </c>
      <c r="G19" s="92">
        <f>VLOOKUP("Carbón",Dat_01!$A$8:$J$29,4,FALSE)*100</f>
        <v>155.56916002</v>
      </c>
      <c r="H19" s="91">
        <f>VLOOKUP("Carbón",Dat_01!$A$8:$J$29,5,FALSE)/1000</f>
        <v>2677.500912</v>
      </c>
      <c r="I19" s="92">
        <f>VLOOKUP("Carbón",Dat_01!$A$8:$J$29,7,FALSE)*100</f>
        <v>114.40727546000001</v>
      </c>
      <c r="J19" s="91">
        <f>VLOOKUP("Carbón",Dat_01!$A$8:$J$29,8,FALSE)/1000</f>
        <v>6369.9329539999999</v>
      </c>
      <c r="K19" s="92">
        <f>VLOOKUP("Carbón",Dat_01!$A$8:$J$29,10,FALSE)*100</f>
        <v>78.289102229999997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64.712738999999999</v>
      </c>
      <c r="D20" s="12"/>
      <c r="E20" s="90" t="s">
        <v>9</v>
      </c>
      <c r="F20" s="91">
        <f>VLOOKUP("Cogeneración",Dat_01!$A$8:$J$29,2,FALSE)/1000</f>
        <v>1707.3136910000001</v>
      </c>
      <c r="G20" s="92">
        <f>VLOOKUP("Cogeneración",Dat_01!$A$8:$J$29,4,FALSE)*100</f>
        <v>-22.042760470000001</v>
      </c>
      <c r="H20" s="91">
        <f>VLOOKUP("Cogeneración",Dat_01!$A$8:$J$29,5,FALSE)/1000</f>
        <v>8149.8162839999995</v>
      </c>
      <c r="I20" s="92">
        <f>VLOOKUP("Cogeneración",Dat_01!$A$8:$J$29,7,FALSE)*100</f>
        <v>-6.0603510800000002</v>
      </c>
      <c r="J20" s="91">
        <f>VLOOKUP("Cogeneración",Dat_01!$A$8:$J$29,8,FALSE)/1000</f>
        <v>25510.717473000001</v>
      </c>
      <c r="K20" s="92">
        <f>VLOOKUP("Cogeneración",Dat_01!$A$8:$J$29,10,FALSE)*100</f>
        <v>-4.9685194699999995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163.790278</v>
      </c>
      <c r="G21" s="92">
        <f>VLOOKUP("Residuos no renovables",Dat_01!$A$8:$J$29,4,FALSE)*100</f>
        <v>-3.6862276999999999</v>
      </c>
      <c r="H21" s="91">
        <f>VLOOKUP("Residuos no renovables",Dat_01!$A$8:$J$29,5,FALSE)/1000</f>
        <v>635.774137</v>
      </c>
      <c r="I21" s="92">
        <f>VLOOKUP("Residuos no renovables",Dat_01!$A$8:$J$29,7,FALSE)*100</f>
        <v>-6.5520263199999995</v>
      </c>
      <c r="J21" s="91">
        <f>VLOOKUP("Residuos no renovables",Dat_01!$A$8:$J$29,8,FALSE)/1000</f>
        <v>2065.8742575000001</v>
      </c>
      <c r="K21" s="92">
        <f>VLOOKUP("Residuos no renovables",Dat_01!$A$8:$J$29,10,FALSE)*100</f>
        <v>5.6628547899999999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151</v>
      </c>
      <c r="F22" s="94">
        <f>SUM(F16:F21)</f>
        <v>9887.1225991920001</v>
      </c>
      <c r="G22" s="95">
        <f>((SUM(Dat_01!B9:B13,Dat_01!B18,Dat_01!B20)/SUM(Dat_01!C9:C13,Dat_01!C18,Dat_01!C20))-1)*100</f>
        <v>0.41196562334198106</v>
      </c>
      <c r="H22" s="94">
        <f>SUM(H16:H21)</f>
        <v>46691.941690934007</v>
      </c>
      <c r="I22" s="95">
        <f>((SUM(Dat_01!E9:E13,Dat_01!E18,Dat_01!E20)/SUM(Dat_01!F9:F13,Dat_01!F18,Dat_01!F20))-1)*100</f>
        <v>22.265504769510102</v>
      </c>
      <c r="J22" s="94">
        <f>SUM(J16:J21)</f>
        <v>135862.21357955001</v>
      </c>
      <c r="K22" s="95">
        <f>((SUM(Dat_01!H9:H13,Dat_01!H18,Dat_01!H20)/SUM(Dat_01!I9:I13,Dat_01!I18,Dat_01!I20))-1)*100</f>
        <v>6.5348118289482615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-596.65580599999998</v>
      </c>
      <c r="G23" s="92">
        <f>VLOOKUP("Consumo de bombeo",Dat_01!$A$8:$J$29,4,FALSE)*100</f>
        <v>175.32177611999998</v>
      </c>
      <c r="H23" s="91">
        <f>VLOOKUP("Consumo de bombeo",Dat_01!$A$8:$J$29,5,FALSE)/1000</f>
        <v>-1889.1944419519998</v>
      </c>
      <c r="I23" s="92">
        <f>VLOOKUP("Consumo de bombeo",Dat_01!$A$8:$J$29,7,FALSE)*100</f>
        <v>-9.2279289999999996</v>
      </c>
      <c r="J23" s="91">
        <f>VLOOKUP("Consumo de bombeo",Dat_01!$A$8:$J$29,8,FALSE)/1000</f>
        <v>-4125.822460892</v>
      </c>
      <c r="K23" s="92">
        <f>VLOOKUP("Consumo de bombeo",Dat_01!$A$8:$J$29,10,FALSE)*100</f>
        <v>-11.024499459999999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-33.641058999999998</v>
      </c>
      <c r="G24" s="92">
        <f>VLOOKUP("Enlace Península-Baleares",Dat_01!$A$8:$J$29,4,FALSE)*100</f>
        <v>-69.698689889999997</v>
      </c>
      <c r="H24" s="91">
        <f>VLOOKUP("Enlace Península-Baleares",Dat_01!$A$8:$J$29,5,FALSE)/1000</f>
        <v>-122.992181</v>
      </c>
      <c r="I24" s="92">
        <f>VLOOKUP("Enlace Península-Baleares",Dat_01!$A$8:$J$29,7,FALSE)*100</f>
        <v>-74.933818370000012</v>
      </c>
      <c r="J24" s="91">
        <f>VLOOKUP("Enlace Península-Baleares",Dat_01!$A$8:$J$29,8,FALSE)/1000</f>
        <v>-522.55135700000005</v>
      </c>
      <c r="K24" s="92">
        <f>VLOOKUP("Enlace Península-Baleares",Dat_01!$A$8:$J$29,10,FALSE)*100</f>
        <v>-64.494827939999993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-1586.7553400000002</v>
      </c>
      <c r="G25" s="98" t="str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</v>
      </c>
      <c r="H25" s="97">
        <f>VLOOKUP("Saldos intercambios internacionales",Dat_01!$A$8:$J$29,5,FALSE)/1000</f>
        <v>-4114.925174</v>
      </c>
      <c r="I25" s="95" t="str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</v>
      </c>
      <c r="J25" s="97">
        <f>VLOOKUP("Saldos intercambios internacionales",Dat_01!$A$8:$J$29,8,FALSE)/1000</f>
        <v>-3718.6790310000001</v>
      </c>
      <c r="K25" s="98" t="str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18414.879365887999</v>
      </c>
      <c r="G26" s="101">
        <f>VLOOKUP("Demanda transporte (b.c.)",Dat_01!$A$8:$J$29,4,FALSE)*100</f>
        <v>-2.6460689500000001</v>
      </c>
      <c r="H26" s="100">
        <f>VLOOKUP("Demanda transporte (b.c.)",Dat_01!$A$8:$J$29,5,FALSE)/1000</f>
        <v>79182.965927728001</v>
      </c>
      <c r="I26" s="101">
        <f>VLOOKUP("Demanda transporte (b.c.)",Dat_01!$A$8:$J$29,7,FALSE)*100</f>
        <v>-2.9897103599999997</v>
      </c>
      <c r="J26" s="100">
        <f>VLOOKUP("Demanda transporte (b.c.)",Dat_01!$A$8:$J$29,8,FALSE)/1000</f>
        <v>240051.28419758999</v>
      </c>
      <c r="K26" s="101">
        <f>VLOOKUP("Demanda transporte (b.c.)",Dat_01!$A$8:$J$29,10,FALSE)*100</f>
        <v>2.4632309999999998E-2</v>
      </c>
      <c r="L26" s="19"/>
    </row>
    <row r="27" spans="1:19" ht="16.350000000000001" customHeight="1">
      <c r="E27" s="323" t="s">
        <v>83</v>
      </c>
      <c r="F27" s="324"/>
      <c r="G27" s="324"/>
      <c r="H27" s="324"/>
      <c r="I27" s="324"/>
      <c r="J27" s="324"/>
      <c r="K27" s="324"/>
      <c r="L27" s="16"/>
      <c r="M27" s="322"/>
      <c r="N27" s="322"/>
      <c r="O27" s="322"/>
      <c r="P27" s="322"/>
      <c r="Q27" s="322"/>
      <c r="R27" s="322"/>
      <c r="S27" s="322"/>
    </row>
    <row r="28" spans="1:19" ht="34.5" customHeight="1">
      <c r="E28" s="325" t="s">
        <v>179</v>
      </c>
      <c r="F28" s="326"/>
      <c r="G28" s="326"/>
      <c r="H28" s="326"/>
      <c r="I28" s="326"/>
      <c r="J28" s="326"/>
      <c r="K28" s="326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22" t="s">
        <v>54</v>
      </c>
      <c r="F29" s="322"/>
      <c r="G29" s="322"/>
      <c r="H29" s="322"/>
      <c r="I29" s="322"/>
      <c r="J29" s="322"/>
      <c r="K29" s="322"/>
      <c r="L29" s="16"/>
    </row>
    <row r="30" spans="1:19" ht="12.75" customHeight="1">
      <c r="E30" s="322" t="s">
        <v>72</v>
      </c>
      <c r="F30" s="322"/>
      <c r="G30" s="322"/>
      <c r="H30" s="322"/>
      <c r="I30" s="322"/>
      <c r="J30" s="322"/>
      <c r="K30" s="322"/>
      <c r="L30" s="16"/>
    </row>
    <row r="31" spans="1:19" ht="12.75" customHeight="1">
      <c r="E31" s="322" t="s">
        <v>153</v>
      </c>
      <c r="F31" s="322"/>
      <c r="G31" s="322"/>
      <c r="H31" s="322"/>
      <c r="I31" s="322"/>
      <c r="J31" s="322"/>
      <c r="K31" s="322"/>
      <c r="L31" s="16"/>
    </row>
    <row r="32" spans="1:19" ht="12.75" customHeight="1">
      <c r="E32" s="321" t="s">
        <v>155</v>
      </c>
      <c r="F32" s="321"/>
      <c r="G32" s="321"/>
      <c r="H32" s="321"/>
      <c r="I32" s="321"/>
      <c r="J32" s="321"/>
      <c r="K32" s="321"/>
      <c r="L32" s="16"/>
    </row>
    <row r="33" spans="5:12" ht="12.75" customHeight="1">
      <c r="E33" s="322" t="s">
        <v>157</v>
      </c>
      <c r="F33" s="322"/>
      <c r="G33" s="322"/>
      <c r="H33" s="322"/>
      <c r="I33" s="322"/>
      <c r="J33" s="322"/>
      <c r="K33" s="322"/>
      <c r="L33" s="16"/>
    </row>
    <row r="34" spans="5:12" ht="15" customHeight="1">
      <c r="E34" s="321" t="s">
        <v>74</v>
      </c>
      <c r="F34" s="321"/>
      <c r="G34" s="321"/>
      <c r="H34" s="321"/>
      <c r="I34" s="321"/>
      <c r="J34" s="321"/>
      <c r="K34" s="321"/>
    </row>
    <row r="35" spans="5:12" ht="24" customHeight="1">
      <c r="E35" s="321" t="s">
        <v>79</v>
      </c>
      <c r="F35" s="321"/>
      <c r="G35" s="321"/>
      <c r="H35" s="321"/>
      <c r="I35" s="321"/>
      <c r="J35" s="321"/>
      <c r="K35" s="321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Abril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7" t="s">
        <v>58</v>
      </c>
      <c r="D7" s="32"/>
      <c r="E7" s="39"/>
    </row>
    <row r="8" spans="2:7" s="29" customFormat="1" ht="12.75" customHeight="1">
      <c r="B8" s="28"/>
      <c r="C8" s="327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7" t="s">
        <v>60</v>
      </c>
      <c r="E23" s="41"/>
    </row>
    <row r="24" spans="2:6" ht="12.75" customHeight="1">
      <c r="C24" s="327"/>
      <c r="E24" s="37"/>
    </row>
    <row r="25" spans="2:6" ht="12.75" customHeight="1">
      <c r="C25" s="327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Abril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8" t="s">
        <v>73</v>
      </c>
      <c r="D7" s="32"/>
      <c r="E7" s="39"/>
      <c r="F7" s="32"/>
    </row>
    <row r="8" spans="2:7" s="29" customFormat="1" ht="12.75" customHeight="1">
      <c r="B8" s="28"/>
      <c r="C8" s="328"/>
      <c r="D8" s="32"/>
      <c r="E8" s="39"/>
      <c r="F8" s="32"/>
    </row>
    <row r="9" spans="2:7" s="29" customFormat="1" ht="12.75" customHeight="1">
      <c r="B9" s="28"/>
      <c r="C9" s="328"/>
      <c r="D9" s="32"/>
      <c r="E9" s="39"/>
      <c r="F9" s="32"/>
    </row>
    <row r="10" spans="2:7" s="29" customFormat="1" ht="12.75" customHeight="1">
      <c r="B10" s="28"/>
      <c r="C10" s="328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62</v>
      </c>
      <c r="E7" s="4"/>
    </row>
    <row r="8" spans="3:25">
      <c r="C8" s="328"/>
      <c r="E8" s="4"/>
    </row>
    <row r="9" spans="3:25">
      <c r="C9" s="32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182</v>
      </c>
      <c r="E7" s="4"/>
    </row>
    <row r="8" spans="3:25">
      <c r="C8" s="328"/>
      <c r="E8" s="4"/>
    </row>
    <row r="9" spans="3:25">
      <c r="C9" s="328"/>
      <c r="E9" s="4"/>
    </row>
    <row r="10" spans="3:25">
      <c r="C10" s="328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55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179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61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179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fdc812d0-7ad8-4a82-9195-c1c1a8745337"/>
    <ds:schemaRef ds:uri="http://www.w3.org/XML/1998/namespace"/>
    <ds:schemaRef ds:uri="http://purl.org/dc/terms/"/>
    <ds:schemaRef ds:uri="http://purl.org/dc/elements/1.1/"/>
    <ds:schemaRef ds:uri="8a808b56-9519-4f3c-a07e-328060d9d6d3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2022-05-17T11:04:18Z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