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SEP\INF_ELABORADA\"/>
    </mc:Choice>
  </mc:AlternateContent>
  <xr:revisionPtr revIDLastSave="0" documentId="13_ncr:1_{510EFC75-BBAE-491E-8E09-2FE1A70D703A}" xr6:coauthVersionLast="47" xr6:coauthVersionMax="47" xr10:uidLastSave="{00000000-0000-0000-0000-000000000000}"/>
  <bookViews>
    <workbookView xWindow="-110" yWindow="-110" windowWidth="19420" windowHeight="1150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96" l="1"/>
  <c r="O65" i="96" l="1"/>
  <c r="L84" i="96" l="1"/>
  <c r="AN8" i="96" l="1"/>
  <c r="M87" i="96" l="1"/>
  <c r="M86" i="96"/>
  <c r="M82" i="96"/>
  <c r="M89" i="96"/>
  <c r="N73" i="96"/>
  <c r="N74" i="96" l="1"/>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B89" i="96" l="1"/>
  <c r="Q371" i="96" l="1"/>
  <c r="P371" i="96"/>
  <c r="P354" i="96"/>
  <c r="N317" i="96" l="1"/>
  <c r="M317" i="96"/>
  <c r="L317" i="96"/>
  <c r="K317" i="96"/>
  <c r="J317" i="96"/>
  <c r="I317" i="96"/>
  <c r="H317" i="96"/>
  <c r="G317" i="96"/>
  <c r="F317" i="96"/>
  <c r="E317" i="96"/>
  <c r="D317" i="96"/>
  <c r="C317" i="96"/>
  <c r="B317" i="96"/>
  <c r="P169" i="96"/>
  <c r="P151" i="96"/>
  <c r="C107" i="96" l="1"/>
  <c r="I465" i="96"/>
  <c r="F465" i="96"/>
  <c r="C465" i="96"/>
  <c r="B465"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4" i="96"/>
  <c r="F464" i="96"/>
  <c r="C464" i="96"/>
  <c r="B464" i="96"/>
  <c r="B463" i="96"/>
  <c r="B453" i="96"/>
  <c r="N394" i="96" l="1"/>
  <c r="M394" i="96"/>
  <c r="L394" i="96"/>
  <c r="K394" i="96"/>
  <c r="J394" i="96"/>
  <c r="I394" i="96"/>
  <c r="H394" i="96"/>
  <c r="G394" i="96"/>
  <c r="F394" i="96"/>
  <c r="E394" i="96"/>
  <c r="D394" i="96"/>
  <c r="C394" i="96"/>
  <c r="B394" i="96"/>
  <c r="M84" i="96" l="1"/>
  <c r="P65" i="96" l="1"/>
  <c r="M90" i="96" l="1"/>
  <c r="M88" i="96"/>
  <c r="M85" i="96"/>
  <c r="M83" i="96"/>
  <c r="K84" i="96"/>
  <c r="J84" i="96"/>
  <c r="I84" i="96"/>
  <c r="K89" i="96"/>
  <c r="J89" i="96"/>
  <c r="I89" i="96"/>
  <c r="H89" i="96"/>
  <c r="G89" i="96"/>
  <c r="F89" i="96"/>
  <c r="E89" i="96"/>
  <c r="D89" i="96"/>
  <c r="C89" i="96"/>
  <c r="L89" i="96"/>
  <c r="G84" i="96"/>
  <c r="H84" i="96"/>
  <c r="C84" i="96"/>
  <c r="D84" i="96"/>
  <c r="E84" i="96"/>
  <c r="F84" i="96"/>
  <c r="B84" i="96"/>
  <c r="N84" i="96" l="1"/>
  <c r="N91" i="96" s="1"/>
  <c r="P419" i="96" l="1"/>
  <c r="P418" i="96"/>
  <c r="P417" i="96"/>
  <c r="P415" i="96"/>
  <c r="P414" i="96"/>
  <c r="P413" i="96"/>
  <c r="P412" i="96"/>
  <c r="P405" i="96" l="1"/>
  <c r="P404" i="96"/>
  <c r="P403" i="96"/>
  <c r="P402" i="96"/>
  <c r="N389" i="96"/>
  <c r="M389" i="96"/>
  <c r="L389" i="96"/>
  <c r="K389" i="96"/>
  <c r="J389" i="96"/>
  <c r="I389" i="96"/>
  <c r="H389" i="96"/>
  <c r="G389" i="96"/>
  <c r="F389" i="96"/>
  <c r="E389" i="96"/>
  <c r="D389" i="96"/>
  <c r="C389" i="96"/>
  <c r="B389"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K81" i="96"/>
  <c r="L81" i="96"/>
  <c r="B81" i="96"/>
  <c r="A2" i="96" l="1"/>
  <c r="F95" i="96" l="1"/>
  <c r="G458" i="96"/>
  <c r="G457" i="96"/>
  <c r="G456" i="96"/>
  <c r="G459" i="96"/>
  <c r="G460" i="96"/>
  <c r="G461" i="96"/>
  <c r="G462" i="96"/>
  <c r="G463" i="96"/>
  <c r="G455" i="96"/>
  <c r="G454" i="96"/>
  <c r="I453" i="96"/>
  <c r="G453" i="96"/>
  <c r="F453" i="96"/>
  <c r="C453" i="96"/>
  <c r="E453" i="96"/>
  <c r="F463" i="96"/>
  <c r="C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F454" i="96"/>
  <c r="C454" i="96"/>
  <c r="B454" i="96"/>
  <c r="E464" i="96"/>
  <c r="E463" i="96"/>
  <c r="E462" i="96"/>
  <c r="E461" i="96"/>
  <c r="E460" i="96"/>
  <c r="E459" i="96"/>
  <c r="E458" i="96"/>
  <c r="E457" i="96"/>
  <c r="E456" i="96"/>
  <c r="E455" i="96"/>
  <c r="E454" i="96"/>
  <c r="E465" i="96" l="1"/>
  <c r="G94" i="96" s="1"/>
  <c r="G95" i="96" s="1"/>
  <c r="G14" i="76"/>
  <c r="F14" i="76"/>
  <c r="Q297"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5" i="96"/>
  <c r="N335" i="96"/>
  <c r="M335" i="96"/>
  <c r="L335" i="96"/>
  <c r="K335" i="96"/>
  <c r="J335" i="96"/>
  <c r="I335" i="96"/>
  <c r="H335" i="96"/>
  <c r="G335" i="96"/>
  <c r="F335" i="96"/>
  <c r="E335" i="96"/>
  <c r="D335" i="96"/>
  <c r="C335" i="96"/>
  <c r="C125" i="96"/>
  <c r="B125" i="96"/>
  <c r="N312" i="96"/>
  <c r="M312" i="96"/>
  <c r="L312" i="96"/>
  <c r="K312" i="96"/>
  <c r="J312" i="96"/>
  <c r="I312" i="96"/>
  <c r="H312" i="96"/>
  <c r="G312" i="96"/>
  <c r="F312" i="96"/>
  <c r="E312" i="96"/>
  <c r="D312" i="96"/>
  <c r="C312" i="96"/>
  <c r="B312" i="96"/>
  <c r="O256" i="96"/>
  <c r="N256" i="96"/>
  <c r="M256" i="96"/>
  <c r="L256" i="96"/>
  <c r="K256" i="96"/>
  <c r="J256" i="96"/>
  <c r="I256" i="96"/>
  <c r="H256" i="96"/>
  <c r="G256" i="96"/>
  <c r="F256" i="96"/>
  <c r="E256" i="96"/>
  <c r="D256" i="96"/>
  <c r="C256" i="96"/>
  <c r="O194" i="96"/>
  <c r="N194" i="96"/>
  <c r="M194" i="96"/>
  <c r="L194" i="96"/>
  <c r="K194" i="96"/>
  <c r="J194" i="96"/>
  <c r="I194" i="96"/>
  <c r="H194" i="96"/>
  <c r="G194" i="96"/>
  <c r="F194" i="96"/>
  <c r="E194" i="96"/>
  <c r="D194" i="96"/>
  <c r="C194" i="96"/>
  <c r="P297" i="96" l="1"/>
  <c r="P278" i="96"/>
  <c r="Q235" i="96"/>
  <c r="P235" i="96"/>
  <c r="P216" i="96"/>
  <c r="AI8" i="96" l="1"/>
  <c r="I121" i="96"/>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3" i="96" l="1"/>
  <c r="J453" i="96" s="1"/>
  <c r="A454" i="96"/>
  <c r="J454" i="96" s="1"/>
  <c r="I454" i="96"/>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D456" i="96" l="1"/>
  <c r="D457" i="96"/>
  <c r="D453" i="96"/>
  <c r="D455" i="96"/>
  <c r="D459" i="96"/>
  <c r="D462" i="96"/>
  <c r="D454" i="96"/>
  <c r="D464" i="96"/>
  <c r="D461" i="96"/>
  <c r="D460" i="96"/>
  <c r="D463" i="96"/>
  <c r="D458" i="96"/>
  <c r="F11" i="76" l="1"/>
  <c r="F16" i="76" s="1"/>
  <c r="G11" i="76" l="1"/>
  <c r="G16" i="76" s="1"/>
  <c r="G17" i="76" s="1"/>
  <c r="D124" i="96" l="1"/>
  <c r="D123" i="96"/>
  <c r="D121" i="96"/>
  <c r="E17" i="76" l="1"/>
  <c r="E95" i="96" l="1"/>
  <c r="A465" i="96"/>
  <c r="J465" i="96" s="1"/>
  <c r="D94" i="96" l="1"/>
  <c r="H453" i="96"/>
  <c r="H463" i="96"/>
  <c r="H455" i="96"/>
  <c r="H456" i="96"/>
  <c r="H464" i="96"/>
  <c r="H457" i="96"/>
  <c r="H458" i="96"/>
  <c r="H459" i="96"/>
  <c r="H460" i="96"/>
  <c r="H461" i="96"/>
  <c r="H454" i="96"/>
  <c r="H462" i="96"/>
  <c r="D465" i="96"/>
  <c r="L94" i="96" l="1"/>
  <c r="D95" i="96"/>
  <c r="H465" i="96"/>
  <c r="K465" i="96" s="1"/>
  <c r="L465" i="96" l="1"/>
  <c r="M465" i="96"/>
  <c r="N465"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<sst xmlns="http://schemas.openxmlformats.org/spreadsheetml/2006/main" count="819" uniqueCount="297">
  <si>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</si>
  <si>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</si>
  <si>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</si>
  <si>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</si>
  <si>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</si>
  <si>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</si>
  <si>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</si>
  <si>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</si>
  <si>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</si>
  <si>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</si>
  <si>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</si>
  <si>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</si>
  <si>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</si>
  <si>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</si>
  <si>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</si>
  <si>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</si>
  <si>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</si>
  <si>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</si>
  <si>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</si>
  <si>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</si>
  <si>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</si>
  <si>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</si>
  <si>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</si>
  <si>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</si>
  <si>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</si>
  <si>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</si>
  <si>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</si>
  <si>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</si>
  <si>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</si>
  <si>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</si>
  <si>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</si>
  <si>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</si>
  <si>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</si>
  <si>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</si>
  <si>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</si>
  <si>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</si>
  <si>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</si>
  <si>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</si>
  <si>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</si>
  <si>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</si>
  <si>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</si>
  <si>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</si>
  <si>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</si>
  <si>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</si>
  <si>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</si>
  <si>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</si>
  <si>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</si>
  <si>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</si>
  <si>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</si>
  <si>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</si>
  <si>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</si>
  <si>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</si>
  <si>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</si>
  <si>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</si>
  <si>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</si>
  <si>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</si>
  <si>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</si>
  <si>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</si>
  <si>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</si>
  <si>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</si>
  <si>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</si>
  <si>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</si>
  <si>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</si>
  <si>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</si>
  <si>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</si>
  <si>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</si>
  <si>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</si>
  <si>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</si>
  <si>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</si>
  <si>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</si>
  <si>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</si>
  <si>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</si>
  <si>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</si>
  <si>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</si>
  <si>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</si>
  <si>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</si>
  <si>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</si>
  <si>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</si>
  <si>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</si>
  <si>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</si>
  <si>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</si>
  <si>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</si>
  <si>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</si>
  <si>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</si>
  <si>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</si>
  <si>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</si>
  <si>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</si>
  <si>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</si>
  <si>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</si>
  <si>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</si>
  <si>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</si>
  <si>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</si>
  <si>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</si>
  <si>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</si>
  <si>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</si>
  <si>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</si>
  <si>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</si>
  <si>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</si>
  <si>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</si>
  <si>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</si>
  <si>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</si>
  <si>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</si>
  <si>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</si>
  <si>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</si>
  <si>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</si>
  <si>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</si>
  <si>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</si>
  <si>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</si>
  <si>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</si>
  <si>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</si>
  <si>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</si>
  <si>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</si>
  <si>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</si>
  <si>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</si>
  <si>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</si>
  <si>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</si>
  <si>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</si>
  <si>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</si>
  <si>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</si>
  <si>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</si>
  <si>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</si>
  <si>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</si>
  <si>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</si>
  <si>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</si>
  <si>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</si>
  <si>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</si>
  <si>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</si>
  <si>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</si>
  <si>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</si>
  <si>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</si>
  <si>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</si>
  <si>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</si>
  <si>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</si>
  <si>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</si>
  <si>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</si>
  <si>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</si>
  <si>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</si>
  <si>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</si>
  <si>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</si>
  <si>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</si>
  <si>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</si>
  <si>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</si>
  <si>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</si>
  <si>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</si>
  <si>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</si>
  <si>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</si>
  <si>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</si>
  <si>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</si>
  <si>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</si>
  <si>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</si>
  <si>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</si>
  <si>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</si>
  <si>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</si>
  <si>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</si>
  <si>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</si>
  <si>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</si>
  <si>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</si>
  <si>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</si>
  <si>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</si>
  <si>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</si>
  <si>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</si>
  <si>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</si>
  <si>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</si>
  <si>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</si>
  <si>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</si>
  <si>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</si>
  <si>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</si>
  <si>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</si>
  <si>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</si>
  <si>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</si>
  <si>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</si>
  <si>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</si>
  <si>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</si>
  <si>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</si>
  <si>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</si>
  <si>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</si>
  <si>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</si>
  <si>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</si>
  <si>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</si>
  <si>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</si>
  <si>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</si>
  <si>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</si>
  <si>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</si>
  <si>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</si>
  <si>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</si>
  <si>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</si>
  <si>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</si>
  <si>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</si>
  <si>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</si>
  <si>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</si>
  <si>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</si>
  <si>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</si>
  <si>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</si>
  <si>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</si>
  <si>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</si>
  <si>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</si>
  <si>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</si>
  <si>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</si>
  <si>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</si>
  <si>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</si>
  <si>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</si>
  <si>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</si>
  <si>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</si>
  <si>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</si>
  <si>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</si>
  <si>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</si>
  <si>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</si>
  <si>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</si>
  <si>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Almacenamiento</t>
  </si>
  <si>
    <t>Hibridación</t>
  </si>
  <si>
    <t>2024 Septiembre</t>
  </si>
  <si>
    <t>SEP-24</t>
  </si>
  <si>
    <t>2024 Octubre</t>
  </si>
  <si>
    <t>OCT-24</t>
  </si>
  <si>
    <t>NOV-24</t>
  </si>
  <si>
    <t>2024 Noviembre</t>
  </si>
  <si>
    <t>Reserva de regulación secundaria</t>
  </si>
  <si>
    <t>2024 Diciembre</t>
  </si>
  <si>
    <t>Reserva de regulación</t>
  </si>
  <si>
    <t>DIC-24</t>
  </si>
  <si>
    <t xml:space="preserve">Banda Secundaria </t>
  </si>
  <si>
    <t>2025 Enero</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</si>
  <si>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</si>
  <si>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</si>
  <si>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</si>
  <si>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</si>
  <si>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</si>
  <si>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</si>
  <si>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</si>
  <si>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</si>
  <si>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</si>
  <si>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</si>
  <si>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</si>
  <si>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</si>
  <si>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</si>
  <si>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</si>
  <si>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2025 Abril</t>
  </si>
  <si>
    <t>ABR-25</t>
  </si>
  <si>
    <t>BANDA</t>
  </si>
  <si>
    <t>2025 Mayo</t>
  </si>
  <si>
    <t>MAY-25</t>
  </si>
  <si>
    <t>2025 Junio</t>
  </si>
  <si>
    <t>ingreso control de tensión</t>
  </si>
  <si>
    <t>JUN-25</t>
  </si>
  <si>
    <t>2025 Julio</t>
  </si>
  <si>
    <t>JUL-25</t>
  </si>
  <si>
    <t>Turbina Vapor, Gas y Fuel</t>
  </si>
  <si>
    <t>2025 Agosto</t>
  </si>
  <si>
    <t>AGO-25</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</si>
  <si>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dvis=""&gt;&lt;ci ps="BI" srv="APBI5A"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nrr="1497" nrc="572"&gt;&lt;pg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</si>
  <si>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dvis=""&gt;&lt;ci ps="BI" srv="APBI5A"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nrr="3552" nrc="1326"&gt;&lt;pg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</si>
  <si>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dvis=""&gt;&lt;ci ps="BI" srv="APBI5A"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nrr="2857" nrc="1365"&gt;&lt;pg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</si>
  <si>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01/09/2025</t>
  </si>
  <si>
    <t>02/09/2025</t>
  </si>
  <si>
    <t>03/09/2025</t>
  </si>
  <si>
    <t>04/09/2025</t>
  </si>
  <si>
    <t>05/09/2025</t>
  </si>
  <si>
    <t>06/09/2025</t>
  </si>
  <si>
    <t>07/09/2025</t>
  </si>
  <si>
    <t>08/09/2025</t>
  </si>
  <si>
    <t>09/09/2025</t>
  </si>
  <si>
    <t>10/09/2025</t>
  </si>
  <si>
    <t>11/09/2025</t>
  </si>
  <si>
    <t>12/09/2025</t>
  </si>
  <si>
    <t>13/09/2025</t>
  </si>
  <si>
    <t>14/09/2025</t>
  </si>
  <si>
    <t>15/09/2025</t>
  </si>
  <si>
    <t>16/09/2025</t>
  </si>
  <si>
    <t>17/09/2025</t>
  </si>
  <si>
    <t>18/09/2025</t>
  </si>
  <si>
    <t>19/09/2025</t>
  </si>
  <si>
    <t>20/09/2025</t>
  </si>
  <si>
    <t>21/09/2025</t>
  </si>
  <si>
    <t>22/09/2025</t>
  </si>
  <si>
    <t>23/09/2025</t>
  </si>
  <si>
    <t>24/09/2025</t>
  </si>
  <si>
    <t>25/09/2025</t>
  </si>
  <si>
    <t>26/09/2025</t>
  </si>
  <si>
    <t>27/09/2025</t>
  </si>
  <si>
    <t>28/09/2025</t>
  </si>
  <si>
    <t>29/09/2025</t>
  </si>
  <si>
    <t>30/09/2025</t>
  </si>
  <si>
    <t>2025 Septiembre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</si>
  <si>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srv="apbi5a" prj="SIOSbi" prjid="80652F57504C7F8E3D7CF2B0B09EA47F" li="MADCONMA" am="s" /&gt;&lt;lu ut="10/10/2025 09:28:44" si="2.00000001ae4bcca423aa2f94d665ffde168d153d520c891baea02f31ac1f96d73d1e17c151efda71ee72a50c1292bbcd19264c5d0b005d6ae6fca025a7b6d08daec349675cfc8b31a97051f85e26c8c9b683a2c3b2416c3a8bbf7da96721c620634d97c2ae4dd6a9ffe0198115e64cb0a1cf5b5e61baa6d0216c9329b22b303c19c23fff2a1a7d32a64ad7a0a65ea46be938889e8dc736be2e0878ba6c8aa41175ffff9b1e80f82ac67a8ba0d3ef33243886525741c3461054ebbf4c739bdcdae846aa1dcc6348f32e8a405ab804179a2d842863d75d0850c3594d433c0645ac481ad8b9de7cdb9700690650005a7223a371c8a9e37a3d44025b57c2192787d29891579152d5576b5ea8eeb19990f0b9e931715f42988b76c73ce6e552bd8127d050.p-3082.0.1_-3082.0.1_0.1.Europe/Madrid.upriv*_1*_pidn2*_21*_session*-lat*_1.000000011bede48d56036fb335cb39c34ff7660eea1bd88b239ffa9d3ce8cfb0b836e2f68ee064b9186031c3319d4e0b9365d4ce0bfab808.00000001ab77e9676e1d3967d35f7a6c9b3d5ff631cdd82ee7facb9daeb482712d4d0e944908362b83c5787741b7d4ea50005382e07a8a2b.0.1.1.SIOSbi.80652F57504C7F8E3D7CF2B0B09EA47F.0-3082.1.1_-0.1.0_-3082.1.1_5.5.0.*0.00000001d791c8a99490de07173574157e0e5e32c911585a37face098388c226b2d12e1cf22fd383.0.23.11*.4*.1200*.00787J.e.000000011ca94084e611ee5864d5937264ff88e8c911585a4f583db2bd579adef1b4077c91326454.0.10*.131*.138*.19.*0.0.0.0" msgID="64D1FD837B4F4A6CCF874EBDAA043FF0"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nrr="3412" nrc="3383"&gt;&lt;pg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</si>
  <si>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srv="apbi5a" prj="SIOSbi" prjid="80652F57504C7F8E3D7CF2B0B09EA47F" li="MADCONMA" am="s" /&gt;&lt;lu ut="10/10/2025 10:15:50" si="2.0000000126f375a9b6f6447272fe7a42cfd6126f54b179506d41b0c2720783c74d19f59f48d7364560094e7fa94d80a64687f1e5016f173034e09999ce59d576827339021b9627dc5549431a9abc59294a043a247122ffd4911f3c84e7dca5991aeed6d2681ef6a34ec998e1246be0cc5402aa539059b50608dfd31274721c315d8c9128529351636062e282d376eac5888b49764f2b7e5e734489a091077da8287c99a6534ee2013ce39087e18ae527e33cb20f030e69ff96d02a5ee6a53ca8bea9e26b7fdf795f3222b929ab45f2913018d487ce55f7aa88a26efa76ce7b08dce087c782aa5549ea993d906c40734b9c3db4e7f2e318d0457c54657d29238d5c99491c09671a610d422378d59e14d564788b730e01d2b77f0dec692ac4b889c9a7.p-3082.0.1_-3082.0.1_0.1.Europe/Madrid.upriv*_1*_pidn2*_21*_session*-lat*_1.0000000191d0825e5e00fb76910dacc394baaa9bea1bd88b59530062228baafbab367d1ef1d70ca7e7a4d851589cae6fdcfce3712ebed74c.000000019ac1e8a59840822740321be32f0af29531cdd82ee869d4ca1debf1e6abb67f46eb102d2b53a39c227e35b06dfb60c4e002819ddd.0.1.1.SIOSbi.80652F57504C7F8E3D7CF2B0B09EA47F.0-3082.1.1_-0.1.0_-3082.1.1_5.5.0.*0.00000001f62532543bf547250ea8183744174c24c911585a1496c626b6d57c0da3a53d41aae13729.0.23.11*.4*.1200*.00787J.e.00000001957b50d5f844ca67321c2f2980de3194c911585a23f35c2c76818b0a66afc6c4d22f9783.0.10*.131*.138*.18.*0.0.0.0" msgID="43E8D3BBD74703C2EF8B2F9DAB87BD9C"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nrr="2654" nrc="1703"&gt;&lt;pg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</si>
  <si>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srv="apbi5a" prj="SIOSbi" prjid="80652F57504C7F8E3D7CF2B0B09EA47F" li="MADCONMA" am="s" /&gt;&lt;lu ut="10/10/2025 10:27:17" si="2.00000001551f32df07be15f9d75e494c18bf903ba6f1bbd3e64f0207620e9236702e786310f860424290e867951db887c65bb45806b72492670a91d702b5222bd0200f9156c8cf6bc3f56ae29ce4e880df468d19734d8266a81d4545e35ab3dddd0480b78b8594508d3293fa100b6b6931283f7e9d3f858f8311f9f27e1fffedb9f54f451cd4c0c85dad90b4e616bc4afc23a2df117f557c93d209b636dc18340b58337345bf1d1ca58081b3610b6120a818a70fb3d31e577a1963c188c48f2476c1de9ed6d306d709e121ff69fd210a53d115910be2a59953d4cca2955bde7105282956982df2dd38381ac074023eabe4a8f91151674966d101c5d333b2e4fc227870a663d7a796c4745c0176d6494fd76bd81966e9e21e99209f74e1a3fc931f25.p-3082.0.1_-3082.0.1_0.1.Europe/Madrid.upriv*_1*_pidn2*_21*_session*-lat*_1.0000000103ff307924bc149693598425339f0f76ea1bd88b06c33c297a98b08d24900a161fe2f5463585557f44c0d31faa53ffca511b1569.0000000172d7c532f582054b4ad9138a9ea988e831cdd82e983ba8a443f6e1c8ea67c5b86ed81185ed1d7f200f86f3bffeae9f21f15acd5b.0.1.1.SIOSbi.80652F57504C7F8E3D7CF2B0B09EA47F.0-3082.1.1_-0.1.0_-3082.1.1_5.5.0.*0.00000001cf2869f284c4e00e49c04c33ad4fe83fc911585ac34253b150afcf953b7f2c426bf5a61e.0.23.11*.4*.1200*.00787J.e.00000001d26624ec3b4d36d61d0aa91693f4dbebc911585ae89b79dd0dc0bf89bf077daa32bc5a7e.0.10*.131*.138*.18.*0.0.0.0" msgID="73A606A99D4B77C952E5F3A36B6DFDDB"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nrr="523" nrc="228"&gt;&lt;pg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</si>
  <si>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srv="apbi5a" prj="SIOSbi" prjid="80652F57504C7F8E3D7CF2B0B09EA47F" li="MADCONMA" am="s" /&gt;&lt;lu ut="10/10/2025 10:54:20" si="2.000000019cb931b5cca94fe46d0fb3c8477e6759ae6be0583fda8a436dc897a5945cc182333b6f52838be8c80a10c119e319d941d593342ca029e84e1250351d073fd7dfb0cdc9303500fc22905eac7a1e6505dd0047cb3ad23b328d447bcfd7fa70cdc7ee35cb51c481469ccf7453f6e679d25cd4ecb255fbce067a53f5321b42264b329fc8e186383084e1cfdffa4f1696bd385c89be99ca5bc9e90c3e8f7ced92941ccfe5e76a3ec6af07fa5e2b7052628d1bacb8649701808c09622b0c7ee9f268d7af5913195ab4d5347ad48e6684371f35d6499bdb0ee919af4697959aa8d4a7200a696e50adf5b80d2c47ae2b596ff23e1a0f3b6d397e248996f014483081b40712d6ec2e28cccc8e9f73df285196c13923e576adcc7101752c353e909d7f.p-3082.0.1_-3082.0.1_0.1.Europe/Madrid.upriv*_1*_pidn2*_21*_session*-lat*_1.00000001cf2a8dee49e654449a5fc13f1a24ba9aea1bd88bcb17cd1c0b1819501ea30e521c88b91eb19c36164de7e014bf393a60041d2aea.000000014770afebff06a3a1d272be82373d07a031cdd82ebf437baeabd8f8ca78807ea77889d1f5ba199d62ca4d275bca60751cf173aaa3.0.1.1.SIOSbi.80652F57504C7F8E3D7CF2B0B09EA47F.0-3082.1.1_-0.1.0_-3082.1.1_5.5.0.*0.000000017a90d81e59a0f056e565259c450a6d10c911585a6598d5765a759508154cd479e8a5afdd.0.23.11*.4*.1200*.00787J.e.00000001d1921db0753f7ae1237c7d37637a0823c911585a1e14c5672079c38ade73a84fcb606443.0.10*.131*.138*.18.*0.0.0.0" msgID="F56AE3917A41AB7B12E11CB44E02FEEF"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nrr="2557" nrc="1391"&gt;&lt;pg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</si>
  <si>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srv="apbi5a" prj="SIOSbi" prjid="80652F57504C7F8E3D7CF2B0B09EA47F" li="MADCONMA" am="s" /&gt;&lt;lu ut="10/10/2025 11:48:53" si="2.00000001ca052a6c24af6f39a4a4b92e54490e28ee87b494b6cc5aef282c81c05e8468e1019bf0267b7371b1e5992860894332b492a615ef365890e306da0a5451146e47be8d5791c52b8f9afd646860dd3b36eda00e4be4b78ce1d1ac1e816693e37a37cf83e2e7683ef0d184a2c7f74164b0d5412cf8556be371a8e2ac4bdf7e44852c9f77bd54911b8df878ba7808a4c6cdea3ed38923988b5e9769281af4e8d383c6e6043f3e322f8c5fb9d36f80b212df9c3ffd9391185c1c668b4cc974e5c1677b246ffd53b686bd3cef7244e983637fe3dc09092005268bd741b0cecd53e8773bf86c8b86f39b57ded1cd7468abe468bbcc9003c94d05e9eb2784395e20d4464cda05d4f5a04a4e25f1a5717df114de300732384dfab0c25454608c213ebb.p-3082.0.1_-3082.0.1_0.1.Europe/Madrid.upriv*_1*_pidn2*_21*_session*-lat*_1.00000001e29f0ea2d4c35dea3f8d224feb685afdea1bd88b5e061cae284e663a6d230f837930d4dbccfcad5e3b7251a1fdbb6afa1ffacbf6.0000000138e59e147bbf079fac947598e9826e6831cdd82e276f4c9921fb74cb93678c212a980c656abf903d7c7d8f88a83c957b0ebd024a.0.1.1.SIOSbi.80652F57504C7F8E3D7CF2B0B09EA47F.0-3082.1.1_-0.1.0_-3082.1.1_5.5.0.*0.0000000146cb300c34977a19240a12bf8710ea04c911585aa11890ad21fb7ee111f6066828cb274f.0.23.11*.4*.1200*.00787J.e.000000016d2f4ebb60bc4cf8df508da90eab5a50c911585adc705dcc9ab0e394db95822ce7766f4e.0.10*.131*.138*.19.*0.0.0.0" msgID="825C27B68B43366D8F44BABAD8F9FF34"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nrr="100" nrc="650"&gt;&lt;pg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</si>
  <si>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srv="apbi5a" prj="SIOSbi" prjid="80652F57504C7F8E3D7CF2B0B09EA47F" li="MADCONMA" am="s" /&gt;&lt;lu ut="10/10/2025 11:58:39" si="2.000000014d7cec33080b97c05e019e067b60dc1836eec462cbd4ad43bb3f83ea7e990ab9073dfe635169800bd70301b14094021ac332fd39f98a332781635aa0a77b4520dd7572ba23566720716e3775bcc88c06d29ae0ea6525c4ffaa1f2e32cc164e08d0f5eedba63b452c19cbb00a48a91b887ce462d884da1524f80ebab6d4d48df6e5fb32b4ba38236361a037a87879283164250c9337a41b0666463ec887edd8c20c828e6301ba423d70f580976c635b8b578aea475230a996b68d8dfc67127009ba524d763ec5c1452f9b4ae3affefefa7c4851d4457b5dc6818291e8bdb1479941ce95f46078806984e9b9a3c9677828c366cb3a3a2f07e90bc09912ed9452eba5fc96b33a243e4f79e5eea0beab0daadca5a8c73592cf99c50e218e23fa.p-3082.0.1_-3082.0.1_0.1.Europe/Madrid.upriv*_1*_pidn2*_21*_session*-lat*_1.000000019782d3453d8dcc29d77bd0ff557763a9ea1bd88b3015b34d46571373b65957070e8bed1476441ba7427d10f11b66c30d632aaf8c.000000013ccb58af0d00163e96cfd454db9c695231cdd82e578d70f864d9fbcd38f366eb87be442b641a17a0155643e8da7a430ac8c05c96.0.1.1.SIOSbi.80652F57504C7F8E3D7CF2B0B09EA47F.0-3082.1.1_-0.1.0_-3082.1.1_5.5.0.*0.0000000144b5208c06a967a5f53ef56cf236fe81c911585a628df6403b32575132a6571616f792d3.0.23.11*.4*.1200*.00787J.e.00000001cc6fae6f4e9722e4d34e478cee0cbe68c911585a822228d314dc17fc24998116ddd39b99.0.10*.131*.138*.18.*0.0.0.0" msgID="889CEBBE56499389C50667A6E50B3C33"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nrr="114" nrc="728"&gt;&lt;pg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</si>
  <si>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srv="apbi5a" prj="SIOSbi" prjid="80652F57504C7F8E3D7CF2B0B09EA47F" li="MADCONMA" am="s" /&gt;&lt;lu ut="10/10/2025 13:03:16" si="2.00000001f9d017002fa17896da7b2f5fef3dd6210f10ee286fe31ccb8dc1421bc834697504e2e78ecf6d933d385fe9817c05961c839e08f47915d1d1736fac90c23bf1593671c627c3261c66708607d839d2c6bbc408bd0cf148f344835486e6fd96636da94351c591df9fed880ec2cbb729c9af880d6bb68ffd9d174a8d30e822d77e20bf674c881b4d3cedcd44cb58475ee35920e346f1e0d3d434d7d580b0043ac71e9b46ef3243ea826c340fe6f3ca3ce6fc3be1c4da260b2832d7388f080a8f8e203c27ee14f8ecdf661632d627b4d43a5f92fee629dca5c38c2422d9438d89365c0f471697d8947c636904a9e94a6ec124f61b2a670eadb557480409515dc44c92f9f553350015bd213e8968e02eb2dbba6a2b37f4dfae971a85ffef071faa.p-3082.0.1_-3082.0.1_0.1.Europe/Madrid.upriv*_1*_pidn2*_21*_session*-lat*_1.00000001d5497b3ab81123e9bc4a71419fb56df3ea1bd88b36558dc1662d0e900e0f6ac6ffdbb326db14db0bd40ede38d7e3a11d67fae8c8.00000001f42ca0bfc4a54f75988ab40b8ff052c731cdd82e12c32ac6f36bfe5f7eb35230918ada58eca64ec1bc4083f31008c3faee84b355.0.1.1.SIOSbi.80652F57504C7F8E3D7CF2B0B09EA47F.0-3082.1.1_-0.1.0_-3082.1.1_5.5.0.*0.00000001bc1c7f381cdf23290fe60921f8ffb443c911585a35b7df783d24941d75df5c5f337b98d7.0.23.11*.4*.1200*.00787J.e.000000017206e916b451398238190457064720eac911585a9ec468aa7112aeecd686e9a111bac7b2.0.10*.131*.138*.18.*0.0.0.0" msgID="E84D64D59743814431FDAD9E88F3F1B7"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nrr="106" nrc="689"&gt;&lt;pg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</si>
  <si>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srv="apbi5a" prj="SIOSbi" prjid="80652F57504C7F8E3D7CF2B0B09EA47F" li="MADCONMA" am="s" /&gt;&lt;lu ut="10/10/2025 13:04:20" si="2.00000001f9d017002fa17896da7b2f5fef3dd6210f10ee286fe31ccb8dc1421bc834697504e2e78ecf6d933d385fe9817c05961c839e08f47915d1d1736fac90c23bf1593671c627c3261c66708607d839d2c6bbc408bd0cf148f344835486e6fd96636da94351c591df9fed880ec2cbb729c9af880d6bb68ffd9d174a8d30e822d77e20bf674c881b4d3cedcd44cb58475ee35920e346f1e0d3d434d7d580b0043ac71e9b46ef3243ea826c340fe6f3ca3ce6fc3be1c4da260b2832d7388f080a8f8e203c27ee14f8ecdf661632d627b4d43a5f92fee629dca5c38c2422d9438d89365c0f471697d8947c636904a9e94a6ec124f61b2a670eadb557480409515dc44c92f9f553350015bd213e8968e02eb2dbba6a2b37f4dfae971a85ffef071faa.p-3082.0.1_-3082.0.1_0.1.Europe/Madrid.upriv*_1*_pidn2*_21*_session*-lat*_1.00000001d5497b3ab81123e9bc4a71419fb56df3ea1bd88b36558dc1662d0e900e0f6ac6ffdbb326db14db0bd40ede38d7e3a11d67fae8c8.00000001f42ca0bfc4a54f75988ab40b8ff052c731cdd82e12c32ac6f36bfe5f7eb35230918ada58eca64ec1bc4083f31008c3faee84b355.0.1.1.SIOSbi.80652F57504C7F8E3D7CF2B0B09EA47F.0-3082.1.1_-0.1.0_-3082.1.1_5.5.0.*0.00000001bc1c7f381cdf23290fe60921f8ffb443c911585a35b7df783d24941d75df5c5f337b98d7.0.23.11*.4*.1200*.00787J.e.000000017206e916b451398238190457064720eac911585a9ec468aa7112aeecd686e9a111bac7b2.0.10*.131*.138*.18.*0.0.0.0" msgID="DAF5CB2AFE4870629E8B80B42E5D7CCC"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nrr="106" nrc="676"&gt;&lt;pg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</si>
  <si>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srv="apbi5a" prj="SIOSbi" prjid="80652F57504C7F8E3D7CF2B0B09EA47F" li="MADCONMA" am="s" /&gt;&lt;lu ut="10/10/2025 13:05:23" si="2.00000001f9d017002fa17896da7b2f5fef3dd6210f10ee286fe31ccb8dc1421bc834697504e2e78ecf6d933d385fe9817c05961c839e08f47915d1d1736fac90c23bf1593671c627c3261c66708607d839d2c6bbc408bd0cf148f344835486e6fd96636da94351c591df9fed880ec2cbb729c9af880d6bb68ffd9d174a8d30e822d77e20bf674c881b4d3cedcd44cb58475ee35920e346f1e0d3d434d7d580b0043ac71e9b46ef3243ea826c340fe6f3ca3ce6fc3be1c4da260b2832d7388f080a8f8e203c27ee14f8ecdf661632d627b4d43a5f92fee629dca5c38c2422d9438d89365c0f471697d8947c636904a9e94a6ec124f61b2a670eadb557480409515dc44c92f9f553350015bd213e8968e02eb2dbba6a2b37f4dfae971a85ffef071faa.p-3082.0.1_-3082.0.1_0.1.Europe/Madrid.upriv*_1*_pidn2*_21*_session*-lat*_1.00000001d5497b3ab81123e9bc4a71419fb56df3ea1bd88b36558dc1662d0e900e0f6ac6ffdbb326db14db0bd40ede38d7e3a11d67fae8c8.00000001f42ca0bfc4a54f75988ab40b8ff052c731cdd82e12c32ac6f36bfe5f7eb35230918ada58eca64ec1bc4083f31008c3faee84b355.0.1.1.SIOSbi.80652F57504C7F8E3D7CF2B0B09EA47F.0-3082.1.1_-0.1.0_-3082.1.1_5.5.0.*0.00000001bc1c7f381cdf23290fe60921f8ffb443c911585a35b7df783d24941d75df5c5f337b98d7.0.23.11*.4*.1200*.00787J.e.000000017206e916b451398238190457064720eac911585a9ec468aa7112aeecd686e9a111bac7b2.0.10*.131*.138*.18.*0.0.0.0" msgID="B65F61A6D444F27147FEAAB07AC4E221"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nrr="544" nrc="868"&gt;&lt;pg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</si>
  <si>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srv="apbi5a" prj="SIOSbi" prjid="80652F57504C7F8E3D7CF2B0B09EA47F" li="MADCONMA" am="s" /&gt;&lt;lu ut="10/10/2025 13:12:24" si="2.0000000180569a755be2f268c962bdd45651a25596ffe7f2322af6d81645a3fc1d9fb349be27f74f2a42952a7235bcedf9ce9609802c6d5b37bdf7ad223c277c764a87bb27f17ea6b640b7acf4e49c470bec9582a361efc0d57314ed60fd9176c5c14d56da85747cac56ff766cf1f83f7da270105e1992a13837e95da2b6392f979e0b9d213952f0fc9024c63a9545023dbc071355f5e2eee5c88b71134d205f36c2ddf58a9615306640ec56be2129b914c4b6db383b536e94d9fa79085a71bfee214ffb66aef5c721f4ffe8e64bb90965045c9388bdb491c610009f3f639723a80378f16a355dcae61681ed6793e9d50bec08c005b0d6139c5803d73875d93cd7d46b3d4a31ccf0196ebeb574df94f1eaf2233e579d31e7369aa26724e57d7aa603.p-3082.0.1_-3082.0.1_0.1.Europe/Madrid.upriv*_1*_pidn2*_21*_session*-lat*_1.00000001c057479cb6f4dd0f0517caa38de030bfea1bd88bc8e9eb4327e587511e230701d61bceed7a05c707017d15e1fa5e920fccf5ec24.00000001b687f1eeabe1ec9a1f2a7a8f395b6fd131cdd82e770080940e9e656528f19a1af0c7c07738a6f4b84c1dd5da992f70b154229efc.0.1.1.SIOSbi.80652F57504C7F8E3D7CF2B0B09EA47F.0-3082.1.1_-0.1.0_-3082.1.1_5.5.0.*0.000000010375b3021fe3b05731e05ac1ce375305c911585ab84ae6f18a41a1c8f37cf9c30ebba956.0.23.11*.4*.1200*.00787J.e.000000018e5b51d6736b935410d5454042f9f2b2c911585a7a4400a912690f6e96b3d5d200112e39.0.10*.131*.138*.18.*0.0.0.0" msgID="5BCC3D338D404D560EDAB7A1D264D293"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nrr="192" nrc="624"&gt;&lt;pg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</si>
  <si>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584c2f980b2a4f44b5c1f6ebbe6c6d02</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</si>
  <si>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srv="apbi5a" prj="SIOSbi" prjid="80652F57504C7F8E3D7CF2B0B09EA47F" li="MADCONMA" am="s" /&gt;&lt;lu ut="10/10/2025 13:13:33" si="2.0000000180569a755be2f268c962bdd45651a25596ffe7f2322af6d81645a3fc1d9fb349be27f74f2a42952a7235bcedf9ce9609802c6d5b37bdf7ad223c277c764a87bb27f17ea6b640b7acf4e49c470bec9582a361efc0d57314ed60fd9176c5c14d56da85747cac56ff766cf1f83f7da270105e1992a13837e95da2b6392f979e0b9d213952f0fc9024c63a9545023dbc071355f5e2eee5c88b71134d205f36c2ddf58a9615306640ec56be2129b914c4b6db383b536e94d9fa79085a71bfee214ffb66aef5c721f4ffe8e64bb90965045c9388bdb491c610009f3f639723a80378f16a355dcae61681ed6793e9d50bec08c005b0d6139c5803d73875d93cd7d46b3d4a31ccf0196ebeb574df94f1eaf2233e579d31e7369aa26724e57d7aa603.p-3082.0.1_-3082.0.1_0.1.Europe/Madrid.upriv*_1*_pidn2*_21*_session*-lat*_1.00000001c057479cb6f4dd0f0517caa38de030bfea1bd88bc8e9eb4327e587511e230701d61bceed7a05c707017d15e1fa5e920fccf5ec24.00000001b687f1eeabe1ec9a1f2a7a8f395b6fd131cdd82e770080940e9e656528f19a1af0c7c07738a6f4b84c1dd5da992f70b154229efc.0.1.1.SIOSbi.80652F57504C7F8E3D7CF2B0B09EA47F.0-3082.1.1_-0.1.0_-3082.1.1_5.5.0.*0.000000010375b3021fe3b05731e05ac1ce375305c911585ab84ae6f18a41a1c8f37cf9c30ebba956.0.23.11*.4*.1200*.00787J.e.000000018e5b51d6736b935410d5454042f9f2b2c911585a7a4400a912690f6e96b3d5d200112e39.0.10*.131*.138*.18.*0.0.0.0" msgID="81AB4D39A44E12D049EF18AA7F8568A2"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nrr="408" nrc="663"&gt;&lt;pg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</si>
  <si>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SEP-25</t>
  </si>
  <si>
    <t>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</si>
</sst>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2">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
      <sz val="8"/>
      <color rgb="FF000000"/>
      <name val="Arial"/>
      <family val="2"/>
    </font>
    <font>
      <b/>
      <sz val="8"/>
      <color rgb="FF000000"/>
      <name val="Arial"/>
      <family val="2"/>
    </font>
    <font>
      <sz val="8"/>
      <color rgb="FF000000"/>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C99"/>
      </patternFill>
    </fill>
    <fill>
      <patternFill patternType="solid">
        <fgColor rgb="FF34839D"/>
      </patternFill>
    </fill>
    <fill>
      <patternFill patternType="solid">
        <fgColor rgb="FFFFC000"/>
        <bgColor rgb="FFFFFFFF"/>
      </patternFill>
    </fill>
  </fills>
  <borders count="27">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0" fillId="0" borderId="0" applyNumberFormat="0" applyFill="0" applyBorder="0" applyAlignment="0" applyProtection="0"/>
    <xf numFmtId="0" fontId="71" fillId="0" borderId="0"/>
    <xf numFmtId="0" fontId="73" fillId="0" borderId="0"/>
    <xf numFmtId="0" fontId="8" fillId="0" borderId="0"/>
    <xf numFmtId="0" fontId="7" fillId="0" borderId="0"/>
    <xf numFmtId="43" fontId="26" fillId="0" borderId="0" applyFont="0" applyFill="0" applyBorder="0" applyAlignment="0" applyProtection="0"/>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xf numFmtId="164" fontId="28" fillId="7" borderId="2">
      <alignment horizontal="right" vertical="center"/>
    </xf>
  </cellStyleXfs>
  <cellXfs count="265">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8"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69" fillId="0" borderId="0" xfId="0" applyFont="1"/>
    <xf numFmtId="0" fontId="70"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4" fillId="5" borderId="0" xfId="20" applyFont="1" applyFill="1"/>
    <xf numFmtId="164" fontId="74"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164" fontId="28" fillId="17" borderId="2" xfId="64" applyFill="1">
      <alignment horizontal="right" vertical="center"/>
    </xf>
    <xf numFmtId="173" fontId="0" fillId="0" borderId="0" xfId="74" applyNumberFormat="1" applyFont="1"/>
    <xf numFmtId="0" fontId="29" fillId="3" borderId="7" xfId="60" quotePrefix="1" applyBorder="1" applyAlignment="1">
      <alignment horizontal="right"/>
    </xf>
    <xf numFmtId="0" fontId="33" fillId="5" borderId="18" xfId="0" applyFont="1" applyFill="1" applyBorder="1"/>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9" fillId="3" borderId="2" xfId="60" quotePrefix="1" applyAlignment="1"/>
    <xf numFmtId="0" fontId="29" fillId="3" borderId="7" xfId="60" quotePrefix="1" applyBorder="1" applyAlignment="1"/>
    <xf numFmtId="4" fontId="76"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7" fillId="5" borderId="4" xfId="0" applyFont="1" applyFill="1" applyBorder="1" applyAlignment="1">
      <alignment horizontal="center" vertical="center"/>
    </xf>
    <xf numFmtId="0" fontId="31" fillId="5" borderId="4" xfId="0" applyFont="1" applyFill="1" applyBorder="1" applyAlignment="1">
      <alignment horizontal="center"/>
    </xf>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1" applyNumberFormat="1" applyFont="1" applyFill="1" applyBorder="1" applyAlignment="1">
      <alignment horizontal="right" vertical="center" wrapText="1"/>
    </xf>
    <xf numFmtId="4" fontId="28" fillId="18" borderId="15" xfId="81" applyNumberFormat="1" applyFont="1" applyFill="1" applyBorder="1" applyAlignment="1">
      <alignment horizontal="right" vertical="center" wrapText="1"/>
    </xf>
    <xf numFmtId="10" fontId="31" fillId="0" borderId="0" xfId="9" applyNumberFormat="1" applyFont="1" applyFill="1" applyBorder="1" applyAlignment="1" applyProtection="1">
      <alignment horizontal="left"/>
    </xf>
    <xf numFmtId="174"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3" applyNumberFormat="1" applyFont="1" applyFill="1" applyBorder="1" applyAlignment="1">
      <alignment horizontal="right" vertical="center" wrapText="1"/>
    </xf>
    <xf numFmtId="171" fontId="69" fillId="0" borderId="0" xfId="0" applyNumberFormat="1" applyFont="1"/>
    <xf numFmtId="168" fontId="69"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4" fontId="28" fillId="2" borderId="2" xfId="85">
      <alignment horizontal="right" vertical="center"/>
    </xf>
    <xf numFmtId="0" fontId="0" fillId="0" borderId="14" xfId="0" applyBorder="1" applyAlignment="1">
      <alignment vertical="center"/>
    </xf>
    <xf numFmtId="0" fontId="0" fillId="0" borderId="15" xfId="0" applyBorder="1" applyAlignment="1">
      <alignment vertical="center"/>
    </xf>
    <xf numFmtId="0" fontId="76" fillId="0" borderId="0" xfId="0" applyFont="1"/>
    <xf numFmtId="0" fontId="78" fillId="0" borderId="0" xfId="0" applyFont="1"/>
    <xf numFmtId="170" fontId="0" fillId="0" borderId="0" xfId="0" applyNumberFormat="1"/>
    <xf numFmtId="168" fontId="31" fillId="0" borderId="0" xfId="9" applyNumberFormat="1" applyFont="1" applyFill="1" applyBorder="1" applyAlignment="1" applyProtection="1">
      <alignment horizontal="left"/>
    </xf>
    <xf numFmtId="170" fontId="28" fillId="7" borderId="2" xfId="43">
      <alignment horizontal="right" vertical="center"/>
    </xf>
    <xf numFmtId="164" fontId="28" fillId="7" borderId="2" xfId="44">
      <alignment horizontal="right" vertical="center"/>
    </xf>
    <xf numFmtId="4" fontId="28" fillId="7" borderId="2" xfId="42">
      <alignment horizontal="right" vertical="center"/>
    </xf>
    <xf numFmtId="4" fontId="28" fillId="2" borderId="0" xfId="85" applyBorder="1">
      <alignment horizontal="right" vertical="center"/>
    </xf>
    <xf numFmtId="0" fontId="79" fillId="18" borderId="2" xfId="0" applyFont="1" applyFill="1" applyBorder="1" applyAlignment="1">
      <alignment horizontal="left" vertical="center" wrapText="1"/>
    </xf>
    <xf numFmtId="0" fontId="80" fillId="19" borderId="2" xfId="0" applyFont="1" applyFill="1" applyBorder="1" applyAlignment="1">
      <alignment horizontal="left" vertical="center" wrapText="1"/>
    </xf>
    <xf numFmtId="170" fontId="28" fillId="19" borderId="2" xfId="0" applyNumberFormat="1" applyFont="1" applyFill="1" applyBorder="1" applyAlignment="1">
      <alignment horizontal="right" vertical="center" wrapText="1"/>
    </xf>
    <xf numFmtId="170" fontId="28" fillId="19" borderId="15" xfId="0" applyNumberFormat="1" applyFont="1" applyFill="1" applyBorder="1" applyAlignment="1">
      <alignment horizontal="right" vertical="center" wrapText="1"/>
    </xf>
    <xf numFmtId="164" fontId="28" fillId="19" borderId="2" xfId="0" applyNumberFormat="1" applyFont="1" applyFill="1" applyBorder="1" applyAlignment="1">
      <alignment horizontal="right" vertical="center" wrapText="1"/>
    </xf>
    <xf numFmtId="164" fontId="28" fillId="7" borderId="2" xfId="90">
      <alignment horizontal="right" vertical="center"/>
    </xf>
    <xf numFmtId="164" fontId="28" fillId="19" borderId="15" xfId="0" applyNumberFormat="1" applyFont="1" applyFill="1" applyBorder="1" applyAlignment="1">
      <alignment horizontal="right" vertical="center" wrapText="1"/>
    </xf>
    <xf numFmtId="4" fontId="28" fillId="18" borderId="2" xfId="0" applyNumberFormat="1" applyFont="1" applyFill="1" applyBorder="1" applyAlignment="1">
      <alignment horizontal="right" vertical="center" wrapText="1"/>
    </xf>
    <xf numFmtId="4" fontId="28" fillId="0" borderId="2" xfId="85" applyFill="1">
      <alignment horizontal="right" vertical="center"/>
    </xf>
    <xf numFmtId="4" fontId="28" fillId="18" borderId="15" xfId="0" applyNumberFormat="1" applyFont="1" applyFill="1" applyBorder="1" applyAlignment="1">
      <alignment horizontal="right" vertical="center" wrapText="1"/>
    </xf>
    <xf numFmtId="4" fontId="28" fillId="0" borderId="2" xfId="42" applyFill="1">
      <alignment horizontal="right" vertical="center"/>
    </xf>
    <xf numFmtId="4" fontId="28" fillId="2" borderId="16" xfId="85" applyBorder="1">
      <alignment horizontal="right" vertical="center"/>
    </xf>
    <xf numFmtId="0" fontId="28" fillId="2" borderId="2" xfId="63" quotePrefix="1" applyAlignment="1">
      <alignment horizontal="right" vertical="center" wrapText="1"/>
    </xf>
    <xf numFmtId="4" fontId="28" fillId="18" borderId="14" xfId="0" applyNumberFormat="1" applyFont="1" applyFill="1" applyBorder="1" applyAlignment="1">
      <alignment horizontal="right" vertical="center" wrapText="1"/>
    </xf>
    <xf numFmtId="0" fontId="29" fillId="20" borderId="15" xfId="0" applyFont="1" applyFill="1" applyBorder="1" applyAlignment="1">
      <alignment horizontal="center" wrapText="1"/>
    </xf>
    <xf numFmtId="0" fontId="29" fillId="20" borderId="2" xfId="0" applyFont="1" applyFill="1" applyBorder="1" applyAlignment="1">
      <alignment horizontal="center" wrapText="1"/>
    </xf>
    <xf numFmtId="164" fontId="28" fillId="18" borderId="2" xfId="0" applyNumberFormat="1" applyFont="1" applyFill="1" applyBorder="1" applyAlignment="1">
      <alignment horizontal="right" vertical="center" wrapText="1"/>
    </xf>
    <xf numFmtId="164" fontId="28" fillId="18" borderId="15" xfId="0" applyNumberFormat="1" applyFont="1" applyFill="1" applyBorder="1" applyAlignment="1">
      <alignment horizontal="right" vertical="center" wrapText="1"/>
    </xf>
    <xf numFmtId="164" fontId="50" fillId="19" borderId="2" xfId="0" applyNumberFormat="1" applyFont="1" applyFill="1" applyBorder="1" applyAlignment="1">
      <alignment horizontal="right" vertical="center" wrapText="1"/>
    </xf>
    <xf numFmtId="164" fontId="50" fillId="19" borderId="15" xfId="0" applyNumberFormat="1" applyFont="1" applyFill="1" applyBorder="1" applyAlignment="1">
      <alignment horizontal="right" vertical="center" wrapText="1"/>
    </xf>
    <xf numFmtId="4" fontId="18" fillId="2" borderId="2" xfId="42" applyFont="1" applyFill="1">
      <alignment horizontal="right" vertical="center"/>
    </xf>
    <xf numFmtId="0" fontId="29" fillId="3" borderId="2" xfId="36" quotePrefix="1">
      <alignment horizontal="center"/>
    </xf>
    <xf numFmtId="0" fontId="29" fillId="3" borderId="2" xfId="36">
      <alignment horizontal="center"/>
    </xf>
    <xf numFmtId="4" fontId="28" fillId="14" borderId="2" xfId="75">
      <alignment horizontal="right" vertical="center"/>
    </xf>
    <xf numFmtId="4" fontId="28" fillId="11" borderId="2" xfId="38">
      <alignment horizontal="right" vertical="center"/>
    </xf>
    <xf numFmtId="4" fontId="50" fillId="12" borderId="2" xfId="40">
      <alignment horizontal="right" vertical="center"/>
    </xf>
    <xf numFmtId="4" fontId="50" fillId="7" borderId="2" xfId="78">
      <alignment horizontal="right" vertical="center"/>
    </xf>
    <xf numFmtId="171" fontId="50" fillId="7" borderId="2" xfId="47">
      <alignment horizontal="right" vertical="center"/>
    </xf>
    <xf numFmtId="164" fontId="50" fillId="7" borderId="2" xfId="68">
      <alignment horizontal="right" vertical="center"/>
    </xf>
    <xf numFmtId="4" fontId="28" fillId="21" borderId="2" xfId="85" applyFill="1">
      <alignment horizontal="right" vertical="center"/>
    </xf>
    <xf numFmtId="4" fontId="28" fillId="19" borderId="15" xfId="0" applyNumberFormat="1" applyFont="1" applyFill="1" applyBorder="1" applyAlignment="1">
      <alignment horizontal="right" vertical="center" wrapText="1"/>
    </xf>
    <xf numFmtId="170" fontId="81" fillId="19" borderId="2" xfId="0" applyNumberFormat="1" applyFont="1" applyFill="1" applyBorder="1" applyAlignment="1">
      <alignment horizontal="right" vertical="center" wrapText="1"/>
    </xf>
    <xf numFmtId="164" fontId="81" fillId="19" borderId="2" xfId="0" applyNumberFormat="1" applyFont="1" applyFill="1" applyBorder="1" applyAlignment="1">
      <alignment horizontal="right" vertical="center" wrapText="1"/>
    </xf>
    <xf numFmtId="4" fontId="81" fillId="18" borderId="2" xfId="0" applyNumberFormat="1" applyFont="1" applyFill="1" applyBorder="1" applyAlignment="1">
      <alignment horizontal="right" vertical="center" wrapText="1"/>
    </xf>
    <xf numFmtId="0" fontId="32" fillId="5" borderId="0" xfId="0" applyFont="1" applyFill="1" applyAlignment="1">
      <alignment horizontal="center"/>
    </xf>
    <xf numFmtId="0" fontId="32" fillId="5" borderId="5" xfId="0" applyFont="1" applyFill="1" applyBorder="1" applyAlignment="1">
      <alignment horizontal="center"/>
    </xf>
    <xf numFmtId="37" fontId="28" fillId="18" borderId="2" xfId="0" applyNumberFormat="1" applyFont="1" applyFill="1" applyBorder="1" applyAlignment="1">
      <alignment horizontal="right" vertical="center" wrapText="1"/>
    </xf>
    <xf numFmtId="37" fontId="28" fillId="18" borderId="15" xfId="0" applyNumberFormat="1" applyFont="1" applyFill="1" applyBorder="1" applyAlignment="1">
      <alignment horizontal="right" vertical="center" wrapText="1"/>
    </xf>
    <xf numFmtId="37" fontId="50" fillId="19" borderId="2" xfId="0" applyNumberFormat="1" applyFont="1" applyFill="1" applyBorder="1" applyAlignment="1">
      <alignment horizontal="right" vertical="center" wrapText="1"/>
    </xf>
    <xf numFmtId="37" fontId="50" fillId="19" borderId="15" xfId="0" applyNumberFormat="1" applyFont="1" applyFill="1" applyBorder="1" applyAlignment="1">
      <alignment horizontal="right" vertical="center" wrapText="1"/>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0" fontId="29" fillId="3" borderId="2" xfId="60" quotePrefix="1" applyAlignment="1">
      <alignment horizontal="center"/>
    </xf>
    <xf numFmtId="0" fontId="0" fillId="0" borderId="7" xfId="0" applyBorder="1" applyAlignment="1">
      <alignment horizontal="center"/>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0" fillId="0" borderId="10" xfId="0" applyBorder="1" applyAlignment="1">
      <alignment horizontal="center"/>
    </xf>
    <xf numFmtId="0" fontId="29" fillId="3" borderId="19" xfId="60" quotePrefix="1" applyBorder="1" applyAlignment="1">
      <alignment horizontal="center"/>
    </xf>
    <xf numFmtId="0" fontId="0" fillId="0" borderId="20" xfId="0" applyBorder="1" applyAlignment="1">
      <alignment horizontal="center"/>
    </xf>
    <xf numFmtId="0" fontId="29" fillId="3" borderId="25" xfId="60" quotePrefix="1" applyBorder="1" applyAlignment="1">
      <alignment horizontal="center"/>
    </xf>
    <xf numFmtId="0" fontId="0" fillId="0" borderId="26" xfId="0" applyBorder="1" applyAlignment="1">
      <alignment horizontal="center"/>
    </xf>
    <xf numFmtId="0" fontId="29" fillId="3" borderId="23" xfId="60" quotePrefix="1" applyBorder="1" applyAlignment="1">
      <alignment horizontal="center"/>
    </xf>
    <xf numFmtId="0" fontId="0" fillId="0" borderId="24" xfId="0" applyBorder="1" applyAlignment="1">
      <alignment horizontal="center"/>
    </xf>
    <xf numFmtId="0" fontId="28" fillId="2" borderId="14" xfId="63" quotePrefix="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9" fillId="3" borderId="11" xfId="60" quotePrefix="1" applyBorder="1" applyAlignment="1">
      <alignment horizontal="center"/>
    </xf>
    <xf numFmtId="0" fontId="28" fillId="2" borderId="13" xfId="63" quotePrefix="1" applyBorder="1" applyAlignment="1">
      <alignment horizontal="left" vertic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29" fillId="3" borderId="21" xfId="60" quotePrefix="1" applyBorder="1" applyAlignment="1">
      <alignment horizontal="center"/>
    </xf>
    <xf numFmtId="0" fontId="0" fillId="0" borderId="22"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7"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0" xr:uid="{FCA4B10E-EE33-4397-B99A-F7ACDA67DE9E}"/>
    <cellStyle name="MSTRStyle.Todos.c13_87d7be99-df52-4067-a8d4-177d9bcab94b" xfId="85"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9190d45b-ffc1-4104-b4c7-224707feff3e" xfId="43" xr:uid="{00000000-0005-0000-0000-000018000000}"/>
    <cellStyle name="MSTRStyle.Todos.c18_f36069f7-de38-438b-b3cd-3bacd5cdcd0c" xfId="78"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7" xr:uid="{D4EBFC2B-A3B7-4888-9720-A4E461323554}"/>
    <cellStyle name="MSTRStyle.Todos.c22FB013911EA85FFC2610080EFD5BAAC_76fdbead-a11a-4d6e-9ddf-e574d99c4833" xfId="79"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5E29F72711ED505700000080EF951C6B_c5dce312-fb35-46dd-8e75-db24d903cb28" xfId="90" xr:uid="{DD563A80-118E-42EB-949E-7F1BA88756B3}"/>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6"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2" xr:uid="{13DC4E38-B73E-428C-9BFC-DE142B488BC1}"/>
    <cellStyle name="MSTRStyle.Todos.cFA43056511E9FB678F890080EFF52244_4ec8f762-4808-46be-a038-987e3097519d" xfId="75"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1" xr:uid="{9E8EAD6E-6DBA-41E4-993F-5E886774A5DE}"/>
    <cellStyle name="Normal 17" xfId="83" xr:uid="{6046D703-8906-4AD6-A383-7897179C4955}"/>
    <cellStyle name="Normal 18" xfId="84" xr:uid="{5DF66136-CDFE-4A04-8587-EA9FF02EF8A5}"/>
    <cellStyle name="Normal 19" xfId="86" xr:uid="{CDCAEA77-3CE1-4541-BBAA-62EF90AD1B7C}"/>
    <cellStyle name="Normal 2" xfId="13" xr:uid="{00000000-0005-0000-0000-00002C000000}"/>
    <cellStyle name="Normal 2 2 2" xfId="4" xr:uid="{00000000-0005-0000-0000-00002D000000}"/>
    <cellStyle name="Normal 20" xfId="88" xr:uid="{A79DDE69-9CF1-4FD9-8E32-07187CCE5DC8}"/>
    <cellStyle name="Normal 21" xfId="89"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FFFF"/>
      <color rgb="FFF2F2F2"/>
      <color rgb="FF28A064"/>
      <color rgb="FF95B3D7"/>
      <color rgb="FF464394"/>
      <color rgb="FFFFCC99"/>
      <color rgb="FFFF9900"/>
      <color rgb="FF9999FF"/>
      <color rgb="FFCFA2CA"/>
      <color rgb="FFE5D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cked"/>
        <c:varyColors val="0"/>
        <c:ser>
          <c:idx val="0"/>
          <c:order val="1"/>
          <c:tx>
            <c:v>Precio mínimo</c:v>
          </c:tx>
          <c:spPr>
            <a:solidFill>
              <a:srgbClr val="F2F2F2"/>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0</c:v>
                </c:pt>
                <c:pt idx="1">
                  <c:v>0.21</c:v>
                </c:pt>
                <c:pt idx="2">
                  <c:v>-0.02</c:v>
                </c:pt>
                <c:pt idx="3">
                  <c:v>1.55</c:v>
                </c:pt>
                <c:pt idx="4">
                  <c:v>0.65</c:v>
                </c:pt>
                <c:pt idx="5">
                  <c:v>-0.99</c:v>
                </c:pt>
                <c:pt idx="6">
                  <c:v>0</c:v>
                </c:pt>
                <c:pt idx="7">
                  <c:v>27.08</c:v>
                </c:pt>
                <c:pt idx="8">
                  <c:v>8.91</c:v>
                </c:pt>
                <c:pt idx="9">
                  <c:v>-0.01</c:v>
                </c:pt>
                <c:pt idx="10">
                  <c:v>-0.01</c:v>
                </c:pt>
                <c:pt idx="11">
                  <c:v>0.75</c:v>
                </c:pt>
                <c:pt idx="12">
                  <c:v>-0.01</c:v>
                </c:pt>
                <c:pt idx="13">
                  <c:v>-0.01</c:v>
                </c:pt>
                <c:pt idx="14">
                  <c:v>2.5</c:v>
                </c:pt>
                <c:pt idx="15">
                  <c:v>3.52</c:v>
                </c:pt>
                <c:pt idx="16">
                  <c:v>15.1</c:v>
                </c:pt>
                <c:pt idx="17">
                  <c:v>44</c:v>
                </c:pt>
                <c:pt idx="18">
                  <c:v>31.25</c:v>
                </c:pt>
                <c:pt idx="19">
                  <c:v>0.65</c:v>
                </c:pt>
                <c:pt idx="20">
                  <c:v>-0.62</c:v>
                </c:pt>
                <c:pt idx="21">
                  <c:v>-0.01</c:v>
                </c:pt>
                <c:pt idx="22">
                  <c:v>0</c:v>
                </c:pt>
                <c:pt idx="23">
                  <c:v>0.01</c:v>
                </c:pt>
                <c:pt idx="24">
                  <c:v>20.100000000000001</c:v>
                </c:pt>
                <c:pt idx="25">
                  <c:v>21.56</c:v>
                </c:pt>
                <c:pt idx="26">
                  <c:v>6</c:v>
                </c:pt>
                <c:pt idx="27">
                  <c:v>8.5299999999999994</c:v>
                </c:pt>
                <c:pt idx="28">
                  <c:v>21.99</c:v>
                </c:pt>
                <c:pt idx="29">
                  <c:v>21.9</c:v>
                </c:pt>
              </c:numCache>
            </c:numRef>
          </c:val>
          <c:extLst>
            <c:ext xmlns:c16="http://schemas.microsoft.com/office/drawing/2014/chart" uri="{C3380CC4-5D6E-409C-BE32-E72D297353CC}">
              <c16:uniqueId val="{00000001-9F97-4626-80A4-AD849F207667}"/>
            </c:ext>
          </c:extLst>
        </c:ser>
        <c:ser>
          <c:idx val="2"/>
          <c:order val="2"/>
          <c:tx>
            <c:v>Precio máximo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Dat_01!$AN$8:$AN$38</c15:sqref>
                  </c15:fullRef>
                </c:ext>
              </c:extLst>
              <c:f>Dat_01!$AN$8:$AN$37</c:f>
              <c:numCache>
                <c:formatCode>#,##0.00</c:formatCode>
                <c:ptCount val="30"/>
                <c:pt idx="0">
                  <c:v>100.01</c:v>
                </c:pt>
                <c:pt idx="1">
                  <c:v>159.79</c:v>
                </c:pt>
                <c:pt idx="2">
                  <c:v>133.47</c:v>
                </c:pt>
                <c:pt idx="3">
                  <c:v>111.44</c:v>
                </c:pt>
                <c:pt idx="4">
                  <c:v>106.44999999999999</c:v>
                </c:pt>
                <c:pt idx="5">
                  <c:v>75.63</c:v>
                </c:pt>
                <c:pt idx="6">
                  <c:v>111.56</c:v>
                </c:pt>
                <c:pt idx="7">
                  <c:v>81.28</c:v>
                </c:pt>
                <c:pt idx="8">
                  <c:v>111.09</c:v>
                </c:pt>
                <c:pt idx="9">
                  <c:v>105.02000000000001</c:v>
                </c:pt>
                <c:pt idx="10">
                  <c:v>140.01</c:v>
                </c:pt>
                <c:pt idx="11">
                  <c:v>142.4</c:v>
                </c:pt>
                <c:pt idx="12">
                  <c:v>106.12</c:v>
                </c:pt>
                <c:pt idx="13">
                  <c:v>126.14</c:v>
                </c:pt>
                <c:pt idx="14">
                  <c:v>121.5</c:v>
                </c:pt>
                <c:pt idx="15">
                  <c:v>195.42999999999998</c:v>
                </c:pt>
                <c:pt idx="16">
                  <c:v>199.9</c:v>
                </c:pt>
                <c:pt idx="17">
                  <c:v>156</c:v>
                </c:pt>
                <c:pt idx="18">
                  <c:v>93.95</c:v>
                </c:pt>
                <c:pt idx="19">
                  <c:v>110.25999999999999</c:v>
                </c:pt>
                <c:pt idx="20">
                  <c:v>86.42</c:v>
                </c:pt>
                <c:pt idx="21">
                  <c:v>109.39</c:v>
                </c:pt>
                <c:pt idx="22">
                  <c:v>105.01</c:v>
                </c:pt>
                <c:pt idx="23">
                  <c:v>116.11</c:v>
                </c:pt>
                <c:pt idx="24">
                  <c:v>154.91</c:v>
                </c:pt>
                <c:pt idx="25">
                  <c:v>138.44</c:v>
                </c:pt>
                <c:pt idx="26">
                  <c:v>109.87</c:v>
                </c:pt>
                <c:pt idx="27">
                  <c:v>65.61</c:v>
                </c:pt>
                <c:pt idx="28">
                  <c:v>111.27</c:v>
                </c:pt>
                <c:pt idx="29">
                  <c:v>177.44</c:v>
                </c:pt>
              </c:numCache>
            </c:numRef>
          </c:val>
          <c:extLst>
            <c:ext xmlns:c16="http://schemas.microsoft.com/office/drawing/2014/chart" uri="{C3380CC4-5D6E-409C-BE32-E72D297353CC}">
              <c16:uniqueId val="{00000000-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26.059680906499999</c:v>
                </c:pt>
                <c:pt idx="1">
                  <c:v>51.0808665156</c:v>
                </c:pt>
                <c:pt idx="2">
                  <c:v>45.403800910699999</c:v>
                </c:pt>
                <c:pt idx="3">
                  <c:v>46.010227227999998</c:v>
                </c:pt>
                <c:pt idx="4">
                  <c:v>47.462442895899997</c:v>
                </c:pt>
                <c:pt idx="5">
                  <c:v>23.636262336600002</c:v>
                </c:pt>
                <c:pt idx="6">
                  <c:v>28.202616592999998</c:v>
                </c:pt>
                <c:pt idx="7">
                  <c:v>71.696148758899994</c:v>
                </c:pt>
                <c:pt idx="8">
                  <c:v>57.797838199899999</c:v>
                </c:pt>
                <c:pt idx="9">
                  <c:v>43.2858809827</c:v>
                </c:pt>
                <c:pt idx="10">
                  <c:v>45.664522650899997</c:v>
                </c:pt>
                <c:pt idx="11">
                  <c:v>62.699404664799999</c:v>
                </c:pt>
                <c:pt idx="12">
                  <c:v>51.009714510099997</c:v>
                </c:pt>
                <c:pt idx="13">
                  <c:v>41.634827523799999</c:v>
                </c:pt>
                <c:pt idx="14">
                  <c:v>56.272224687799998</c:v>
                </c:pt>
                <c:pt idx="15">
                  <c:v>64.180972776399997</c:v>
                </c:pt>
                <c:pt idx="16">
                  <c:v>78.707585805600004</c:v>
                </c:pt>
                <c:pt idx="17">
                  <c:v>92.328882184799994</c:v>
                </c:pt>
                <c:pt idx="18">
                  <c:v>83.946911005299995</c:v>
                </c:pt>
                <c:pt idx="19">
                  <c:v>55.505216195499997</c:v>
                </c:pt>
                <c:pt idx="20">
                  <c:v>34.145799580999999</c:v>
                </c:pt>
                <c:pt idx="21">
                  <c:v>30.340687049700001</c:v>
                </c:pt>
                <c:pt idx="22">
                  <c:v>43.527790036299997</c:v>
                </c:pt>
                <c:pt idx="23">
                  <c:v>41.738986912900003</c:v>
                </c:pt>
                <c:pt idx="24">
                  <c:v>74.747091148899997</c:v>
                </c:pt>
                <c:pt idx="25">
                  <c:v>87.251876880699996</c:v>
                </c:pt>
                <c:pt idx="26">
                  <c:v>64.440224005100006</c:v>
                </c:pt>
                <c:pt idx="27">
                  <c:v>45.986542595099998</c:v>
                </c:pt>
                <c:pt idx="28">
                  <c:v>57.479201463599999</c:v>
                </c:pt>
                <c:pt idx="29">
                  <c:v>77.189636417900005</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solidFill>
          <a:srgbClr val="F2F2F2"/>
        </a:solid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rgbClr val="F2F2F2"/>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Dat_01!$C$424</c:f>
              <c:strCache>
                <c:ptCount val="1"/>
                <c:pt idx="0">
                  <c:v>%h con p=&lt;0</c:v>
                </c:pt>
              </c:strCache>
            </c:strRef>
          </c:tx>
          <c:spPr>
            <a:solidFill>
              <a:srgbClr val="0090D1"/>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Dat_01!$C$425:$C$437</c:f>
              <c:numCache>
                <c:formatCode>#,##0.00</c:formatCode>
                <c:ptCount val="13"/>
                <c:pt idx="0">
                  <c:v>7.9166666666666661</c:v>
                </c:pt>
                <c:pt idx="1">
                  <c:v>2.0134228187919461</c:v>
                </c:pt>
                <c:pt idx="2">
                  <c:v>0</c:v>
                </c:pt>
                <c:pt idx="3">
                  <c:v>0</c:v>
                </c:pt>
                <c:pt idx="4">
                  <c:v>0.13440860215053765</c:v>
                </c:pt>
                <c:pt idx="5">
                  <c:v>0</c:v>
                </c:pt>
                <c:pt idx="6">
                  <c:v>9.690444145356663</c:v>
                </c:pt>
                <c:pt idx="7">
                  <c:v>24.861111111111111</c:v>
                </c:pt>
                <c:pt idx="8">
                  <c:v>36.155913978494624</c:v>
                </c:pt>
                <c:pt idx="9">
                  <c:v>11.944444444444445</c:v>
                </c:pt>
                <c:pt idx="10">
                  <c:v>4.032258064516129</c:v>
                </c:pt>
                <c:pt idx="11">
                  <c:v>7.661290322580645</c:v>
                </c:pt>
                <c:pt idx="12">
                  <c:v>9.1666666666666661</c:v>
                </c:pt>
              </c:numCache>
            </c:numRef>
          </c:val>
          <c:extLst>
            <c:ext xmlns:c16="http://schemas.microsoft.com/office/drawing/2014/chart" uri="{C3380CC4-5D6E-409C-BE32-E72D297353CC}">
              <c16:uniqueId val="{00000000-1098-4846-8912-87805C30CFB4}"/>
            </c:ext>
          </c:extLst>
        </c:ser>
        <c:ser>
          <c:idx val="1"/>
          <c:order val="1"/>
          <c:tx>
            <c:strRef>
              <c:f>Dat_01!$D$424</c:f>
              <c:strCache>
                <c:ptCount val="1"/>
                <c:pt idx="0">
                  <c:v>%h con 0&lt;p=&lt;50</c:v>
                </c:pt>
              </c:strCache>
            </c:strRef>
          </c:tx>
          <c:spPr>
            <a:solidFill>
              <a:srgbClr val="00B050"/>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Dat_01!$D$425:$D$437</c:f>
              <c:numCache>
                <c:formatCode>#,##0.00</c:formatCode>
                <c:ptCount val="13"/>
                <c:pt idx="0">
                  <c:v>20.833333333333336</c:v>
                </c:pt>
                <c:pt idx="1">
                  <c:v>25.906040268456376</c:v>
                </c:pt>
                <c:pt idx="2">
                  <c:v>10.138888888888889</c:v>
                </c:pt>
                <c:pt idx="3">
                  <c:v>11.155913978494624</c:v>
                </c:pt>
                <c:pt idx="4">
                  <c:v>22.58064516129032</c:v>
                </c:pt>
                <c:pt idx="5">
                  <c:v>9.2261904761904763</c:v>
                </c:pt>
                <c:pt idx="6">
                  <c:v>40.107671601615074</c:v>
                </c:pt>
                <c:pt idx="7">
                  <c:v>55.000000000000007</c:v>
                </c:pt>
                <c:pt idx="8">
                  <c:v>54.166666666666664</c:v>
                </c:pt>
                <c:pt idx="9">
                  <c:v>24.305555555555554</c:v>
                </c:pt>
                <c:pt idx="10">
                  <c:v>29.838709677419356</c:v>
                </c:pt>
                <c:pt idx="11">
                  <c:v>25.537634408602152</c:v>
                </c:pt>
                <c:pt idx="12">
                  <c:v>31.25</c:v>
                </c:pt>
              </c:numCache>
            </c:numRef>
          </c:val>
          <c:extLst>
            <c:ext xmlns:c16="http://schemas.microsoft.com/office/drawing/2014/chart" uri="{C3380CC4-5D6E-409C-BE32-E72D297353CC}">
              <c16:uniqueId val="{00000001-1098-4846-8912-87805C30CFB4}"/>
            </c:ext>
          </c:extLst>
        </c:ser>
        <c:ser>
          <c:idx val="2"/>
          <c:order val="2"/>
          <c:tx>
            <c:strRef>
              <c:f>Dat_01!$E$424</c:f>
              <c:strCache>
                <c:ptCount val="1"/>
                <c:pt idx="0">
                  <c:v>%h con 50&lt;p=&lt;100</c:v>
                </c:pt>
              </c:strCache>
            </c:strRef>
          </c:tx>
          <c:spPr>
            <a:solidFill>
              <a:srgbClr val="FF9900"/>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Dat_01!$E$425:$E$437</c:f>
              <c:numCache>
                <c:formatCode>#,##0.00</c:formatCode>
                <c:ptCount val="13"/>
                <c:pt idx="0">
                  <c:v>37.777777777777779</c:v>
                </c:pt>
                <c:pt idx="1">
                  <c:v>55.302013422818796</c:v>
                </c:pt>
                <c:pt idx="2">
                  <c:v>27.222222222222221</c:v>
                </c:pt>
                <c:pt idx="3">
                  <c:v>16.532258064516128</c:v>
                </c:pt>
                <c:pt idx="4">
                  <c:v>19.489247311827956</c:v>
                </c:pt>
                <c:pt idx="5">
                  <c:v>28.125</c:v>
                </c:pt>
                <c:pt idx="6">
                  <c:v>33.109017496635261</c:v>
                </c:pt>
                <c:pt idx="7">
                  <c:v>15.416666666666668</c:v>
                </c:pt>
                <c:pt idx="8">
                  <c:v>7.795698924731183</c:v>
                </c:pt>
                <c:pt idx="9">
                  <c:v>20.138888888888889</c:v>
                </c:pt>
                <c:pt idx="10">
                  <c:v>30.376344086021508</c:v>
                </c:pt>
                <c:pt idx="11">
                  <c:v>37.365591397849464</c:v>
                </c:pt>
                <c:pt idx="12">
                  <c:v>39.305555555555557</c:v>
                </c:pt>
              </c:numCache>
            </c:numRef>
          </c:val>
          <c:extLst>
            <c:ext xmlns:c16="http://schemas.microsoft.com/office/drawing/2014/chart" uri="{C3380CC4-5D6E-409C-BE32-E72D297353CC}">
              <c16:uniqueId val="{00000002-1098-4846-8912-87805C30CFB4}"/>
            </c:ext>
          </c:extLst>
        </c:ser>
        <c:ser>
          <c:idx val="4"/>
          <c:order val="3"/>
          <c:tx>
            <c:strRef>
              <c:f>Dat_01!$F$424</c:f>
              <c:strCache>
                <c:ptCount val="1"/>
                <c:pt idx="0">
                  <c:v>%h con 100&lt;p=&lt;150</c:v>
                </c:pt>
              </c:strCache>
            </c:strRef>
          </c:tx>
          <c:spPr>
            <a:solidFill>
              <a:srgbClr val="9999FF"/>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Dat_01!$F$425:$F$437</c:f>
              <c:numCache>
                <c:formatCode>#,##0.00</c:formatCode>
                <c:ptCount val="13"/>
                <c:pt idx="0">
                  <c:v>32.638888888888893</c:v>
                </c:pt>
                <c:pt idx="1">
                  <c:v>15.302013422818792</c:v>
                </c:pt>
                <c:pt idx="2">
                  <c:v>57.222222222222221</c:v>
                </c:pt>
                <c:pt idx="3">
                  <c:v>59.005376344086024</c:v>
                </c:pt>
                <c:pt idx="4">
                  <c:v>45.833333333333329</c:v>
                </c:pt>
                <c:pt idx="5">
                  <c:v>47.916666666666671</c:v>
                </c:pt>
                <c:pt idx="6">
                  <c:v>15.343203230148047</c:v>
                </c:pt>
                <c:pt idx="7">
                  <c:v>3.8888888888888888</c:v>
                </c:pt>
                <c:pt idx="8">
                  <c:v>1.881720430107527</c:v>
                </c:pt>
                <c:pt idx="9">
                  <c:v>40.972222222222221</c:v>
                </c:pt>
                <c:pt idx="10">
                  <c:v>34.543010752688176</c:v>
                </c:pt>
                <c:pt idx="11">
                  <c:v>28.62903225806452</c:v>
                </c:pt>
                <c:pt idx="12">
                  <c:v>18.888888888888889</c:v>
                </c:pt>
              </c:numCache>
            </c:numRef>
          </c:val>
          <c:extLst>
            <c:ext xmlns:c16="http://schemas.microsoft.com/office/drawing/2014/chart" uri="{C3380CC4-5D6E-409C-BE32-E72D297353CC}">
              <c16:uniqueId val="{00000003-1098-4846-8912-87805C30CFB4}"/>
            </c:ext>
          </c:extLst>
        </c:ser>
        <c:ser>
          <c:idx val="3"/>
          <c:order val="4"/>
          <c:tx>
            <c:strRef>
              <c:f>Dat_01!$G$424</c:f>
              <c:strCache>
                <c:ptCount val="1"/>
                <c:pt idx="0">
                  <c:v>%h con p&gt;150</c:v>
                </c:pt>
              </c:strCache>
            </c:strRef>
          </c:tx>
          <c:spPr>
            <a:solidFill>
              <a:srgbClr val="FF0000"/>
            </a:solidFill>
            <a:ln w="25400">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Dat_01!$G$425:$G$437</c:f>
              <c:numCache>
                <c:formatCode>#,##0.00</c:formatCode>
                <c:ptCount val="13"/>
                <c:pt idx="0">
                  <c:v>0.83333333333333337</c:v>
                </c:pt>
                <c:pt idx="1">
                  <c:v>1.476510067114094</c:v>
                </c:pt>
                <c:pt idx="2">
                  <c:v>5.416666666666667</c:v>
                </c:pt>
                <c:pt idx="3">
                  <c:v>13.306451612903224</c:v>
                </c:pt>
                <c:pt idx="4">
                  <c:v>11.96236559139785</c:v>
                </c:pt>
                <c:pt idx="5">
                  <c:v>14.732142857142858</c:v>
                </c:pt>
                <c:pt idx="6">
                  <c:v>1.7496635262449527</c:v>
                </c:pt>
                <c:pt idx="7">
                  <c:v>0.83333333333333337</c:v>
                </c:pt>
                <c:pt idx="8">
                  <c:v>0</c:v>
                </c:pt>
                <c:pt idx="9">
                  <c:v>2.6388888888888888</c:v>
                </c:pt>
                <c:pt idx="10">
                  <c:v>1.2096774193548387</c:v>
                </c:pt>
                <c:pt idx="11">
                  <c:v>0.80645161290322576</c:v>
                </c:pt>
                <c:pt idx="12">
                  <c:v>1.3888888888888888</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53339453519E-2"/>
          <c:y val="0.15240642593607068"/>
          <c:w val="0.87712252783722078"/>
          <c:h val="0.6880898676727909"/>
        </c:manualLayout>
      </c:layout>
      <c:barChart>
        <c:barDir val="col"/>
        <c:grouping val="stacked"/>
        <c:varyColors val="0"/>
        <c:ser>
          <c:idx val="0"/>
          <c:order val="0"/>
          <c:tx>
            <c:strRef>
              <c:f>Dat_01!$D$451</c:f>
              <c:strCache>
                <c:ptCount val="1"/>
                <c:pt idx="0">
                  <c:v>Mercados Diario e Intradiario </c:v>
                </c:pt>
              </c:strCache>
            </c:strRef>
          </c:tx>
          <c:spPr>
            <a:solidFill>
              <a:srgbClr val="00B0F0"/>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Dat_01!$D$453:$D$465</c:f>
              <c:numCache>
                <c:formatCode>0.00</c:formatCode>
                <c:ptCount val="13"/>
                <c:pt idx="0">
                  <c:v>72.78</c:v>
                </c:pt>
                <c:pt idx="1">
                  <c:v>70.050000000000011</c:v>
                </c:pt>
                <c:pt idx="2">
                  <c:v>106.63</c:v>
                </c:pt>
                <c:pt idx="3">
                  <c:v>113.89</c:v>
                </c:pt>
                <c:pt idx="4">
                  <c:v>100.2</c:v>
                </c:pt>
                <c:pt idx="5">
                  <c:v>110.62</c:v>
                </c:pt>
                <c:pt idx="6">
                  <c:v>55.46</c:v>
                </c:pt>
                <c:pt idx="7">
                  <c:v>27.65</c:v>
                </c:pt>
                <c:pt idx="8">
                  <c:v>17.37</c:v>
                </c:pt>
                <c:pt idx="9">
                  <c:v>72.34</c:v>
                </c:pt>
                <c:pt idx="10">
                  <c:v>70.323999999999998</c:v>
                </c:pt>
                <c:pt idx="11">
                  <c:v>68.599999999999994</c:v>
                </c:pt>
                <c:pt idx="12">
                  <c:v>61.32</c:v>
                </c:pt>
              </c:numCache>
            </c:numRef>
          </c:val>
          <c:extLst>
            <c:ext xmlns:c16="http://schemas.microsoft.com/office/drawing/2014/chart" uri="{C3380CC4-5D6E-409C-BE32-E72D297353CC}">
              <c16:uniqueId val="{00000000-84BE-4212-B443-BEBAB3D3ACF8}"/>
            </c:ext>
          </c:extLst>
        </c:ser>
        <c:ser>
          <c:idx val="1"/>
          <c:order val="1"/>
          <c:tx>
            <c:strRef>
              <c:f>Dat_01!$E$451</c:f>
              <c:strCache>
                <c:ptCount val="1"/>
                <c:pt idx="0">
                  <c:v>Servicios de ajuste</c:v>
                </c:pt>
              </c:strCache>
            </c:strRef>
          </c:tx>
          <c:spPr>
            <a:solidFill>
              <a:srgbClr val="FFC000"/>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Dat_01!$E$453:$E$465</c:f>
              <c:numCache>
                <c:formatCode>0.00</c:formatCode>
                <c:ptCount val="13"/>
                <c:pt idx="0">
                  <c:v>10.820000000000002</c:v>
                </c:pt>
                <c:pt idx="1">
                  <c:v>14.290000000000001</c:v>
                </c:pt>
                <c:pt idx="2">
                  <c:v>11.990000000000002</c:v>
                </c:pt>
                <c:pt idx="3">
                  <c:v>10.53</c:v>
                </c:pt>
                <c:pt idx="4">
                  <c:v>10.889999999999999</c:v>
                </c:pt>
                <c:pt idx="5">
                  <c:v>15.84</c:v>
                </c:pt>
                <c:pt idx="6">
                  <c:v>15.400000000000002</c:v>
                </c:pt>
                <c:pt idx="7">
                  <c:v>17.102</c:v>
                </c:pt>
                <c:pt idx="8">
                  <c:v>25.259999999999994</c:v>
                </c:pt>
                <c:pt idx="9">
                  <c:v>14.790000000000006</c:v>
                </c:pt>
                <c:pt idx="10">
                  <c:v>14.522</c:v>
                </c:pt>
                <c:pt idx="11">
                  <c:v>13.6</c:v>
                </c:pt>
                <c:pt idx="12">
                  <c:v>16.95</c:v>
                </c:pt>
              </c:numCache>
            </c:numRef>
          </c:val>
          <c:extLst>
            <c:ext xmlns:c16="http://schemas.microsoft.com/office/drawing/2014/chart" uri="{C3380CC4-5D6E-409C-BE32-E72D297353CC}">
              <c16:uniqueId val="{00000001-84BE-4212-B443-BEBAB3D3ACF8}"/>
            </c:ext>
          </c:extLst>
        </c:ser>
        <c:ser>
          <c:idx val="2"/>
          <c:order val="2"/>
          <c:tx>
            <c:strRef>
              <c:f>Dat_01!$F$451</c:f>
              <c:strCache>
                <c:ptCount val="1"/>
                <c:pt idx="0">
                  <c:v>Pagos por capacidad</c:v>
                </c:pt>
              </c:strCache>
            </c:strRef>
          </c:tx>
          <c:spPr>
            <a:solidFill>
              <a:srgbClr val="92D050"/>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Dat_01!$F$453:$F$465</c:f>
              <c:numCache>
                <c:formatCode>0.00</c:formatCode>
                <c:ptCount val="13"/>
                <c:pt idx="0">
                  <c:v>0.16</c:v>
                </c:pt>
                <c:pt idx="1">
                  <c:v>0.16</c:v>
                </c:pt>
                <c:pt idx="2">
                  <c:v>0.19</c:v>
                </c:pt>
                <c:pt idx="3">
                  <c:v>0.28000000000000003</c:v>
                </c:pt>
                <c:pt idx="4">
                  <c:v>0.27</c:v>
                </c:pt>
                <c:pt idx="5">
                  <c:v>0.27</c:v>
                </c:pt>
                <c:pt idx="6">
                  <c:v>0.18</c:v>
                </c:pt>
                <c:pt idx="7">
                  <c:v>0.14000000000000001</c:v>
                </c:pt>
                <c:pt idx="8">
                  <c:v>0.13</c:v>
                </c:pt>
                <c:pt idx="9">
                  <c:v>0.15</c:v>
                </c:pt>
                <c:pt idx="10">
                  <c:v>0.28000000000000003</c:v>
                </c:pt>
                <c:pt idx="11">
                  <c:v>0.14000000000000001</c:v>
                </c:pt>
                <c:pt idx="12">
                  <c:v>0.15</c:v>
                </c:pt>
              </c:numCache>
            </c:numRef>
          </c:val>
          <c:extLst>
            <c:ext xmlns:c16="http://schemas.microsoft.com/office/drawing/2014/chart" uri="{C3380CC4-5D6E-409C-BE32-E72D297353CC}">
              <c16:uniqueId val="{00000002-84BE-4212-B443-BEBAB3D3ACF8}"/>
            </c:ext>
          </c:extLst>
        </c:ser>
        <c:ser>
          <c:idx val="4"/>
          <c:order val="3"/>
          <c:tx>
            <c:strRef>
              <c:f>Dat_01!$G$451</c:f>
              <c:strCache>
                <c:ptCount val="1"/>
                <c:pt idx="0">
                  <c:v>Mecanismo ajuste RD-L 10/2022</c:v>
                </c:pt>
              </c:strCache>
              <c:extLst xmlns:c15="http://schemas.microsoft.com/office/drawing/2012/chart"/>
            </c:strRef>
          </c:tx>
          <c:spPr>
            <a:solidFill>
              <a:srgbClr val="9999FF"/>
            </a:solidFill>
            <a:ln>
              <a:noFill/>
            </a:ln>
          </c:spPr>
          <c:invertIfNegative val="0"/>
          <c:cat>
            <c:strRef>
              <c:f>Dat_01!$A$425:$A$437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Dat_01!$G$453:$G$465</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991588649843967"/>
                  <c:y val="-0.2247103668183365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5837942009217351"/>
                  <c:y val="-7.8699240434451229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61.32</c:v>
                </c:pt>
                <c:pt idx="1">
                  <c:v>0.15</c:v>
                </c:pt>
                <c:pt idx="2">
                  <c:v>0</c:v>
                </c:pt>
                <c:pt idx="3">
                  <c:v>16.95</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2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Dat_01!$B$82:$N$82</c:f>
              <c:numCache>
                <c:formatCode>#,##0.00</c:formatCode>
                <c:ptCount val="13"/>
                <c:pt idx="0">
                  <c:v>4.46</c:v>
                </c:pt>
                <c:pt idx="1">
                  <c:v>4.8499999999999996</c:v>
                </c:pt>
                <c:pt idx="2">
                  <c:v>4.97</c:v>
                </c:pt>
                <c:pt idx="3">
                  <c:v>4.0999999999999996</c:v>
                </c:pt>
                <c:pt idx="4">
                  <c:v>4.21</c:v>
                </c:pt>
                <c:pt idx="5">
                  <c:v>4.07</c:v>
                </c:pt>
                <c:pt idx="6">
                  <c:v>6.62</c:v>
                </c:pt>
                <c:pt idx="7">
                  <c:v>11.07</c:v>
                </c:pt>
                <c:pt idx="8">
                  <c:v>21.45</c:v>
                </c:pt>
                <c:pt idx="9">
                  <c:v>9.7100000000000009</c:v>
                </c:pt>
                <c:pt idx="10">
                  <c:v>8.4420000000000002</c:v>
                </c:pt>
                <c:pt idx="11">
                  <c:v>8.4600000000000009</c:v>
                </c:pt>
                <c:pt idx="12">
                  <c:v>10.210000000000001</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Dat_01!$B$83:$N$83</c:f>
              <c:numCache>
                <c:formatCode>#,##0.00</c:formatCode>
                <c:ptCount val="13"/>
                <c:pt idx="0">
                  <c:v>3.61</c:v>
                </c:pt>
                <c:pt idx="1">
                  <c:v>5.5</c:v>
                </c:pt>
                <c:pt idx="2">
                  <c:v>4.03</c:v>
                </c:pt>
                <c:pt idx="3">
                  <c:v>3.59</c:v>
                </c:pt>
                <c:pt idx="4">
                  <c:v>3.57</c:v>
                </c:pt>
                <c:pt idx="5">
                  <c:v>7.09</c:v>
                </c:pt>
                <c:pt idx="6">
                  <c:v>5.86</c:v>
                </c:pt>
                <c:pt idx="7">
                  <c:v>4.26</c:v>
                </c:pt>
                <c:pt idx="8">
                  <c:v>2.86</c:v>
                </c:pt>
                <c:pt idx="9">
                  <c:v>4.58</c:v>
                </c:pt>
                <c:pt idx="10">
                  <c:v>4.8600000000000003</c:v>
                </c:pt>
                <c:pt idx="11">
                  <c:v>3.16</c:v>
                </c:pt>
                <c:pt idx="12">
                  <c:v>4.5599999999999996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Dat_01!$B$84:$N$84</c:f>
              <c:numCache>
                <c:formatCode>#,##0.00</c:formatCode>
                <c:ptCount val="13"/>
                <c:pt idx="0">
                  <c:v>2.6799999999999997</c:v>
                </c:pt>
                <c:pt idx="1">
                  <c:v>3.6799999999999993</c:v>
                </c:pt>
                <c:pt idx="2">
                  <c:v>3.79</c:v>
                </c:pt>
                <c:pt idx="3">
                  <c:v>4.16</c:v>
                </c:pt>
                <c:pt idx="4">
                  <c:v>4.3</c:v>
                </c:pt>
                <c:pt idx="5">
                  <c:v>4.6400000000000006</c:v>
                </c:pt>
                <c:pt idx="6">
                  <c:v>3.6139999999999999</c:v>
                </c:pt>
                <c:pt idx="7">
                  <c:v>2.8119999999999998</c:v>
                </c:pt>
                <c:pt idx="8">
                  <c:v>2.4700000000000002</c:v>
                </c:pt>
                <c:pt idx="9">
                  <c:v>2.34</c:v>
                </c:pt>
                <c:pt idx="10">
                  <c:v>2.86</c:v>
                </c:pt>
                <c:pt idx="11">
                  <c:v>3.1999999999999997</c:v>
                </c:pt>
                <c:pt idx="12">
                  <c:v>3.5999999999999996</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Dat_01!$B$85:$N$85</c:f>
              <c:numCache>
                <c:formatCode>#,##0.00</c:formatCode>
                <c:ptCount val="13"/>
                <c:pt idx="0">
                  <c:v>-0.1</c:v>
                </c:pt>
                <c:pt idx="1">
                  <c:v>-0.12</c:v>
                </c:pt>
                <c:pt idx="2">
                  <c:v>-0.52</c:v>
                </c:pt>
                <c:pt idx="3">
                  <c:v>-0.99</c:v>
                </c:pt>
                <c:pt idx="4">
                  <c:v>-0.73</c:v>
                </c:pt>
                <c:pt idx="5">
                  <c:v>-0.8</c:v>
                </c:pt>
                <c:pt idx="6">
                  <c:v>-0.6</c:v>
                </c:pt>
                <c:pt idx="7">
                  <c:v>-0.41</c:v>
                </c:pt>
                <c:pt idx="8">
                  <c:v>-0.19</c:v>
                </c:pt>
                <c:pt idx="9">
                  <c:v>-0.49</c:v>
                </c:pt>
                <c:pt idx="10">
                  <c:v>-0.39</c:v>
                </c:pt>
                <c:pt idx="11">
                  <c:v>-0.41</c:v>
                </c:pt>
                <c:pt idx="12">
                  <c:v>-0.41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Dat_01!$B$86:$N$86</c:f>
              <c:numCache>
                <c:formatCode>#,##0.00</c:formatCode>
                <c:ptCount val="13"/>
                <c:pt idx="0">
                  <c:v>0.4</c:v>
                </c:pt>
                <c:pt idx="1">
                  <c:v>0.42</c:v>
                </c:pt>
                <c:pt idx="2">
                  <c:v>0.3</c:v>
                </c:pt>
                <c:pt idx="3">
                  <c:v>0.35</c:v>
                </c:pt>
                <c:pt idx="4">
                  <c:v>0.59</c:v>
                </c:pt>
                <c:pt idx="5">
                  <c:v>0.46</c:v>
                </c:pt>
                <c:pt idx="6">
                  <c:v>0.5</c:v>
                </c:pt>
                <c:pt idx="7">
                  <c:v>0.53</c:v>
                </c:pt>
                <c:pt idx="8">
                  <c:v>0.28999999999999998</c:v>
                </c:pt>
                <c:pt idx="9">
                  <c:v>0.39</c:v>
                </c:pt>
                <c:pt idx="10">
                  <c:v>0.51</c:v>
                </c:pt>
                <c:pt idx="11">
                  <c:v>0.23</c:v>
                </c:pt>
                <c:pt idx="12">
                  <c:v>0.45</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Dat_01!$B$87:$N$87</c:f>
              <c:numCache>
                <c:formatCode>#,##0.00</c:formatCode>
                <c:ptCount val="13"/>
                <c:pt idx="0">
                  <c:v>0.47</c:v>
                </c:pt>
                <c:pt idx="1">
                  <c:v>0.67</c:v>
                </c:pt>
                <c:pt idx="2">
                  <c:v>0.08</c:v>
                </c:pt>
                <c:pt idx="3">
                  <c:v>-0.08</c:v>
                </c:pt>
                <c:pt idx="4">
                  <c:v>0.1</c:v>
                </c:pt>
                <c:pt idx="5">
                  <c:v>1.58</c:v>
                </c:pt>
                <c:pt idx="6">
                  <c:v>0.59</c:v>
                </c:pt>
                <c:pt idx="7">
                  <c:v>0.1</c:v>
                </c:pt>
                <c:pt idx="8">
                  <c:v>-0.27</c:v>
                </c:pt>
                <c:pt idx="9">
                  <c:v>-0.6</c:v>
                </c:pt>
                <c:pt idx="10">
                  <c:v>-0.61</c:v>
                </c:pt>
                <c:pt idx="11">
                  <c:v>0.08</c:v>
                </c:pt>
                <c:pt idx="12">
                  <c:v>-0.16</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Dat_01!$B$88:$N$88</c:f>
              <c:numCache>
                <c:formatCode>#,##0.00</c:formatCode>
                <c:ptCount val="13"/>
                <c:pt idx="0">
                  <c:v>-0.12</c:v>
                </c:pt>
                <c:pt idx="1">
                  <c:v>-0.11</c:v>
                </c:pt>
                <c:pt idx="2">
                  <c:v>-0.12</c:v>
                </c:pt>
                <c:pt idx="3">
                  <c:v>-0.11</c:v>
                </c:pt>
                <c:pt idx="4">
                  <c:v>-0.12</c:v>
                </c:pt>
                <c:pt idx="5">
                  <c:v>-0.09</c:v>
                </c:pt>
                <c:pt idx="6">
                  <c:v>-0.1</c:v>
                </c:pt>
                <c:pt idx="7">
                  <c:v>-0.11</c:v>
                </c:pt>
                <c:pt idx="8">
                  <c:v>-0.11</c:v>
                </c:pt>
                <c:pt idx="9">
                  <c:v>-0.09</c:v>
                </c:pt>
                <c:pt idx="10">
                  <c:v>-0.1</c:v>
                </c:pt>
                <c:pt idx="11">
                  <c:v>-0.09</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-0.62</c:v>
                </c:pt>
                <c:pt idx="1">
                  <c:v>-0.66</c:v>
                </c:pt>
                <c:pt idx="2">
                  <c:v>-0.6</c:v>
                </c:pt>
                <c:pt idx="3">
                  <c:v>-0.51</c:v>
                </c:pt>
                <c:pt idx="4">
                  <c:v>-1.08</c:v>
                </c:pt>
                <c:pt idx="5">
                  <c:v>-1.1599999999999999</c:v>
                </c:pt>
                <c:pt idx="6">
                  <c:v>-1.1339999999999999</c:v>
                </c:pt>
                <c:pt idx="7">
                  <c:v>-1.19</c:v>
                </c:pt>
                <c:pt idx="8">
                  <c:v>-1.28</c:v>
                </c:pt>
                <c:pt idx="9">
                  <c:v>-1.0999999999999999</c:v>
                </c:pt>
                <c:pt idx="10">
                  <c:v>-1.0900000000000001</c:v>
                </c:pt>
                <c:pt idx="11">
                  <c:v>-1.06</c:v>
                </c:pt>
                <c:pt idx="12">
                  <c:v>-1.24</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S</c:v>
                </c:pt>
                <c:pt idx="1">
                  <c:v>O</c:v>
                </c:pt>
                <c:pt idx="2">
                  <c:v>N</c:v>
                </c:pt>
                <c:pt idx="3">
                  <c:v>D</c:v>
                </c:pt>
                <c:pt idx="4">
                  <c:v>E</c:v>
                </c:pt>
                <c:pt idx="5">
                  <c:v>F</c:v>
                </c:pt>
                <c:pt idx="6">
                  <c:v>M</c:v>
                </c:pt>
                <c:pt idx="7">
                  <c:v>A</c:v>
                </c:pt>
                <c:pt idx="9">
                  <c:v>J</c:v>
                </c:pt>
                <c:pt idx="10">
                  <c:v>J</c:v>
                </c:pt>
                <c:pt idx="11">
                  <c:v>A</c:v>
                </c:pt>
                <c:pt idx="12">
                  <c:v>S</c:v>
                </c:pt>
              </c:strCache>
            </c:strRef>
          </c:cat>
          <c:val>
            <c:numRef>
              <c:f>Dat_01!$B$90:$N$90</c:f>
              <c:numCache>
                <c:formatCode>0.00</c:formatCode>
                <c:ptCount val="13"/>
                <c:pt idx="0">
                  <c:v>0.04</c:v>
                </c:pt>
                <c:pt idx="1">
                  <c:v>0.06</c:v>
                </c:pt>
                <c:pt idx="2">
                  <c:v>0.06</c:v>
                </c:pt>
                <c:pt idx="3">
                  <c:v>0.02</c:v>
                </c:pt>
                <c:pt idx="4">
                  <c:v>0.05</c:v>
                </c:pt>
                <c:pt idx="5">
                  <c:v>0.05</c:v>
                </c:pt>
                <c:pt idx="6">
                  <c:v>0.05</c:v>
                </c:pt>
                <c:pt idx="7">
                  <c:v>0.04</c:v>
                </c:pt>
                <c:pt idx="8">
                  <c:v>0.04</c:v>
                </c:pt>
                <c:pt idx="9">
                  <c:v>0.05</c:v>
                </c:pt>
                <c:pt idx="10">
                  <c:v>0.04</c:v>
                </c:pt>
                <c:pt idx="11">
                  <c:v>0.03</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Septiembre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2238.5587</c:v>
                </c:pt>
                <c:pt idx="1">
                  <c:v>563.62296400000002</c:v>
                </c:pt>
                <c:pt idx="2">
                  <c:v>154.59344200000001</c:v>
                </c:pt>
                <c:pt idx="3">
                  <c:v>459.01722899999999</c:v>
                </c:pt>
                <c:pt idx="4">
                  <c:v>317.66250000000002</c:v>
                </c:pt>
                <c:pt idx="5">
                  <c:v>50.391452999999991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Septiembre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1074.2741000000001</c:v>
                </c:pt>
                <c:pt idx="1">
                  <c:v>509.91872599999999</c:v>
                </c:pt>
                <c:pt idx="2">
                  <c:v>337.61936500000002</c:v>
                </c:pt>
                <c:pt idx="3">
                  <c:v>390.18229100000002</c:v>
                </c:pt>
                <c:pt idx="4">
                  <c:v>337.86324999999999</c:v>
                </c:pt>
                <c:pt idx="5">
                  <c:v>75.526187999999991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0-AC2B-4301-850D-1716BD1319DB}"/>
              </c:ext>
            </c:extLst>
          </c:dPt>
          <c:val>
            <c:numRef>
              <c:f>Dat_01!$C$159:$O$159</c:f>
              <c:numCache>
                <c:formatCode>#,##0_);\(#,##0\)</c:formatCode>
                <c:ptCount val="13"/>
                <c:pt idx="0">
                  <c:v>1706.2</c:v>
                </c:pt>
                <c:pt idx="1">
                  <c:v>2400.8000000000002</c:v>
                </c:pt>
                <c:pt idx="2">
                  <c:v>0</c:v>
                </c:pt>
                <c:pt idx="3">
                  <c:v>15185.5</c:v>
                </c:pt>
                <c:pt idx="4">
                  <c:v>0</c:v>
                </c:pt>
                <c:pt idx="5">
                  <c:v>0</c:v>
                </c:pt>
                <c:pt idx="6">
                  <c:v>0</c:v>
                </c:pt>
                <c:pt idx="7">
                  <c:v>0</c:v>
                </c:pt>
                <c:pt idx="8">
                  <c:v>0</c:v>
                </c:pt>
                <c:pt idx="9">
                  <c:v>4</c:v>
                </c:pt>
                <c:pt idx="10">
                  <c:v>1003.5</c:v>
                </c:pt>
                <c:pt idx="11">
                  <c:v>50</c:v>
                </c:pt>
                <c:pt idx="12" formatCode="#,##0;\(#,##0\)">
                  <c:v>0</c:v>
                </c:pt>
              </c:numCache>
            </c:numRef>
          </c:val>
          <c:extLst>
            <c:ext xmlns:c16="http://schemas.microsoft.com/office/drawing/2014/chart" uri="{C3380CC4-5D6E-409C-BE32-E72D297353CC}">
              <c16:uniqueId val="{00000001-AC2B-4301-850D-1716BD1319DB}"/>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2-AC2B-4301-850D-1716BD1319DB}"/>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#,##0_);\(#,##0\)</c:formatCode>
                <c:ptCount val="13"/>
                <c:pt idx="0">
                  <c:v>0</c:v>
                </c:pt>
                <c:pt idx="1">
                  <c:v>308</c:v>
                </c:pt>
                <c:pt idx="2">
                  <c:v>0</c:v>
                </c:pt>
                <c:pt idx="3">
                  <c:v>0</c:v>
                </c:pt>
                <c:pt idx="4">
                  <c:v>0</c:v>
                </c:pt>
                <c:pt idx="5">
                  <c:v>0</c:v>
                </c:pt>
                <c:pt idx="6">
                  <c:v>190</c:v>
                </c:pt>
                <c:pt idx="7">
                  <c:v>0</c:v>
                </c:pt>
                <c:pt idx="8">
                  <c:v>0</c:v>
                </c:pt>
                <c:pt idx="9">
                  <c:v>0</c:v>
                </c:pt>
                <c:pt idx="10">
                  <c:v>0</c:v>
                </c:pt>
                <c:pt idx="11">
                  <c:v>0</c:v>
                </c:pt>
                <c:pt idx="12" formatCode="#,##0;\(#,##0\)">
                  <c:v>0</c:v>
                </c:pt>
              </c:numCache>
            </c:numRef>
          </c:val>
          <c:extLst>
            <c:ext xmlns:c16="http://schemas.microsoft.com/office/drawing/2014/chart" uri="{C3380CC4-5D6E-409C-BE32-E72D297353CC}">
              <c16:uniqueId val="{00000003-AC2B-4301-850D-1716BD1319DB}"/>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#,##0_);\(#,##0\)</c:formatCode>
                <c:ptCount val="13"/>
                <c:pt idx="0">
                  <c:v>13252.9</c:v>
                </c:pt>
                <c:pt idx="1">
                  <c:v>5966.6</c:v>
                </c:pt>
                <c:pt idx="2">
                  <c:v>583</c:v>
                </c:pt>
                <c:pt idx="3">
                  <c:v>837.6</c:v>
                </c:pt>
                <c:pt idx="4">
                  <c:v>3429</c:v>
                </c:pt>
                <c:pt idx="5">
                  <c:v>111.1</c:v>
                </c:pt>
                <c:pt idx="6">
                  <c:v>859.2</c:v>
                </c:pt>
                <c:pt idx="7">
                  <c:v>4456.8999999999996</c:v>
                </c:pt>
                <c:pt idx="8">
                  <c:v>4609.7</c:v>
                </c:pt>
                <c:pt idx="9">
                  <c:v>6809.1</c:v>
                </c:pt>
                <c:pt idx="10">
                  <c:v>32112.6</c:v>
                </c:pt>
                <c:pt idx="11">
                  <c:v>6711.8</c:v>
                </c:pt>
                <c:pt idx="12" formatCode="#,##0;\(#,##0\)">
                  <c:v>4636.2</c:v>
                </c:pt>
              </c:numCache>
            </c:numRef>
          </c:val>
          <c:extLst>
            <c:ext xmlns:c16="http://schemas.microsoft.com/office/drawing/2014/chart" uri="{C3380CC4-5D6E-409C-BE32-E72D297353CC}">
              <c16:uniqueId val="{00000004-AC2B-4301-850D-1716BD1319DB}"/>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#,##0_);\(#,##0\)</c:formatCode>
                <c:ptCount val="13"/>
                <c:pt idx="0">
                  <c:v>0</c:v>
                </c:pt>
                <c:pt idx="1">
                  <c:v>242.7</c:v>
                </c:pt>
                <c:pt idx="2">
                  <c:v>820.6</c:v>
                </c:pt>
                <c:pt idx="3">
                  <c:v>588.70000000000005</c:v>
                </c:pt>
                <c:pt idx="4">
                  <c:v>844.6</c:v>
                </c:pt>
                <c:pt idx="5">
                  <c:v>129.19999999999999</c:v>
                </c:pt>
                <c:pt idx="6">
                  <c:v>1191.4000000000001</c:v>
                </c:pt>
                <c:pt idx="7">
                  <c:v>512.9</c:v>
                </c:pt>
                <c:pt idx="8">
                  <c:v>3501.6</c:v>
                </c:pt>
                <c:pt idx="9">
                  <c:v>9288</c:v>
                </c:pt>
                <c:pt idx="10">
                  <c:v>12956.4</c:v>
                </c:pt>
                <c:pt idx="11">
                  <c:v>2597.3000000000002</c:v>
                </c:pt>
                <c:pt idx="12" formatCode="#,##0;\(#,##0\)">
                  <c:v>1616.4</c:v>
                </c:pt>
              </c:numCache>
            </c:numRef>
          </c:val>
          <c:extLst>
            <c:ext xmlns:c16="http://schemas.microsoft.com/office/drawing/2014/chart" uri="{C3380CC4-5D6E-409C-BE32-E72D297353CC}">
              <c16:uniqueId val="{00000005-AC2B-4301-850D-1716BD1319DB}"/>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#,##0_);\(#,##0\)</c:formatCode>
                <c:ptCount val="13"/>
                <c:pt idx="0">
                  <c:v>2369.3000000000002</c:v>
                </c:pt>
                <c:pt idx="1">
                  <c:v>2467.9</c:v>
                </c:pt>
                <c:pt idx="2">
                  <c:v>3355.5</c:v>
                </c:pt>
                <c:pt idx="3">
                  <c:v>2291.6999999999998</c:v>
                </c:pt>
                <c:pt idx="4">
                  <c:v>1202</c:v>
                </c:pt>
                <c:pt idx="5">
                  <c:v>143.30000000000001</c:v>
                </c:pt>
                <c:pt idx="6">
                  <c:v>655.7</c:v>
                </c:pt>
                <c:pt idx="7">
                  <c:v>2348.1</c:v>
                </c:pt>
                <c:pt idx="8">
                  <c:v>9496.2999999999993</c:v>
                </c:pt>
                <c:pt idx="9">
                  <c:v>8559.4</c:v>
                </c:pt>
                <c:pt idx="10">
                  <c:v>5351.7</c:v>
                </c:pt>
                <c:pt idx="11">
                  <c:v>5333.8</c:v>
                </c:pt>
                <c:pt idx="12" formatCode="#,##0;\(#,##0\)">
                  <c:v>590.20000000000005</c:v>
                </c:pt>
              </c:numCache>
            </c:numRef>
          </c:val>
          <c:extLst>
            <c:ext xmlns:c16="http://schemas.microsoft.com/office/drawing/2014/chart" uri="{C3380CC4-5D6E-409C-BE32-E72D297353CC}">
              <c16:uniqueId val="{00000006-AC2B-4301-850D-1716BD1319DB}"/>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#,##0_);\(#,##0\)</c:formatCode>
                <c:ptCount val="13"/>
                <c:pt idx="0">
                  <c:v>86223.9</c:v>
                </c:pt>
                <c:pt idx="1">
                  <c:v>68222.2</c:v>
                </c:pt>
                <c:pt idx="2">
                  <c:v>231610.6</c:v>
                </c:pt>
                <c:pt idx="3">
                  <c:v>118243.7</c:v>
                </c:pt>
                <c:pt idx="4">
                  <c:v>118105.1</c:v>
                </c:pt>
                <c:pt idx="5">
                  <c:v>19851.3</c:v>
                </c:pt>
                <c:pt idx="6">
                  <c:v>29282.9</c:v>
                </c:pt>
                <c:pt idx="7">
                  <c:v>23186.2</c:v>
                </c:pt>
                <c:pt idx="8">
                  <c:v>17699.400000000001</c:v>
                </c:pt>
                <c:pt idx="9">
                  <c:v>18495.599999999999</c:v>
                </c:pt>
                <c:pt idx="10">
                  <c:v>208879.1</c:v>
                </c:pt>
                <c:pt idx="11">
                  <c:v>56148.9</c:v>
                </c:pt>
                <c:pt idx="12" formatCode="#,##0;\(#,##0\)">
                  <c:v>56799.5</c:v>
                </c:pt>
              </c:numCache>
            </c:numRef>
          </c:val>
          <c:extLst>
            <c:ext xmlns:c16="http://schemas.microsoft.com/office/drawing/2014/chart" uri="{C3380CC4-5D6E-409C-BE32-E72D297353CC}">
              <c16:uniqueId val="{00000007-AC2B-4301-850D-1716BD1319DB}"/>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#,##0_);\(#,##0\)</c:formatCode>
                <c:ptCount val="13"/>
                <c:pt idx="0">
                  <c:v>0</c:v>
                </c:pt>
                <c:pt idx="1">
                  <c:v>0</c:v>
                </c:pt>
                <c:pt idx="2">
                  <c:v>0</c:v>
                </c:pt>
                <c:pt idx="3">
                  <c:v>0</c:v>
                </c:pt>
                <c:pt idx="4">
                  <c:v>0</c:v>
                </c:pt>
                <c:pt idx="5">
                  <c:v>0</c:v>
                </c:pt>
                <c:pt idx="6">
                  <c:v>0</c:v>
                </c:pt>
                <c:pt idx="7">
                  <c:v>0</c:v>
                </c:pt>
                <c:pt idx="8">
                  <c:v>0</c:v>
                </c:pt>
                <c:pt idx="9">
                  <c:v>0</c:v>
                </c:pt>
                <c:pt idx="10">
                  <c:v>6512</c:v>
                </c:pt>
                <c:pt idx="11">
                  <c:v>0</c:v>
                </c:pt>
                <c:pt idx="12" formatCode="#,##0;\(#,##0\)">
                  <c:v>0</c:v>
                </c:pt>
              </c:numCache>
            </c:numRef>
          </c:val>
          <c:extLst>
            <c:ext xmlns:c16="http://schemas.microsoft.com/office/drawing/2014/chart" uri="{C3380CC4-5D6E-409C-BE32-E72D297353CC}">
              <c16:uniqueId val="{00000008-AC2B-4301-850D-1716BD1319DB}"/>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#,##0_);\(#,##0\)</c:formatCode>
                <c:ptCount val="13"/>
                <c:pt idx="0">
                  <c:v>4253.3</c:v>
                </c:pt>
                <c:pt idx="1">
                  <c:v>1216.3</c:v>
                </c:pt>
                <c:pt idx="2">
                  <c:v>274.10000000000002</c:v>
                </c:pt>
                <c:pt idx="3">
                  <c:v>678.2</c:v>
                </c:pt>
                <c:pt idx="4">
                  <c:v>1474.8</c:v>
                </c:pt>
                <c:pt idx="5">
                  <c:v>12</c:v>
                </c:pt>
                <c:pt idx="6">
                  <c:v>485.5</c:v>
                </c:pt>
                <c:pt idx="7">
                  <c:v>2920.3</c:v>
                </c:pt>
                <c:pt idx="8">
                  <c:v>3843</c:v>
                </c:pt>
                <c:pt idx="9">
                  <c:v>7273.5</c:v>
                </c:pt>
                <c:pt idx="10">
                  <c:v>10545</c:v>
                </c:pt>
                <c:pt idx="11">
                  <c:v>7511.7</c:v>
                </c:pt>
                <c:pt idx="12" formatCode="#,##0;\(#,##0\)">
                  <c:v>5732.6</c:v>
                </c:pt>
              </c:numCache>
            </c:numRef>
          </c:val>
          <c:extLst>
            <c:ext xmlns:c16="http://schemas.microsoft.com/office/drawing/2014/chart" uri="{C3380CC4-5D6E-409C-BE32-E72D297353CC}">
              <c16:uniqueId val="{00000009-AC2B-4301-850D-1716BD1319DB}"/>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#,##0_);\(#,##0\)</c:formatCode>
                <c:ptCount val="13"/>
                <c:pt idx="0">
                  <c:v>0</c:v>
                </c:pt>
                <c:pt idx="1">
                  <c:v>0</c:v>
                </c:pt>
                <c:pt idx="2">
                  <c:v>0</c:v>
                </c:pt>
                <c:pt idx="3">
                  <c:v>0</c:v>
                </c:pt>
                <c:pt idx="4">
                  <c:v>0</c:v>
                </c:pt>
                <c:pt idx="5">
                  <c:v>0</c:v>
                </c:pt>
                <c:pt idx="6">
                  <c:v>0</c:v>
                </c:pt>
                <c:pt idx="7">
                  <c:v>0</c:v>
                </c:pt>
                <c:pt idx="8">
                  <c:v>0</c:v>
                </c:pt>
                <c:pt idx="9">
                  <c:v>0</c:v>
                </c:pt>
                <c:pt idx="10">
                  <c:v>3546</c:v>
                </c:pt>
                <c:pt idx="11">
                  <c:v>118</c:v>
                </c:pt>
                <c:pt idx="12" formatCode="#,##0;\(#,##0\)">
                  <c:v>0</c:v>
                </c:pt>
              </c:numCache>
            </c:numRef>
          </c:val>
          <c:extLst>
            <c:ext xmlns:c16="http://schemas.microsoft.com/office/drawing/2014/chart" uri="{C3380CC4-5D6E-409C-BE32-E72D297353CC}">
              <c16:uniqueId val="{0000000A-AC2B-4301-850D-1716BD1319DB}"/>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#,##0_);\(#,##0\)</c:formatCode>
                <c:ptCount val="13"/>
                <c:pt idx="0">
                  <c:v>19002.7</c:v>
                </c:pt>
                <c:pt idx="1">
                  <c:v>16033.9</c:v>
                </c:pt>
                <c:pt idx="2">
                  <c:v>28940.6</c:v>
                </c:pt>
                <c:pt idx="3">
                  <c:v>9850</c:v>
                </c:pt>
                <c:pt idx="4">
                  <c:v>23597.4</c:v>
                </c:pt>
                <c:pt idx="5">
                  <c:v>11181.5</c:v>
                </c:pt>
                <c:pt idx="6">
                  <c:v>28184.799999999999</c:v>
                </c:pt>
                <c:pt idx="7">
                  <c:v>17070.3</c:v>
                </c:pt>
                <c:pt idx="8">
                  <c:v>74426.899999999994</c:v>
                </c:pt>
                <c:pt idx="9">
                  <c:v>117687.5</c:v>
                </c:pt>
                <c:pt idx="10">
                  <c:v>774289.5</c:v>
                </c:pt>
                <c:pt idx="11">
                  <c:v>476231.7</c:v>
                </c:pt>
                <c:pt idx="12" formatCode="#,##0;\(#,##0\)">
                  <c:v>271516.40000000002</c:v>
                </c:pt>
              </c:numCache>
            </c:numRef>
          </c:val>
          <c:extLst>
            <c:ext xmlns:c16="http://schemas.microsoft.com/office/drawing/2014/chart" uri="{C3380CC4-5D6E-409C-BE32-E72D297353CC}">
              <c16:uniqueId val="{0000000B-AC2B-4301-850D-1716BD1319DB}"/>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#,##0_);\(#,##0\)</c:formatCode>
                <c:ptCount val="13"/>
                <c:pt idx="0">
                  <c:v>4378</c:v>
                </c:pt>
                <c:pt idx="1">
                  <c:v>4831.1000000000004</c:v>
                </c:pt>
                <c:pt idx="2">
                  <c:v>1321.5</c:v>
                </c:pt>
                <c:pt idx="3">
                  <c:v>3510.4</c:v>
                </c:pt>
                <c:pt idx="4">
                  <c:v>2970.4</c:v>
                </c:pt>
                <c:pt idx="5">
                  <c:v>6509.7</c:v>
                </c:pt>
                <c:pt idx="6">
                  <c:v>18812.8</c:v>
                </c:pt>
                <c:pt idx="7">
                  <c:v>4704.6000000000004</c:v>
                </c:pt>
                <c:pt idx="8">
                  <c:v>35576.1</c:v>
                </c:pt>
                <c:pt idx="9">
                  <c:v>41536</c:v>
                </c:pt>
                <c:pt idx="10">
                  <c:v>120438.3</c:v>
                </c:pt>
                <c:pt idx="11">
                  <c:v>162140.4</c:v>
                </c:pt>
                <c:pt idx="12" formatCode="#,##0;\(#,##0\)">
                  <c:v>141481</c:v>
                </c:pt>
              </c:numCache>
            </c:numRef>
          </c:val>
          <c:extLst>
            <c:ext xmlns:c16="http://schemas.microsoft.com/office/drawing/2014/chart" uri="{C3380CC4-5D6E-409C-BE32-E72D297353CC}">
              <c16:uniqueId val="{0000000C-AC2B-4301-850D-1716BD1319DB}"/>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#,##0_);\(#,##0\)</c:formatCode>
                <c:ptCount val="13"/>
                <c:pt idx="0">
                  <c:v>464</c:v>
                </c:pt>
                <c:pt idx="1">
                  <c:v>0</c:v>
                </c:pt>
                <c:pt idx="2">
                  <c:v>1125.2</c:v>
                </c:pt>
                <c:pt idx="3">
                  <c:v>346.9</c:v>
                </c:pt>
                <c:pt idx="4">
                  <c:v>0</c:v>
                </c:pt>
                <c:pt idx="5">
                  <c:v>0</c:v>
                </c:pt>
                <c:pt idx="6">
                  <c:v>0</c:v>
                </c:pt>
                <c:pt idx="7">
                  <c:v>0</c:v>
                </c:pt>
                <c:pt idx="8">
                  <c:v>0</c:v>
                </c:pt>
                <c:pt idx="9">
                  <c:v>0</c:v>
                </c:pt>
                <c:pt idx="10">
                  <c:v>809</c:v>
                </c:pt>
                <c:pt idx="11">
                  <c:v>2955</c:v>
                </c:pt>
                <c:pt idx="12" formatCode="#,##0;\(#,##0\)">
                  <c:v>300</c:v>
                </c:pt>
              </c:numCache>
              <c:extLst xmlns:c15="http://schemas.microsoft.com/office/drawing/2012/chart"/>
            </c:numRef>
          </c:val>
          <c:extLst xmlns:c15="http://schemas.microsoft.com/office/drawing/2012/chart">
            <c:ext xmlns:c16="http://schemas.microsoft.com/office/drawing/2014/chart" uri="{C3380CC4-5D6E-409C-BE32-E72D297353CC}">
              <c16:uniqueId val="{0000000D-AC2B-4301-850D-1716BD1319DB}"/>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Dat_01!$C$406:$O$406</c:f>
              <c:numCache>
                <c:formatCode>General</c:formatCode>
                <c:ptCount val="13"/>
              </c:numCache>
            </c:numRef>
          </c:val>
          <c:smooth val="0"/>
          <c:extLst>
            <c:ext xmlns:c16="http://schemas.microsoft.com/office/drawing/2014/chart" uri="{C3380CC4-5D6E-409C-BE32-E72D297353CC}">
              <c16:uniqueId val="{0000000E-AC2B-4301-850D-1716BD1319DB}"/>
            </c:ext>
          </c:extLst>
        </c:ser>
        <c:ser>
          <c:idx val="9"/>
          <c:order val="14"/>
          <c:tx>
            <c:v>Precio medio bajar</c:v>
          </c:tx>
          <c:spPr>
            <a:ln>
              <a:solidFill>
                <a:srgbClr val="404040"/>
              </a:solidFill>
            </a:ln>
          </c:spPr>
          <c:marker>
            <c:symbol val="none"/>
          </c:marker>
          <c:val>
            <c:numRef>
              <c:f>Dat_01!$C$404:$O$404</c:f>
              <c:numCache>
                <c:formatCode>#,##0.00</c:formatCode>
                <c:ptCount val="13"/>
                <c:pt idx="0">
                  <c:v>67.661076487499997</c:v>
                </c:pt>
                <c:pt idx="1">
                  <c:v>62.673256377999998</c:v>
                </c:pt>
                <c:pt idx="2">
                  <c:v>92.2735799222</c:v>
                </c:pt>
                <c:pt idx="3">
                  <c:v>93.843193179599993</c:v>
                </c:pt>
                <c:pt idx="4">
                  <c:v>83.688895800300003</c:v>
                </c:pt>
                <c:pt idx="5">
                  <c:v>97.485909316600001</c:v>
                </c:pt>
                <c:pt idx="6">
                  <c:v>34.8353287288</c:v>
                </c:pt>
                <c:pt idx="7">
                  <c:v>15.9430382588</c:v>
                </c:pt>
                <c:pt idx="8">
                  <c:v>4.9076739190999996</c:v>
                </c:pt>
                <c:pt idx="9">
                  <c:v>59.687552022399998</c:v>
                </c:pt>
                <c:pt idx="10">
                  <c:v>56.254842437100002</c:v>
                </c:pt>
                <c:pt idx="11">
                  <c:v>61.4824930184</c:v>
                </c:pt>
                <c:pt idx="12">
                  <c:v>54.1608380053</c:v>
                </c:pt>
              </c:numCache>
            </c:numRef>
          </c:val>
          <c:smooth val="0"/>
          <c:extLst>
            <c:ext xmlns:c16="http://schemas.microsoft.com/office/drawing/2014/chart" uri="{C3380CC4-5D6E-409C-BE32-E72D297353CC}">
              <c16:uniqueId val="{0000000F-AC2B-4301-850D-1716BD1319DB}"/>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4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0"/>
          <c:y val="0.81043376770216768"/>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Dat_01!$C$137:$O$137</c:f>
              <c:numCache>
                <c:formatCode>#,##0_);\(#,##0\)</c:formatCode>
                <c:ptCount val="13"/>
                <c:pt idx="0">
                  <c:v>252325.6</c:v>
                </c:pt>
                <c:pt idx="1">
                  <c:v>216291.20000000001</c:v>
                </c:pt>
                <c:pt idx="2">
                  <c:v>128228.3</c:v>
                </c:pt>
                <c:pt idx="3">
                  <c:v>113359.5</c:v>
                </c:pt>
                <c:pt idx="4">
                  <c:v>136200</c:v>
                </c:pt>
                <c:pt idx="5">
                  <c:v>176818</c:v>
                </c:pt>
                <c:pt idx="6">
                  <c:v>161347</c:v>
                </c:pt>
                <c:pt idx="7">
                  <c:v>128080</c:v>
                </c:pt>
                <c:pt idx="8">
                  <c:v>122215</c:v>
                </c:pt>
                <c:pt idx="9">
                  <c:v>110098</c:v>
                </c:pt>
                <c:pt idx="10">
                  <c:v>71343</c:v>
                </c:pt>
                <c:pt idx="11">
                  <c:v>0</c:v>
                </c:pt>
                <c:pt idx="12" formatCode="#,##0;\(#,##0\)">
                  <c:v>0</c:v>
                </c:pt>
              </c:numCache>
            </c:numRef>
          </c:val>
          <c:extLst>
            <c:ext xmlns:c16="http://schemas.microsoft.com/office/drawing/2014/chart" uri="{C3380CC4-5D6E-409C-BE32-E72D297353CC}">
              <c16:uniqueId val="{00000000-19C6-4F22-91C5-9726F5E4B6D7}"/>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Dat_01!$C$139:$O$139</c:f>
              <c:numCache>
                <c:formatCode>#,##0_);\(#,##0\)</c:formatCode>
                <c:ptCount val="13"/>
                <c:pt idx="0">
                  <c:v>690114.2</c:v>
                </c:pt>
                <c:pt idx="1">
                  <c:v>768114.9</c:v>
                </c:pt>
                <c:pt idx="2">
                  <c:v>887929.3</c:v>
                </c:pt>
                <c:pt idx="3">
                  <c:v>742981.5</c:v>
                </c:pt>
                <c:pt idx="4">
                  <c:v>683064</c:v>
                </c:pt>
                <c:pt idx="5">
                  <c:v>653295.19999999995</c:v>
                </c:pt>
                <c:pt idx="6">
                  <c:v>793527.4</c:v>
                </c:pt>
                <c:pt idx="7">
                  <c:v>1154419.5</c:v>
                </c:pt>
                <c:pt idx="8">
                  <c:v>2188300.1</c:v>
                </c:pt>
                <c:pt idx="9">
                  <c:v>1759263.5</c:v>
                </c:pt>
                <c:pt idx="10">
                  <c:v>1466909.1</c:v>
                </c:pt>
                <c:pt idx="11">
                  <c:v>1579291.4</c:v>
                </c:pt>
                <c:pt idx="12">
                  <c:v>1564029</c:v>
                </c:pt>
              </c:numCache>
            </c:numRef>
          </c:val>
          <c:extLst>
            <c:ext xmlns:c16="http://schemas.microsoft.com/office/drawing/2014/chart" uri="{C3380CC4-5D6E-409C-BE32-E72D297353CC}">
              <c16:uniqueId val="{00000001-19C6-4F22-91C5-9726F5E4B6D7}"/>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Dat_01!$C$143:$O$143</c:f>
              <c:numCache>
                <c:formatCode>#,##0_);\(#,##0\)</c:formatCode>
                <c:ptCount val="13"/>
                <c:pt idx="0">
                  <c:v>0</c:v>
                </c:pt>
                <c:pt idx="1">
                  <c:v>3132.9</c:v>
                </c:pt>
                <c:pt idx="2">
                  <c:v>987.5</c:v>
                </c:pt>
                <c:pt idx="3">
                  <c:v>0</c:v>
                </c:pt>
                <c:pt idx="4">
                  <c:v>0</c:v>
                </c:pt>
                <c:pt idx="5">
                  <c:v>0</c:v>
                </c:pt>
                <c:pt idx="6">
                  <c:v>18750.8</c:v>
                </c:pt>
                <c:pt idx="7">
                  <c:v>10370.9</c:v>
                </c:pt>
                <c:pt idx="8">
                  <c:v>17487.5</c:v>
                </c:pt>
                <c:pt idx="9">
                  <c:v>20621.599999999999</c:v>
                </c:pt>
                <c:pt idx="10">
                  <c:v>1904.1</c:v>
                </c:pt>
                <c:pt idx="11">
                  <c:v>0</c:v>
                </c:pt>
                <c:pt idx="12">
                  <c:v>3926.6</c:v>
                </c:pt>
              </c:numCache>
            </c:numRef>
          </c:val>
          <c:extLst>
            <c:ext xmlns:c16="http://schemas.microsoft.com/office/drawing/2014/chart" uri="{C3380CC4-5D6E-409C-BE32-E72D297353CC}">
              <c16:uniqueId val="{00000002-19C6-4F22-91C5-9726F5E4B6D7}"/>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Dat_01!$C$146:$O$146</c:f>
              <c:numCache>
                <c:formatCode>#,##0_);\(#,##0\)</c:formatCode>
                <c:ptCount val="13"/>
                <c:pt idx="0">
                  <c:v>184</c:v>
                </c:pt>
                <c:pt idx="1">
                  <c:v>230</c:v>
                </c:pt>
                <c:pt idx="2">
                  <c:v>6140.4</c:v>
                </c:pt>
                <c:pt idx="3">
                  <c:v>918</c:v>
                </c:pt>
                <c:pt idx="4">
                  <c:v>0</c:v>
                </c:pt>
                <c:pt idx="5">
                  <c:v>189</c:v>
                </c:pt>
                <c:pt idx="6">
                  <c:v>146</c:v>
                </c:pt>
                <c:pt idx="7">
                  <c:v>1600</c:v>
                </c:pt>
                <c:pt idx="8">
                  <c:v>1600</c:v>
                </c:pt>
                <c:pt idx="9">
                  <c:v>936</c:v>
                </c:pt>
                <c:pt idx="10">
                  <c:v>2587.5</c:v>
                </c:pt>
                <c:pt idx="11">
                  <c:v>6601</c:v>
                </c:pt>
                <c:pt idx="12">
                  <c:v>184</c:v>
                </c:pt>
              </c:numCache>
            </c:numRef>
          </c:val>
          <c:extLst>
            <c:ext xmlns:c16="http://schemas.microsoft.com/office/drawing/2014/chart" uri="{C3380CC4-5D6E-409C-BE32-E72D297353CC}">
              <c16:uniqueId val="{00000003-19C6-4F22-91C5-9726F5E4B6D7}"/>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9C6-4F22-91C5-9726F5E4B6D7}"/>
              </c:ext>
            </c:extLst>
          </c:dPt>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Dat_01!$C$140:$O$140</c:f>
              <c:numCache>
                <c:formatCode>#,##0_);\(#,##0\)</c:formatCode>
                <c:ptCount val="13"/>
                <c:pt idx="0">
                  <c:v>0</c:v>
                </c:pt>
                <c:pt idx="1">
                  <c:v>0</c:v>
                </c:pt>
                <c:pt idx="2">
                  <c:v>0</c:v>
                </c:pt>
                <c:pt idx="3">
                  <c:v>0</c:v>
                </c:pt>
                <c:pt idx="4">
                  <c:v>0</c:v>
                </c:pt>
                <c:pt idx="5">
                  <c:v>0</c:v>
                </c:pt>
                <c:pt idx="6">
                  <c:v>31.6</c:v>
                </c:pt>
                <c:pt idx="7">
                  <c:v>1.3</c:v>
                </c:pt>
                <c:pt idx="8">
                  <c:v>0</c:v>
                </c:pt>
                <c:pt idx="9">
                  <c:v>0</c:v>
                </c:pt>
                <c:pt idx="10">
                  <c:v>0</c:v>
                </c:pt>
                <c:pt idx="11">
                  <c:v>0</c:v>
                </c:pt>
                <c:pt idx="12">
                  <c:v>0</c:v>
                </c:pt>
              </c:numCache>
            </c:numRef>
          </c:val>
          <c:extLst>
            <c:ext xmlns:c16="http://schemas.microsoft.com/office/drawing/2014/chart" uri="{C3380CC4-5D6E-409C-BE32-E72D297353CC}">
              <c16:uniqueId val="{00000005-19C6-4F22-91C5-9726F5E4B6D7}"/>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Dat_01!$C$134:$O$134</c:f>
              <c:numCache>
                <c:formatCode>#,##0_);\(#,##0\)</c:formatCode>
                <c:ptCount val="13"/>
                <c:pt idx="0">
                  <c:v>0</c:v>
                </c:pt>
                <c:pt idx="1">
                  <c:v>0</c:v>
                </c:pt>
                <c:pt idx="2">
                  <c:v>0</c:v>
                </c:pt>
                <c:pt idx="3">
                  <c:v>0</c:v>
                </c:pt>
                <c:pt idx="4">
                  <c:v>58.4</c:v>
                </c:pt>
                <c:pt idx="5">
                  <c:v>0</c:v>
                </c:pt>
                <c:pt idx="6">
                  <c:v>0</c:v>
                </c:pt>
                <c:pt idx="7">
                  <c:v>20382.3</c:v>
                </c:pt>
                <c:pt idx="8">
                  <c:v>0</c:v>
                </c:pt>
                <c:pt idx="9">
                  <c:v>150</c:v>
                </c:pt>
                <c:pt idx="10">
                  <c:v>3396</c:v>
                </c:pt>
                <c:pt idx="11">
                  <c:v>6200</c:v>
                </c:pt>
                <c:pt idx="12" formatCode="#,##0;\(#,##0\)">
                  <c:v>0</c:v>
                </c:pt>
              </c:numCache>
            </c:numRef>
          </c:val>
          <c:extLst>
            <c:ext xmlns:c16="http://schemas.microsoft.com/office/drawing/2014/chart" uri="{C3380CC4-5D6E-409C-BE32-E72D297353CC}">
              <c16:uniqueId val="{00000006-19C6-4F22-91C5-9726F5E4B6D7}"/>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Dat_01!$C$144:$O$144</c:f>
              <c:numCache>
                <c:formatCode>#,##0_);\(#,##0\)</c:formatCode>
                <c:ptCount val="13"/>
                <c:pt idx="0">
                  <c:v>0</c:v>
                </c:pt>
                <c:pt idx="1">
                  <c:v>767.5</c:v>
                </c:pt>
                <c:pt idx="2">
                  <c:v>0</c:v>
                </c:pt>
                <c:pt idx="3">
                  <c:v>0</c:v>
                </c:pt>
                <c:pt idx="4">
                  <c:v>0</c:v>
                </c:pt>
                <c:pt idx="5">
                  <c:v>0</c:v>
                </c:pt>
                <c:pt idx="6">
                  <c:v>1176.5999999999999</c:v>
                </c:pt>
                <c:pt idx="7">
                  <c:v>2988</c:v>
                </c:pt>
                <c:pt idx="8">
                  <c:v>3603.7</c:v>
                </c:pt>
                <c:pt idx="9">
                  <c:v>1579.6</c:v>
                </c:pt>
                <c:pt idx="10">
                  <c:v>198.7</c:v>
                </c:pt>
                <c:pt idx="11">
                  <c:v>0</c:v>
                </c:pt>
                <c:pt idx="12">
                  <c:v>0</c:v>
                </c:pt>
              </c:numCache>
            </c:numRef>
          </c:val>
          <c:extLst>
            <c:ext xmlns:c16="http://schemas.microsoft.com/office/drawing/2014/chart" uri="{C3380CC4-5D6E-409C-BE32-E72D297353CC}">
              <c16:uniqueId val="{00000007-19C6-4F22-91C5-9726F5E4B6D7}"/>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Dat_01!$C$141:$O$141</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9C6-4F22-91C5-9726F5E4B6D7}"/>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Dat_01!$C$142:$O$142</c:f>
              <c:numCache>
                <c:formatCode>#,##0_);\(#,##0\)</c:formatCode>
                <c:ptCount val="13"/>
                <c:pt idx="0">
                  <c:v>0</c:v>
                </c:pt>
                <c:pt idx="1">
                  <c:v>0</c:v>
                </c:pt>
                <c:pt idx="2">
                  <c:v>0</c:v>
                </c:pt>
                <c:pt idx="3">
                  <c:v>0</c:v>
                </c:pt>
                <c:pt idx="4">
                  <c:v>0</c:v>
                </c:pt>
                <c:pt idx="5">
                  <c:v>0</c:v>
                </c:pt>
                <c:pt idx="6">
                  <c:v>0</c:v>
                </c:pt>
                <c:pt idx="7">
                  <c:v>0</c:v>
                </c:pt>
                <c:pt idx="8">
                  <c:v>0</c:v>
                </c:pt>
                <c:pt idx="9">
                  <c:v>0</c:v>
                </c:pt>
                <c:pt idx="10">
                  <c:v>229.2</c:v>
                </c:pt>
                <c:pt idx="11">
                  <c:v>0</c:v>
                </c:pt>
                <c:pt idx="12">
                  <c:v>0</c:v>
                </c:pt>
              </c:numCache>
            </c:numRef>
          </c:val>
          <c:extLst>
            <c:ext xmlns:c16="http://schemas.microsoft.com/office/drawing/2014/chart" uri="{C3380CC4-5D6E-409C-BE32-E72D297353CC}">
              <c16:uniqueId val="{00000009-19C6-4F22-91C5-9726F5E4B6D7}"/>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Dat_01!$C$135:$O$135</c:f>
              <c:numCache>
                <c:formatCode>#,##0_);\(#,##0\)</c:formatCode>
                <c:ptCount val="13"/>
                <c:pt idx="0">
                  <c:v>0</c:v>
                </c:pt>
                <c:pt idx="1">
                  <c:v>0</c:v>
                </c:pt>
                <c:pt idx="2">
                  <c:v>0</c:v>
                </c:pt>
                <c:pt idx="3">
                  <c:v>0</c:v>
                </c:pt>
                <c:pt idx="4">
                  <c:v>0</c:v>
                </c:pt>
                <c:pt idx="5">
                  <c:v>0</c:v>
                </c:pt>
                <c:pt idx="6">
                  <c:v>0</c:v>
                </c:pt>
                <c:pt idx="7">
                  <c:v>0</c:v>
                </c:pt>
                <c:pt idx="8">
                  <c:v>0</c:v>
                </c:pt>
                <c:pt idx="9">
                  <c:v>60.7</c:v>
                </c:pt>
                <c:pt idx="10">
                  <c:v>700</c:v>
                </c:pt>
                <c:pt idx="11">
                  <c:v>0</c:v>
                </c:pt>
                <c:pt idx="12" formatCode="#,##0;\(#,##0\)">
                  <c:v>0</c:v>
                </c:pt>
              </c:numCache>
            </c:numRef>
          </c:val>
          <c:extLst>
            <c:ext xmlns:c16="http://schemas.microsoft.com/office/drawing/2014/chart" uri="{C3380CC4-5D6E-409C-BE32-E72D297353CC}">
              <c16:uniqueId val="{0000000A-19C6-4F22-91C5-9726F5E4B6D7}"/>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Dat_01!$C$136:$O$136</c:f>
              <c:numCache>
                <c:formatCode>#,##0_);\(#,##0\)</c:formatCode>
                <c:ptCount val="13"/>
                <c:pt idx="0">
                  <c:v>0</c:v>
                </c:pt>
                <c:pt idx="1">
                  <c:v>0</c:v>
                </c:pt>
                <c:pt idx="2">
                  <c:v>13528</c:v>
                </c:pt>
                <c:pt idx="3">
                  <c:v>0</c:v>
                </c:pt>
                <c:pt idx="4">
                  <c:v>1486.2</c:v>
                </c:pt>
                <c:pt idx="5">
                  <c:v>0</c:v>
                </c:pt>
                <c:pt idx="6">
                  <c:v>260114.1</c:v>
                </c:pt>
                <c:pt idx="7">
                  <c:v>267559.5</c:v>
                </c:pt>
                <c:pt idx="8">
                  <c:v>363944.9</c:v>
                </c:pt>
                <c:pt idx="9">
                  <c:v>25407.8</c:v>
                </c:pt>
                <c:pt idx="10">
                  <c:v>19303.400000000001</c:v>
                </c:pt>
                <c:pt idx="11">
                  <c:v>3428.3</c:v>
                </c:pt>
                <c:pt idx="12" formatCode="#,##0;\(#,##0\)">
                  <c:v>35476.800000000003</c:v>
                </c:pt>
              </c:numCache>
            </c:numRef>
          </c:val>
          <c:extLst>
            <c:ext xmlns:c16="http://schemas.microsoft.com/office/drawing/2014/chart" uri="{C3380CC4-5D6E-409C-BE32-E72D297353CC}">
              <c16:uniqueId val="{0000000B-19C6-4F22-91C5-9726F5E4B6D7}"/>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Dat_01!$C$402:$O$402</c:f>
              <c:numCache>
                <c:formatCode>#,##0.00</c:formatCode>
                <c:ptCount val="13"/>
                <c:pt idx="0">
                  <c:v>155.87385113639999</c:v>
                </c:pt>
                <c:pt idx="1">
                  <c:v>156.48894517759999</c:v>
                </c:pt>
                <c:pt idx="2">
                  <c:v>180.21856425760001</c:v>
                </c:pt>
                <c:pt idx="3">
                  <c:v>189.98390589690001</c:v>
                </c:pt>
                <c:pt idx="4">
                  <c:v>194.01727648470001</c:v>
                </c:pt>
                <c:pt idx="5">
                  <c:v>191.6424222304</c:v>
                </c:pt>
                <c:pt idx="6">
                  <c:v>147.7308546305</c:v>
                </c:pt>
                <c:pt idx="7">
                  <c:v>143.89626229070001</c:v>
                </c:pt>
                <c:pt idx="8">
                  <c:v>155.04070517069999</c:v>
                </c:pt>
                <c:pt idx="9">
                  <c:v>165.61002641549999</c:v>
                </c:pt>
                <c:pt idx="10">
                  <c:v>150.28757834149999</c:v>
                </c:pt>
                <c:pt idx="11">
                  <c:v>157.3914054217</c:v>
                </c:pt>
                <c:pt idx="12">
                  <c:v>166.4099407866</c:v>
                </c:pt>
              </c:numCache>
            </c:numRef>
          </c:val>
          <c:smooth val="0"/>
          <c:extLst>
            <c:ext xmlns:c16="http://schemas.microsoft.com/office/drawing/2014/chart" uri="{C3380CC4-5D6E-409C-BE32-E72D297353CC}">
              <c16:uniqueId val="{0000000C-19C6-4F22-91C5-9726F5E4B6D7}"/>
            </c:ext>
          </c:extLst>
        </c:ser>
        <c:ser>
          <c:idx val="9"/>
          <c:order val="12"/>
          <c:tx>
            <c:v>Precio medio bajar</c:v>
          </c:tx>
          <c:spPr>
            <a:ln>
              <a:solidFill>
                <a:srgbClr val="404040"/>
              </a:solidFill>
            </a:ln>
          </c:spPr>
          <c:marker>
            <c:symbol val="none"/>
          </c:marker>
          <c:val>
            <c:numRef>
              <c:f>Dat_01!$C$406:$O$406</c:f>
              <c:numCache>
                <c:formatCode>General</c:formatCode>
                <c:ptCount val="13"/>
              </c:numCache>
            </c:numRef>
          </c:val>
          <c:smooth val="0"/>
          <c:extLst>
            <c:ext xmlns:c16="http://schemas.microsoft.com/office/drawing/2014/chart" uri="{C3380CC4-5D6E-409C-BE32-E72D297353CC}">
              <c16:uniqueId val="{0000000D-19C6-4F22-91C5-9726F5E4B6D7}"/>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4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1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Dat_01!$B$183:$N$183</c:f>
              <c:numCache>
                <c:formatCode>#,##0</c:formatCode>
                <c:ptCount val="13"/>
                <c:pt idx="0">
                  <c:v>904.94791666667504</c:v>
                </c:pt>
                <c:pt idx="1">
                  <c:v>1016.8244966443</c:v>
                </c:pt>
                <c:pt idx="2">
                  <c:v>1105.60625</c:v>
                </c:pt>
                <c:pt idx="3">
                  <c:v>1182.3212365591501</c:v>
                </c:pt>
                <c:pt idx="4">
                  <c:v>1150.9126344086001</c:v>
                </c:pt>
                <c:pt idx="5">
                  <c:v>1147.5163690476249</c:v>
                </c:pt>
                <c:pt idx="6">
                  <c:v>1173.7688425302749</c:v>
                </c:pt>
                <c:pt idx="7">
                  <c:v>1181.7873427673001</c:v>
                </c:pt>
                <c:pt idx="8">
                  <c:v>1193.7315188171999</c:v>
                </c:pt>
                <c:pt idx="9">
                  <c:v>1196.727083333325</c:v>
                </c:pt>
                <c:pt idx="10">
                  <c:v>1194.8914650537749</c:v>
                </c:pt>
                <c:pt idx="11">
                  <c:v>1193.3899305555501</c:v>
                </c:pt>
                <c:pt idx="12">
                  <c:v>1186.784375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Dat_01!$C$412:$O$412</c:f>
              <c:numCache>
                <c:formatCode>#,##0.00</c:formatCode>
                <c:ptCount val="13"/>
                <c:pt idx="0">
                  <c:v>32.211216648799997</c:v>
                </c:pt>
                <c:pt idx="1">
                  <c:v>40.765020854699998</c:v>
                </c:pt>
                <c:pt idx="2">
                  <c:v>38.264322053299999</c:v>
                </c:pt>
                <c:pt idx="3">
                  <c:v>57.2527025045</c:v>
                </c:pt>
                <c:pt idx="4">
                  <c:v>51.890255956300003</c:v>
                </c:pt>
                <c:pt idx="5">
                  <c:v>67.585589426400006</c:v>
                </c:pt>
                <c:pt idx="6">
                  <c:v>35.5284746281</c:v>
                </c:pt>
                <c:pt idx="7">
                  <c:v>21.1892065471</c:v>
                </c:pt>
                <c:pt idx="8">
                  <c:v>11.0326904909</c:v>
                </c:pt>
                <c:pt idx="9">
                  <c:v>20.297364826599999</c:v>
                </c:pt>
                <c:pt idx="10">
                  <c:v>34.1141379253</c:v>
                </c:pt>
                <c:pt idx="11">
                  <c:v>35.031649862599998</c:v>
                </c:pt>
                <c:pt idx="12">
                  <c:v>32.7380599946</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906.32291666667504</c:v>
                </c:pt>
                <c:pt idx="1">
                  <c:v>1012.71845637585</c:v>
                </c:pt>
                <c:pt idx="2">
                  <c:v>1105.96319444445</c:v>
                </c:pt>
                <c:pt idx="3">
                  <c:v>1174.3723118279499</c:v>
                </c:pt>
                <c:pt idx="4">
                  <c:v>1129.192204301075</c:v>
                </c:pt>
                <c:pt idx="5">
                  <c:v>1128.565476190475</c:v>
                </c:pt>
                <c:pt idx="6">
                  <c:v>1181.15376850605</c:v>
                </c:pt>
                <c:pt idx="7">
                  <c:v>1185.1831761006249</c:v>
                </c:pt>
                <c:pt idx="8">
                  <c:v>1194.9334677419249</c:v>
                </c:pt>
                <c:pt idx="9">
                  <c:v>1196.13055555555</c:v>
                </c:pt>
                <c:pt idx="10">
                  <c:v>1196.6243279570001</c:v>
                </c:pt>
                <c:pt idx="11">
                  <c:v>1193.9107638889</c:v>
                </c:pt>
                <c:pt idx="12">
                  <c:v>1186.19756944445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Dat_01!$C$416:$O$416</c:f>
              <c:numCache>
                <c:formatCode>#,##0.00</c:formatCode>
                <c:ptCount val="13"/>
                <c:pt idx="2">
                  <c:v>45.035521148100003</c:v>
                </c:pt>
                <c:pt idx="3">
                  <c:v>33.672806635400001</c:v>
                </c:pt>
                <c:pt idx="4">
                  <c:v>37.464347836400002</c:v>
                </c:pt>
                <c:pt idx="5">
                  <c:v>26.586120180000002</c:v>
                </c:pt>
                <c:pt idx="6">
                  <c:v>29.008521289200001</c:v>
                </c:pt>
                <c:pt idx="7">
                  <c:v>18.106053319000001</c:v>
                </c:pt>
                <c:pt idx="8">
                  <c:v>17.670425277900002</c:v>
                </c:pt>
                <c:pt idx="9">
                  <c:v>12.5788518301</c:v>
                </c:pt>
                <c:pt idx="10">
                  <c:v>13.7043949349</c:v>
                </c:pt>
                <c:pt idx="11">
                  <c:v>18.185907200199999</c:v>
                </c:pt>
                <c:pt idx="12">
                  <c:v>24.3133326757</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Dat_01!$B$192:$N$192</c:f>
              <c:numCache>
                <c:formatCode>#,##0;\(#,##0\)</c:formatCode>
                <c:ptCount val="13"/>
                <c:pt idx="0">
                  <c:v>172.08167499999999</c:v>
                </c:pt>
                <c:pt idx="1">
                  <c:v>201.38062500000001</c:v>
                </c:pt>
                <c:pt idx="2">
                  <c:v>132.36967799999999</c:v>
                </c:pt>
                <c:pt idx="3">
                  <c:v>78.121196999999995</c:v>
                </c:pt>
                <c:pt idx="4">
                  <c:v>73.119370000000004</c:v>
                </c:pt>
                <c:pt idx="5">
                  <c:v>58.008048000000002</c:v>
                </c:pt>
                <c:pt idx="6">
                  <c:v>81.554850999999999</c:v>
                </c:pt>
                <c:pt idx="7">
                  <c:v>85.516738000000004</c:v>
                </c:pt>
                <c:pt idx="8">
                  <c:v>100.845438</c:v>
                </c:pt>
                <c:pt idx="9">
                  <c:v>88.146169</c:v>
                </c:pt>
                <c:pt idx="10">
                  <c:v>58.699295999999997</c:v>
                </c:pt>
                <c:pt idx="11">
                  <c:v>71.704355000000007</c:v>
                </c:pt>
                <c:pt idx="12">
                  <c:v>66.969218999999995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Septiembre</c:v>
                </c:pt>
                <c:pt idx="1">
                  <c:v>2024 Octubre</c:v>
                </c:pt>
                <c:pt idx="2">
                  <c:v>2024 Noviembre</c:v>
                </c:pt>
                <c:pt idx="3">
                  <c:v>2024 Diciembre</c:v>
                </c:pt>
                <c:pt idx="4">
                  <c:v>2025 Enero</c:v>
                </c:pt>
                <c:pt idx="5">
                  <c:v>2025 Febrero</c:v>
                </c:pt>
                <c:pt idx="6">
                  <c:v>2025 Marzo</c:v>
                </c:pt>
                <c:pt idx="7">
                  <c:v>2025 Abril</c:v>
                </c:pt>
                <c:pt idx="8">
                  <c:v>2025 Mayo</c:v>
                </c:pt>
                <c:pt idx="9">
                  <c:v>2025 Junio</c:v>
                </c:pt>
                <c:pt idx="10">
                  <c:v>2025 Julio</c:v>
                </c:pt>
                <c:pt idx="11">
                  <c:v>2025 Agosto</c:v>
                </c:pt>
                <c:pt idx="12">
                  <c:v>2025 Septiembre</c:v>
                </c:pt>
              </c:strCache>
            </c:strRef>
          </c:cat>
          <c:val>
            <c:numRef>
              <c:f>Dat_01!$C$413:$O$413</c:f>
              <c:numCache>
                <c:formatCode>#,##0.00</c:formatCode>
                <c:ptCount val="13"/>
                <c:pt idx="0">
                  <c:v>88.768818947499994</c:v>
                </c:pt>
                <c:pt idx="1">
                  <c:v>88.323514448099999</c:v>
                </c:pt>
                <c:pt idx="2">
                  <c:v>105.7689542406</c:v>
                </c:pt>
                <c:pt idx="3">
                  <c:v>137.67775680720001</c:v>
                </c:pt>
                <c:pt idx="4">
                  <c:v>133.31983673260001</c:v>
                </c:pt>
                <c:pt idx="5">
                  <c:v>140.03264444760001</c:v>
                </c:pt>
                <c:pt idx="6">
                  <c:v>120.096505014</c:v>
                </c:pt>
                <c:pt idx="7">
                  <c:v>77.523932633800001</c:v>
                </c:pt>
                <c:pt idx="8">
                  <c:v>63.343057325899998</c:v>
                </c:pt>
                <c:pt idx="9">
                  <c:v>112.625288936</c:v>
                </c:pt>
                <c:pt idx="10">
                  <c:v>110.444987815</c:v>
                </c:pt>
                <c:pt idx="11">
                  <c:v>98.521136264800006</c:v>
                </c:pt>
                <c:pt idx="12">
                  <c:v>101.9472367099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Dat_01!$B$191:$N$191</c:f>
              <c:numCache>
                <c:formatCode>#,##0;\(#,##0\)</c:formatCode>
                <c:ptCount val="13"/>
                <c:pt idx="0">
                  <c:v>165.537925</c:v>
                </c:pt>
                <c:pt idx="1">
                  <c:v>131.49952500000001</c:v>
                </c:pt>
                <c:pt idx="2">
                  <c:v>89.587146000000004</c:v>
                </c:pt>
                <c:pt idx="3">
                  <c:v>52.364378000000002</c:v>
                </c:pt>
                <c:pt idx="4">
                  <c:v>77.682462000000001</c:v>
                </c:pt>
                <c:pt idx="5">
                  <c:v>82.307884999999999</c:v>
                </c:pt>
                <c:pt idx="6">
                  <c:v>105.459892</c:v>
                </c:pt>
                <c:pt idx="7">
                  <c:v>92.657791000000003</c:v>
                </c:pt>
                <c:pt idx="8">
                  <c:v>95.844481999999999</c:v>
                </c:pt>
                <c:pt idx="9">
                  <c:v>72.700210999999996</c:v>
                </c:pt>
                <c:pt idx="10">
                  <c:v>80.985911000000002</c:v>
                </c:pt>
                <c:pt idx="11">
                  <c:v>71.164877000000004</c:v>
                </c:pt>
                <c:pt idx="12">
                  <c:v>86.294443000000001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Dat_01!$C$420:$O$420</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Dat_01!$C$417:$O$417</c:f>
              <c:numCache>
                <c:formatCode>#,##0.00</c:formatCode>
                <c:ptCount val="13"/>
                <c:pt idx="0">
                  <c:v>33.235310798100002</c:v>
                </c:pt>
                <c:pt idx="1">
                  <c:v>26.148324822799999</c:v>
                </c:pt>
                <c:pt idx="2">
                  <c:v>66.732214076299996</c:v>
                </c:pt>
                <c:pt idx="3">
                  <c:v>53.440641895799999</c:v>
                </c:pt>
                <c:pt idx="4">
                  <c:v>24.699318291699999</c:v>
                </c:pt>
                <c:pt idx="5">
                  <c:v>22.808634897200001</c:v>
                </c:pt>
                <c:pt idx="6">
                  <c:v>-19.560346367299999</c:v>
                </c:pt>
                <c:pt idx="7">
                  <c:v>-25.501952932799998</c:v>
                </c:pt>
                <c:pt idx="8">
                  <c:v>-21.3875057447</c:v>
                </c:pt>
                <c:pt idx="9">
                  <c:v>12.0135543721</c:v>
                </c:pt>
                <c:pt idx="10">
                  <c:v>12.2452130523</c:v>
                </c:pt>
                <c:pt idx="11">
                  <c:v>15.0051950839</c:v>
                </c:pt>
                <c:pt idx="12">
                  <c:v>-5.3674323135000002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Dat_01!$C$218:$O$218</c:f>
              <c:numCache>
                <c:formatCode>#,##0.0</c:formatCode>
                <c:ptCount val="13"/>
                <c:pt idx="0">
                  <c:v>50.225000000000001</c:v>
                </c:pt>
                <c:pt idx="1">
                  <c:v>78.75</c:v>
                </c:pt>
                <c:pt idx="2">
                  <c:v>484.8</c:v>
                </c:pt>
                <c:pt idx="3">
                  <c:v>289.85000000000002</c:v>
                </c:pt>
                <c:pt idx="4">
                  <c:v>938.7</c:v>
                </c:pt>
                <c:pt idx="5">
                  <c:v>339</c:v>
                </c:pt>
                <c:pt idx="6">
                  <c:v>85</c:v>
                </c:pt>
                <c:pt idx="7">
                  <c:v>105</c:v>
                </c:pt>
                <c:pt idx="8">
                  <c:v>0</c:v>
                </c:pt>
                <c:pt idx="9">
                  <c:v>83.75</c:v>
                </c:pt>
                <c:pt idx="10">
                  <c:v>10</c:v>
                </c:pt>
                <c:pt idx="11">
                  <c:v>0</c:v>
                </c:pt>
                <c:pt idx="12">
                  <c:v>0</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Dat_01!$C$219:$O$219</c:f>
              <c:numCache>
                <c:formatCode>#,##0.0</c:formatCode>
                <c:ptCount val="13"/>
                <c:pt idx="0">
                  <c:v>26552.251</c:v>
                </c:pt>
                <c:pt idx="1">
                  <c:v>33915.699999999997</c:v>
                </c:pt>
                <c:pt idx="2">
                  <c:v>38070.457999999999</c:v>
                </c:pt>
                <c:pt idx="3">
                  <c:v>42667.476000000002</c:v>
                </c:pt>
                <c:pt idx="4">
                  <c:v>78421.95</c:v>
                </c:pt>
                <c:pt idx="5">
                  <c:v>87805.447</c:v>
                </c:pt>
                <c:pt idx="6">
                  <c:v>30848.534</c:v>
                </c:pt>
                <c:pt idx="7">
                  <c:v>16612.3</c:v>
                </c:pt>
                <c:pt idx="8">
                  <c:v>9449.5499999999993</c:v>
                </c:pt>
                <c:pt idx="9">
                  <c:v>34376.15</c:v>
                </c:pt>
                <c:pt idx="10">
                  <c:v>27134.55</c:v>
                </c:pt>
                <c:pt idx="11">
                  <c:v>23693.05</c:v>
                </c:pt>
                <c:pt idx="12">
                  <c:v>36576.124000000003</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Dat_01!$C$220:$O$220</c:f>
              <c:numCache>
                <c:formatCode>#,##0.0</c:formatCode>
                <c:ptCount val="13"/>
                <c:pt idx="0">
                  <c:v>423.447</c:v>
                </c:pt>
                <c:pt idx="1">
                  <c:v>758.50800000000004</c:v>
                </c:pt>
                <c:pt idx="2">
                  <c:v>689.47500000000002</c:v>
                </c:pt>
                <c:pt idx="3">
                  <c:v>935.173</c:v>
                </c:pt>
                <c:pt idx="4">
                  <c:v>668.6</c:v>
                </c:pt>
                <c:pt idx="5">
                  <c:v>993.53399999999999</c:v>
                </c:pt>
                <c:pt idx="6">
                  <c:v>1360.5</c:v>
                </c:pt>
                <c:pt idx="7">
                  <c:v>1568.95</c:v>
                </c:pt>
                <c:pt idx="8">
                  <c:v>863.15</c:v>
                </c:pt>
                <c:pt idx="9">
                  <c:v>366.5</c:v>
                </c:pt>
                <c:pt idx="10">
                  <c:v>941.3</c:v>
                </c:pt>
                <c:pt idx="11">
                  <c:v>409.5</c:v>
                </c:pt>
                <c:pt idx="12">
                  <c:v>383.58300000000003</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Dat_01!$C$221:$O$221</c:f>
              <c:numCache>
                <c:formatCode>#,##0.0</c:formatCode>
                <c:ptCount val="13"/>
                <c:pt idx="0">
                  <c:v>45577.822999999997</c:v>
                </c:pt>
                <c:pt idx="1">
                  <c:v>54566.771000000001</c:v>
                </c:pt>
                <c:pt idx="2">
                  <c:v>41349.216999999997</c:v>
                </c:pt>
                <c:pt idx="3">
                  <c:v>35243.148999999998</c:v>
                </c:pt>
                <c:pt idx="4">
                  <c:v>53314.275000000001</c:v>
                </c:pt>
                <c:pt idx="5">
                  <c:v>76705.798999999999</c:v>
                </c:pt>
                <c:pt idx="6">
                  <c:v>53970.15</c:v>
                </c:pt>
                <c:pt idx="7">
                  <c:v>44515.75</c:v>
                </c:pt>
                <c:pt idx="8">
                  <c:v>21756.775000000001</c:v>
                </c:pt>
                <c:pt idx="9">
                  <c:v>9671.85</c:v>
                </c:pt>
                <c:pt idx="10">
                  <c:v>22367.341</c:v>
                </c:pt>
                <c:pt idx="11">
                  <c:v>22439.35</c:v>
                </c:pt>
                <c:pt idx="12">
                  <c:v>24097.200000000001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Dat_01!$C$223:$O$223</c:f>
              <c:numCache>
                <c:formatCode>#,##0.0</c:formatCode>
                <c:ptCount val="13"/>
                <c:pt idx="0">
                  <c:v>73676.551000000007</c:v>
                </c:pt>
                <c:pt idx="1">
                  <c:v>80386.748999999996</c:v>
                </c:pt>
                <c:pt idx="2">
                  <c:v>42290.15</c:v>
                </c:pt>
                <c:pt idx="3">
                  <c:v>50300.607000000004</c:v>
                </c:pt>
                <c:pt idx="4">
                  <c:v>95848.875</c:v>
                </c:pt>
                <c:pt idx="5">
                  <c:v>82469.11</c:v>
                </c:pt>
                <c:pt idx="6">
                  <c:v>172995.63699999999</c:v>
                </c:pt>
                <c:pt idx="7">
                  <c:v>130290.417</c:v>
                </c:pt>
                <c:pt idx="8">
                  <c:v>60074.966999999997</c:v>
                </c:pt>
                <c:pt idx="9">
                  <c:v>26082.375</c:v>
                </c:pt>
                <c:pt idx="10">
                  <c:v>69061.966</c:v>
                </c:pt>
                <c:pt idx="11">
                  <c:v>52735.925999999999</c:v>
                </c:pt>
                <c:pt idx="12">
                  <c:v>63325.637000000002</c:v>
                </c:pt>
              </c:numCache>
            </c:numRef>
          </c:val>
          <c:extLst>
            <c:ext xmlns:c16="http://schemas.microsoft.com/office/drawing/2014/chart" uri="{C3380CC4-5D6E-409C-BE32-E72D297353CC}">
              <c16:uniqueId val="{00000004-BED9-452D-8454-5CC367FCBEF2}"/>
            </c:ext>
          </c:extLst>
        </c:ser>
        <c:ser>
          <c:idx val="8"/>
          <c:order val="6"/>
          <c:tx>
            <c:strRef>
              <c:f>Dat_01!$B$224</c:f>
              <c:strCache>
                <c:ptCount val="1"/>
                <c:pt idx="0">
                  <c:v>Turbina Vapor, Gas y Fuel</c:v>
                </c:pt>
              </c:strCache>
              <c:extLst xmlns:c15="http://schemas.microsoft.com/office/drawing/2012/chart"/>
            </c:strRef>
          </c:tx>
          <c:spPr>
            <a:solidFill>
              <a:srgbClr val="BA0F1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Dat_01!$C$224:$O$224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C-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Dat_01!$C$226:$O$226</c:f>
              <c:numCache>
                <c:formatCode>#,##0.0</c:formatCode>
                <c:ptCount val="13"/>
                <c:pt idx="0">
                  <c:v>23009.672999999999</c:v>
                </c:pt>
                <c:pt idx="1">
                  <c:v>45128.546000000002</c:v>
                </c:pt>
                <c:pt idx="2">
                  <c:v>28604.075000000001</c:v>
                </c:pt>
                <c:pt idx="3">
                  <c:v>51705.65</c:v>
                </c:pt>
                <c:pt idx="4">
                  <c:v>50536.925000000003</c:v>
                </c:pt>
                <c:pt idx="5">
                  <c:v>84995.438999999998</c:v>
                </c:pt>
                <c:pt idx="6">
                  <c:v>62327.576000000001</c:v>
                </c:pt>
                <c:pt idx="7">
                  <c:v>66805.399999999994</c:v>
                </c:pt>
                <c:pt idx="8">
                  <c:v>38696.474999999999</c:v>
                </c:pt>
                <c:pt idx="9">
                  <c:v>56107.25</c:v>
                </c:pt>
                <c:pt idx="10">
                  <c:v>28608.517</c:v>
                </c:pt>
                <c:pt idx="11">
                  <c:v>11833.25</c:v>
                </c:pt>
                <c:pt idx="12">
                  <c:v>35547.775999999998</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Dat_01!$C$228:$O$228</c:f>
              <c:numCache>
                <c:formatCode>#,##0.0</c:formatCode>
                <c:ptCount val="13"/>
                <c:pt idx="0">
                  <c:v>0</c:v>
                </c:pt>
                <c:pt idx="1">
                  <c:v>0</c:v>
                </c:pt>
                <c:pt idx="2">
                  <c:v>0</c:v>
                </c:pt>
                <c:pt idx="3">
                  <c:v>6955.3249999999998</c:v>
                </c:pt>
                <c:pt idx="4">
                  <c:v>26087.775000000001</c:v>
                </c:pt>
                <c:pt idx="5">
                  <c:v>33505.375</c:v>
                </c:pt>
                <c:pt idx="6">
                  <c:v>36555.050000000003</c:v>
                </c:pt>
                <c:pt idx="7">
                  <c:v>42367.775000000001</c:v>
                </c:pt>
                <c:pt idx="8">
                  <c:v>23024.25</c:v>
                </c:pt>
                <c:pt idx="9">
                  <c:v>44160.5</c:v>
                </c:pt>
                <c:pt idx="10">
                  <c:v>32261.5</c:v>
                </c:pt>
                <c:pt idx="11">
                  <c:v>35004.25</c:v>
                </c:pt>
                <c:pt idx="12">
                  <c:v>45108.25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Dat_01!$C$229:$O$229</c:f>
              <c:numCache>
                <c:formatCode>#,##0.0</c:formatCode>
                <c:ptCount val="13"/>
                <c:pt idx="0">
                  <c:v>140</c:v>
                </c:pt>
                <c:pt idx="1">
                  <c:v>0</c:v>
                </c:pt>
                <c:pt idx="2">
                  <c:v>176.42500000000001</c:v>
                </c:pt>
                <c:pt idx="3">
                  <c:v>415</c:v>
                </c:pt>
                <c:pt idx="4">
                  <c:v>798.25</c:v>
                </c:pt>
                <c:pt idx="5">
                  <c:v>703.5</c:v>
                </c:pt>
                <c:pt idx="6">
                  <c:v>479.5</c:v>
                </c:pt>
                <c:pt idx="7">
                  <c:v>203.75</c:v>
                </c:pt>
                <c:pt idx="8">
                  <c:v>2702</c:v>
                </c:pt>
                <c:pt idx="9">
                  <c:v>200.75</c:v>
                </c:pt>
                <c:pt idx="10">
                  <c:v>0.5</c:v>
                </c:pt>
                <c:pt idx="11">
                  <c:v>8</c:v>
                </c:pt>
                <c:pt idx="12">
                  <c:v>350.21699999999998</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Dat_01!$C$230:$O$230</c:f>
              <c:numCache>
                <c:formatCode>#,##0.0</c:formatCode>
                <c:ptCount val="13"/>
                <c:pt idx="0">
                  <c:v>266.00099999999998</c:v>
                </c:pt>
                <c:pt idx="1">
                  <c:v>214.92400000000001</c:v>
                </c:pt>
                <c:pt idx="2">
                  <c:v>268.07499999999999</c:v>
                </c:pt>
                <c:pt idx="3">
                  <c:v>35.75</c:v>
                </c:pt>
                <c:pt idx="4">
                  <c:v>234</c:v>
                </c:pt>
                <c:pt idx="5">
                  <c:v>980.66600000000005</c:v>
                </c:pt>
                <c:pt idx="6">
                  <c:v>1739.683</c:v>
                </c:pt>
                <c:pt idx="7">
                  <c:v>3896.5160000000001</c:v>
                </c:pt>
                <c:pt idx="8">
                  <c:v>4437.6490000000003</c:v>
                </c:pt>
                <c:pt idx="9">
                  <c:v>3327.3</c:v>
                </c:pt>
                <c:pt idx="10">
                  <c:v>2881.4830000000002</c:v>
                </c:pt>
                <c:pt idx="11">
                  <c:v>2162.366</c:v>
                </c:pt>
                <c:pt idx="12">
                  <c:v>1952.1</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Dat_01!$C$232:$O$232</c:f>
              <c:numCache>
                <c:formatCode>#,##0.0</c:formatCode>
                <c:ptCount val="13"/>
                <c:pt idx="0">
                  <c:v>44275.593999999997</c:v>
                </c:pt>
                <c:pt idx="1">
                  <c:v>20296.477999999999</c:v>
                </c:pt>
                <c:pt idx="2">
                  <c:v>10034.625</c:v>
                </c:pt>
                <c:pt idx="3">
                  <c:v>11185.225</c:v>
                </c:pt>
                <c:pt idx="4">
                  <c:v>23892.075000000001</c:v>
                </c:pt>
                <c:pt idx="5">
                  <c:v>63591.995999999999</c:v>
                </c:pt>
                <c:pt idx="6">
                  <c:v>87722.982999999993</c:v>
                </c:pt>
                <c:pt idx="7">
                  <c:v>104779.283</c:v>
                </c:pt>
                <c:pt idx="8">
                  <c:v>99194.45</c:v>
                </c:pt>
                <c:pt idx="9">
                  <c:v>21212.375</c:v>
                </c:pt>
                <c:pt idx="10">
                  <c:v>83232.362999999998</c:v>
                </c:pt>
                <c:pt idx="11">
                  <c:v>66270.042000000001</c:v>
                </c:pt>
                <c:pt idx="12">
                  <c:v>79062.11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Dat_01!$C$233:$O$233</c:f>
              <c:numCache>
                <c:formatCode>#,##0.0</c:formatCode>
                <c:ptCount val="13"/>
                <c:pt idx="0">
                  <c:v>851.55</c:v>
                </c:pt>
                <c:pt idx="1">
                  <c:v>1234.2249999999999</c:v>
                </c:pt>
                <c:pt idx="2">
                  <c:v>817.65</c:v>
                </c:pt>
                <c:pt idx="3">
                  <c:v>1436.25</c:v>
                </c:pt>
                <c:pt idx="4">
                  <c:v>2461.75</c:v>
                </c:pt>
                <c:pt idx="5">
                  <c:v>2296.4499999999998</c:v>
                </c:pt>
                <c:pt idx="6">
                  <c:v>2136.5</c:v>
                </c:pt>
                <c:pt idx="7">
                  <c:v>679</c:v>
                </c:pt>
                <c:pt idx="8">
                  <c:v>1243.3</c:v>
                </c:pt>
                <c:pt idx="9">
                  <c:v>979.75</c:v>
                </c:pt>
                <c:pt idx="10">
                  <c:v>771.75</c:v>
                </c:pt>
                <c:pt idx="11">
                  <c:v>1365</c:v>
                </c:pt>
                <c:pt idx="12">
                  <c:v>807.75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Dat_01!$C$234:$O$234</c:f>
              <c:numCache>
                <c:formatCode>#,##0.0</c:formatCode>
                <c:ptCount val="13"/>
                <c:pt idx="0">
                  <c:v>17383.25</c:v>
                </c:pt>
                <c:pt idx="1">
                  <c:v>19175.525000000001</c:v>
                </c:pt>
                <c:pt idx="2">
                  <c:v>10980.45</c:v>
                </c:pt>
                <c:pt idx="3">
                  <c:v>9205.7000000000007</c:v>
                </c:pt>
                <c:pt idx="4">
                  <c:v>28796.799999999999</c:v>
                </c:pt>
                <c:pt idx="5">
                  <c:v>30971.184000000001</c:v>
                </c:pt>
                <c:pt idx="6">
                  <c:v>23083.05</c:v>
                </c:pt>
                <c:pt idx="7">
                  <c:v>24323</c:v>
                </c:pt>
                <c:pt idx="8">
                  <c:v>15956.517</c:v>
                </c:pt>
                <c:pt idx="9">
                  <c:v>10532.25</c:v>
                </c:pt>
                <c:pt idx="10">
                  <c:v>10383.450000000001</c:v>
                </c:pt>
                <c:pt idx="11">
                  <c:v>10664.65</c:v>
                </c:pt>
                <c:pt idx="12">
                  <c:v>13546.782999999999</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22.75</c:v>
                </c:pt>
                <c:pt idx="8">
                  <c:v>22</c:v>
                </c:pt>
                <c:pt idx="9">
                  <c:v>0</c:v>
                </c:pt>
                <c:pt idx="10">
                  <c:v>0</c:v>
                </c:pt>
                <c:pt idx="11">
                  <c:v>0</c:v>
                </c:pt>
                <c:pt idx="12">
                  <c:v>211.4</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Dat_01!$C$420:$O$420</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Dat_01!$C$419:$O$419</c:f>
              <c:numCache>
                <c:formatCode>#,##0.00</c:formatCode>
                <c:ptCount val="13"/>
                <c:pt idx="0">
                  <c:v>14.2514126045</c:v>
                </c:pt>
                <c:pt idx="1">
                  <c:v>14.1504108037</c:v>
                </c:pt>
                <c:pt idx="2">
                  <c:v>47.966835835799998</c:v>
                </c:pt>
                <c:pt idx="3">
                  <c:v>55.205082878200002</c:v>
                </c:pt>
                <c:pt idx="4">
                  <c:v>45.334035121399999</c:v>
                </c:pt>
                <c:pt idx="5">
                  <c:v>37.849235561100002</c:v>
                </c:pt>
                <c:pt idx="6">
                  <c:v>1.7364664057999999</c:v>
                </c:pt>
                <c:pt idx="7">
                  <c:v>-3.2239345521999998</c:v>
                </c:pt>
                <c:pt idx="8">
                  <c:v>-4.1235086641000001</c:v>
                </c:pt>
                <c:pt idx="9">
                  <c:v>59.358578694199998</c:v>
                </c:pt>
                <c:pt idx="10">
                  <c:v>18.384595549299998</c:v>
                </c:pt>
                <c:pt idx="11">
                  <c:v>15.012926886100001</c:v>
                </c:pt>
                <c:pt idx="12">
                  <c:v>0.25983211550000002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Dat_01!$C$199:$O$199</c:f>
              <c:numCache>
                <c:formatCode>#,##0.0</c:formatCode>
                <c:ptCount val="13"/>
                <c:pt idx="0">
                  <c:v>275.2</c:v>
                </c:pt>
                <c:pt idx="1">
                  <c:v>379.41399999999999</c:v>
                </c:pt>
                <c:pt idx="2">
                  <c:v>960.09100000000001</c:v>
                </c:pt>
                <c:pt idx="3">
                  <c:v>1807.4749999999999</c:v>
                </c:pt>
                <c:pt idx="4">
                  <c:v>485.25</c:v>
                </c:pt>
                <c:pt idx="5">
                  <c:v>155.25</c:v>
                </c:pt>
                <c:pt idx="6">
                  <c:v>34.450000000000003</c:v>
                </c:pt>
                <c:pt idx="7">
                  <c:v>30.05</c:v>
                </c:pt>
                <c:pt idx="8">
                  <c:v>0</c:v>
                </c:pt>
                <c:pt idx="9">
                  <c:v>83.15</c:v>
                </c:pt>
                <c:pt idx="10">
                  <c:v>422.25</c:v>
                </c:pt>
                <c:pt idx="11">
                  <c:v>0</c:v>
                </c:pt>
                <c:pt idx="12">
                  <c:v>90</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Dat_01!$C$200:$O$200</c:f>
              <c:numCache>
                <c:formatCode>#,##0.0</c:formatCode>
                <c:ptCount val="13"/>
                <c:pt idx="0">
                  <c:v>71329.876000000004</c:v>
                </c:pt>
                <c:pt idx="1">
                  <c:v>55707.942999999999</c:v>
                </c:pt>
                <c:pt idx="2">
                  <c:v>92005.611000000004</c:v>
                </c:pt>
                <c:pt idx="3">
                  <c:v>149676.72500000001</c:v>
                </c:pt>
                <c:pt idx="4">
                  <c:v>75138.25</c:v>
                </c:pt>
                <c:pt idx="5">
                  <c:v>41086.735000000001</c:v>
                </c:pt>
                <c:pt idx="6">
                  <c:v>42628.800000000003</c:v>
                </c:pt>
                <c:pt idx="7">
                  <c:v>21334.2</c:v>
                </c:pt>
                <c:pt idx="8">
                  <c:v>43474.65</c:v>
                </c:pt>
                <c:pt idx="9">
                  <c:v>226890.22500000001</c:v>
                </c:pt>
                <c:pt idx="10">
                  <c:v>209561.22500000001</c:v>
                </c:pt>
                <c:pt idx="11">
                  <c:v>179282</c:v>
                </c:pt>
                <c:pt idx="12">
                  <c:v>112488.129</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Dat_01!$C$201:$O$201</c:f>
              <c:numCache>
                <c:formatCode>#,##0.0</c:formatCode>
                <c:ptCount val="13"/>
                <c:pt idx="0">
                  <c:v>8.4250000000000007</c:v>
                </c:pt>
                <c:pt idx="1">
                  <c:v>4.7</c:v>
                </c:pt>
                <c:pt idx="2">
                  <c:v>15.625</c:v>
                </c:pt>
                <c:pt idx="3">
                  <c:v>16.25</c:v>
                </c:pt>
                <c:pt idx="4">
                  <c:v>3</c:v>
                </c:pt>
                <c:pt idx="5">
                  <c:v>0</c:v>
                </c:pt>
                <c:pt idx="6">
                  <c:v>140</c:v>
                </c:pt>
                <c:pt idx="7">
                  <c:v>52.5</c:v>
                </c:pt>
                <c:pt idx="8">
                  <c:v>92.75</c:v>
                </c:pt>
                <c:pt idx="9">
                  <c:v>209.25</c:v>
                </c:pt>
                <c:pt idx="10">
                  <c:v>318.75</c:v>
                </c:pt>
                <c:pt idx="11">
                  <c:v>173.25</c:v>
                </c:pt>
                <c:pt idx="12">
                  <c:v>239.75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Dat_01!$C$202:$O$202</c:f>
              <c:numCache>
                <c:formatCode>#,##0.0</c:formatCode>
                <c:ptCount val="13"/>
                <c:pt idx="0">
                  <c:v>25004.131000000001</c:v>
                </c:pt>
                <c:pt idx="1">
                  <c:v>19519.491000000002</c:v>
                </c:pt>
                <c:pt idx="2">
                  <c:v>14910.407999999999</c:v>
                </c:pt>
                <c:pt idx="3">
                  <c:v>17618.241999999998</c:v>
                </c:pt>
                <c:pt idx="4">
                  <c:v>30294.2</c:v>
                </c:pt>
                <c:pt idx="5">
                  <c:v>10732.416999999999</c:v>
                </c:pt>
                <c:pt idx="6">
                  <c:v>30167.8</c:v>
                </c:pt>
                <c:pt idx="7">
                  <c:v>25127.55</c:v>
                </c:pt>
                <c:pt idx="8">
                  <c:v>28512.400000000001</c:v>
                </c:pt>
                <c:pt idx="9">
                  <c:v>19186.8</c:v>
                </c:pt>
                <c:pt idx="10">
                  <c:v>17123.95</c:v>
                </c:pt>
                <c:pt idx="11">
                  <c:v>17965.3</c:v>
                </c:pt>
                <c:pt idx="12">
                  <c:v>19717.983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Dat_01!$C$204:$O$204</c:f>
              <c:numCache>
                <c:formatCode>#,##0.0</c:formatCode>
                <c:ptCount val="13"/>
                <c:pt idx="0">
                  <c:v>14389.375</c:v>
                </c:pt>
                <c:pt idx="1">
                  <c:v>24306.028999999999</c:v>
                </c:pt>
                <c:pt idx="2">
                  <c:v>13826.055</c:v>
                </c:pt>
                <c:pt idx="3">
                  <c:v>22650.025000000001</c:v>
                </c:pt>
                <c:pt idx="4">
                  <c:v>24907.05</c:v>
                </c:pt>
                <c:pt idx="5">
                  <c:v>9668.9809999999998</c:v>
                </c:pt>
                <c:pt idx="6">
                  <c:v>31429.5</c:v>
                </c:pt>
                <c:pt idx="7">
                  <c:v>27130.85</c:v>
                </c:pt>
                <c:pt idx="8">
                  <c:v>43167.925000000003</c:v>
                </c:pt>
                <c:pt idx="9">
                  <c:v>27497.7</c:v>
                </c:pt>
                <c:pt idx="10">
                  <c:v>13989.3</c:v>
                </c:pt>
                <c:pt idx="11">
                  <c:v>16005.75</c:v>
                </c:pt>
                <c:pt idx="12">
                  <c:v>16576.755000000001</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Dat_01!$C$209:$O$209</c:f>
              <c:numCache>
                <c:formatCode>#,##0.0</c:formatCode>
                <c:ptCount val="13"/>
                <c:pt idx="0">
                  <c:v>0</c:v>
                </c:pt>
                <c:pt idx="1">
                  <c:v>0</c:v>
                </c:pt>
                <c:pt idx="2">
                  <c:v>0</c:v>
                </c:pt>
                <c:pt idx="3">
                  <c:v>8416.4750000000004</c:v>
                </c:pt>
                <c:pt idx="4">
                  <c:v>34556.9</c:v>
                </c:pt>
                <c:pt idx="5">
                  <c:v>28098.799999999999</c:v>
                </c:pt>
                <c:pt idx="6">
                  <c:v>34080.6</c:v>
                </c:pt>
                <c:pt idx="7">
                  <c:v>26275.474999999999</c:v>
                </c:pt>
                <c:pt idx="8">
                  <c:v>35039.25</c:v>
                </c:pt>
                <c:pt idx="9">
                  <c:v>33961.75</c:v>
                </c:pt>
                <c:pt idx="10">
                  <c:v>27631.25</c:v>
                </c:pt>
                <c:pt idx="11">
                  <c:v>39299.75</c:v>
                </c:pt>
                <c:pt idx="12">
                  <c:v>29569.5</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Dat_01!$C$207:$O$207</c:f>
              <c:numCache>
                <c:formatCode>#,##0.0</c:formatCode>
                <c:ptCount val="13"/>
                <c:pt idx="0">
                  <c:v>21337.156999999999</c:v>
                </c:pt>
                <c:pt idx="1">
                  <c:v>36443.067999999999</c:v>
                </c:pt>
                <c:pt idx="2">
                  <c:v>25115.334999999999</c:v>
                </c:pt>
                <c:pt idx="3">
                  <c:v>46447.163</c:v>
                </c:pt>
                <c:pt idx="4">
                  <c:v>30091.7</c:v>
                </c:pt>
                <c:pt idx="5">
                  <c:v>17178.798999999999</c:v>
                </c:pt>
                <c:pt idx="6">
                  <c:v>34297.5</c:v>
                </c:pt>
                <c:pt idx="7">
                  <c:v>36079.15</c:v>
                </c:pt>
                <c:pt idx="8">
                  <c:v>30711.75</c:v>
                </c:pt>
                <c:pt idx="9">
                  <c:v>31774.95</c:v>
                </c:pt>
                <c:pt idx="10">
                  <c:v>85316.175000000003</c:v>
                </c:pt>
                <c:pt idx="11">
                  <c:v>54636.866999999998</c:v>
                </c:pt>
                <c:pt idx="12">
                  <c:v>20999.040000000001</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Dat_01!$C$210:$O$210</c:f>
              <c:numCache>
                <c:formatCode>#,##0.0</c:formatCode>
                <c:ptCount val="13"/>
                <c:pt idx="0">
                  <c:v>0</c:v>
                </c:pt>
                <c:pt idx="1">
                  <c:v>0</c:v>
                </c:pt>
                <c:pt idx="2">
                  <c:v>100.05</c:v>
                </c:pt>
                <c:pt idx="3">
                  <c:v>30</c:v>
                </c:pt>
                <c:pt idx="4">
                  <c:v>139.15</c:v>
                </c:pt>
                <c:pt idx="5">
                  <c:v>0</c:v>
                </c:pt>
                <c:pt idx="6">
                  <c:v>359.05</c:v>
                </c:pt>
                <c:pt idx="7">
                  <c:v>364</c:v>
                </c:pt>
                <c:pt idx="8">
                  <c:v>1965.25</c:v>
                </c:pt>
                <c:pt idx="9">
                  <c:v>659</c:v>
                </c:pt>
                <c:pt idx="10">
                  <c:v>742</c:v>
                </c:pt>
                <c:pt idx="11">
                  <c:v>632.15</c:v>
                </c:pt>
                <c:pt idx="12">
                  <c:v>153.69999999999999</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Dat_01!$C$211:$O$211</c:f>
              <c:numCache>
                <c:formatCode>#,##0.0</c:formatCode>
                <c:ptCount val="13"/>
                <c:pt idx="0">
                  <c:v>284.55</c:v>
                </c:pt>
                <c:pt idx="1">
                  <c:v>361.459</c:v>
                </c:pt>
                <c:pt idx="2">
                  <c:v>76.349999999999994</c:v>
                </c:pt>
                <c:pt idx="3">
                  <c:v>47.25</c:v>
                </c:pt>
                <c:pt idx="4">
                  <c:v>85</c:v>
                </c:pt>
                <c:pt idx="5">
                  <c:v>17.25</c:v>
                </c:pt>
                <c:pt idx="6">
                  <c:v>304.89999999999998</c:v>
                </c:pt>
                <c:pt idx="7">
                  <c:v>299.3</c:v>
                </c:pt>
                <c:pt idx="8">
                  <c:v>1099.6500000000001</c:v>
                </c:pt>
                <c:pt idx="9">
                  <c:v>445.65</c:v>
                </c:pt>
                <c:pt idx="10">
                  <c:v>454.7</c:v>
                </c:pt>
                <c:pt idx="11">
                  <c:v>547.04999999999995</c:v>
                </c:pt>
                <c:pt idx="12">
                  <c:v>388.13299999999998</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Dat_01!$C$213:$O$213</c:f>
              <c:numCache>
                <c:formatCode>#,##0.0</c:formatCode>
                <c:ptCount val="13"/>
                <c:pt idx="0">
                  <c:v>3037.88</c:v>
                </c:pt>
                <c:pt idx="1">
                  <c:v>4937.223</c:v>
                </c:pt>
                <c:pt idx="2">
                  <c:v>2907.0349999999999</c:v>
                </c:pt>
                <c:pt idx="3">
                  <c:v>3403.0250000000001</c:v>
                </c:pt>
                <c:pt idx="4">
                  <c:v>3800</c:v>
                </c:pt>
                <c:pt idx="5">
                  <c:v>2360.9009999999998</c:v>
                </c:pt>
                <c:pt idx="6">
                  <c:v>6670.45</c:v>
                </c:pt>
                <c:pt idx="7">
                  <c:v>9781.15</c:v>
                </c:pt>
                <c:pt idx="8">
                  <c:v>14137.575000000001</c:v>
                </c:pt>
                <c:pt idx="9">
                  <c:v>20985.474999999999</c:v>
                </c:pt>
                <c:pt idx="10">
                  <c:v>14673.875</c:v>
                </c:pt>
                <c:pt idx="11">
                  <c:v>22896.5</c:v>
                </c:pt>
                <c:pt idx="12">
                  <c:v>14205.386</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Dat_01!$C$214:$O$214</c:f>
              <c:numCache>
                <c:formatCode>#,##0.0</c:formatCode>
                <c:ptCount val="13"/>
                <c:pt idx="0">
                  <c:v>35.475000000000001</c:v>
                </c:pt>
                <c:pt idx="1">
                  <c:v>19.399999999999999</c:v>
                </c:pt>
                <c:pt idx="2">
                  <c:v>6.7</c:v>
                </c:pt>
                <c:pt idx="3">
                  <c:v>9.25</c:v>
                </c:pt>
                <c:pt idx="4">
                  <c:v>15.25</c:v>
                </c:pt>
                <c:pt idx="5">
                  <c:v>4.75</c:v>
                </c:pt>
                <c:pt idx="6">
                  <c:v>62.75</c:v>
                </c:pt>
                <c:pt idx="7">
                  <c:v>157.75</c:v>
                </c:pt>
                <c:pt idx="8">
                  <c:v>300.5</c:v>
                </c:pt>
                <c:pt idx="9">
                  <c:v>170.25</c:v>
                </c:pt>
                <c:pt idx="10">
                  <c:v>455.92500000000001</c:v>
                </c:pt>
                <c:pt idx="11">
                  <c:v>301.75</c:v>
                </c:pt>
                <c:pt idx="12">
                  <c:v>325.25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Dat_01!$C$215:$O$215</c:f>
              <c:numCache>
                <c:formatCode>#,##0.0</c:formatCode>
                <c:ptCount val="13"/>
                <c:pt idx="0">
                  <c:v>23246.357</c:v>
                </c:pt>
                <c:pt idx="1">
                  <c:v>14903.813</c:v>
                </c:pt>
                <c:pt idx="2">
                  <c:v>9228.6530000000002</c:v>
                </c:pt>
                <c:pt idx="3">
                  <c:v>13417.55</c:v>
                </c:pt>
                <c:pt idx="4">
                  <c:v>19331.099999999999</c:v>
                </c:pt>
                <c:pt idx="5">
                  <c:v>5627</c:v>
                </c:pt>
                <c:pt idx="6">
                  <c:v>14804.75</c:v>
                </c:pt>
                <c:pt idx="7">
                  <c:v>16764.75</c:v>
                </c:pt>
                <c:pt idx="8">
                  <c:v>23021.55</c:v>
                </c:pt>
                <c:pt idx="9">
                  <c:v>17574.599999999999</c:v>
                </c:pt>
                <c:pt idx="10">
                  <c:v>21808.125</c:v>
                </c:pt>
                <c:pt idx="11">
                  <c:v>20287.816999999999</c:v>
                </c:pt>
                <c:pt idx="12">
                  <c:v>18414.18</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29.75</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Turbina Vapor, Gas y Fuel</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Dat_01!$C$415:$O$415</c:f>
              <c:numCache>
                <c:formatCode>#,##0.00</c:formatCode>
                <c:ptCount val="13"/>
                <c:pt idx="0">
                  <c:v>106.6717990865</c:v>
                </c:pt>
                <c:pt idx="1">
                  <c:v>96.757878917900001</c:v>
                </c:pt>
                <c:pt idx="2">
                  <c:v>130.18347199920001</c:v>
                </c:pt>
                <c:pt idx="3">
                  <c:v>143.12100996730001</c:v>
                </c:pt>
                <c:pt idx="4">
                  <c:v>128.90381284489999</c:v>
                </c:pt>
                <c:pt idx="5">
                  <c:v>120.5025753649</c:v>
                </c:pt>
                <c:pt idx="6">
                  <c:v>90.112878959900002</c:v>
                </c:pt>
                <c:pt idx="7">
                  <c:v>58.371273219899997</c:v>
                </c:pt>
                <c:pt idx="8">
                  <c:v>55.693702808300003</c:v>
                </c:pt>
                <c:pt idx="9">
                  <c:v>104.9215167187</c:v>
                </c:pt>
                <c:pt idx="10">
                  <c:v>121.5609694004</c:v>
                </c:pt>
                <c:pt idx="11">
                  <c:v>109.9492029741</c:v>
                </c:pt>
                <c:pt idx="12">
                  <c:v>94.673383029199996</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406</c:v>
                </c:pt>
                <c:pt idx="1">
                  <c:v>833.8</c:v>
                </c:pt>
                <c:pt idx="2">
                  <c:v>128.25</c:v>
                </c:pt>
                <c:pt idx="3">
                  <c:v>200.75</c:v>
                </c:pt>
                <c:pt idx="4">
                  <c:v>810</c:v>
                </c:pt>
                <c:pt idx="5">
                  <c:v>132</c:v>
                </c:pt>
                <c:pt idx="6">
                  <c:v>28.75</c:v>
                </c:pt>
                <c:pt idx="7">
                  <c:v>155.75</c:v>
                </c:pt>
                <c:pt idx="8">
                  <c:v>0</c:v>
                </c:pt>
                <c:pt idx="9">
                  <c:v>11.5</c:v>
                </c:pt>
                <c:pt idx="10">
                  <c:v>0</c:v>
                </c:pt>
                <c:pt idx="11">
                  <c:v>0</c:v>
                </c:pt>
                <c:pt idx="12">
                  <c:v>0</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23707.275000000001</c:v>
                </c:pt>
                <c:pt idx="1">
                  <c:v>20838.625</c:v>
                </c:pt>
                <c:pt idx="2">
                  <c:v>20258.349999999999</c:v>
                </c:pt>
                <c:pt idx="3">
                  <c:v>23259.55</c:v>
                </c:pt>
                <c:pt idx="4">
                  <c:v>40918.074999999997</c:v>
                </c:pt>
                <c:pt idx="5">
                  <c:v>55261.525000000001</c:v>
                </c:pt>
                <c:pt idx="6">
                  <c:v>35693.599999999999</c:v>
                </c:pt>
                <c:pt idx="7">
                  <c:v>15588.025</c:v>
                </c:pt>
                <c:pt idx="8">
                  <c:v>9638.65</c:v>
                </c:pt>
                <c:pt idx="9">
                  <c:v>14278.375</c:v>
                </c:pt>
                <c:pt idx="10">
                  <c:v>13517.6</c:v>
                </c:pt>
                <c:pt idx="11">
                  <c:v>17210.974999999999</c:v>
                </c:pt>
                <c:pt idx="12">
                  <c:v>26083.525000000001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336.55</c:v>
                </c:pt>
                <c:pt idx="1">
                  <c:v>485.85</c:v>
                </c:pt>
                <c:pt idx="2">
                  <c:v>367.02499999999998</c:v>
                </c:pt>
                <c:pt idx="3">
                  <c:v>136.5</c:v>
                </c:pt>
                <c:pt idx="4">
                  <c:v>765.1</c:v>
                </c:pt>
                <c:pt idx="5">
                  <c:v>17</c:v>
                </c:pt>
                <c:pt idx="6">
                  <c:v>461.27499999999998</c:v>
                </c:pt>
                <c:pt idx="7">
                  <c:v>424</c:v>
                </c:pt>
                <c:pt idx="8">
                  <c:v>44.6</c:v>
                </c:pt>
                <c:pt idx="9">
                  <c:v>142.15</c:v>
                </c:pt>
                <c:pt idx="10">
                  <c:v>382.25</c:v>
                </c:pt>
                <c:pt idx="11">
                  <c:v>334.7</c:v>
                </c:pt>
                <c:pt idx="12">
                  <c:v>675.3</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57096.4</c:v>
                </c:pt>
                <c:pt idx="1">
                  <c:v>57520.25</c:v>
                </c:pt>
                <c:pt idx="2">
                  <c:v>40508.199999999997</c:v>
                </c:pt>
                <c:pt idx="3">
                  <c:v>40637.15</c:v>
                </c:pt>
                <c:pt idx="4">
                  <c:v>50389.4</c:v>
                </c:pt>
                <c:pt idx="5">
                  <c:v>53214.7</c:v>
                </c:pt>
                <c:pt idx="6">
                  <c:v>66433.399999999994</c:v>
                </c:pt>
                <c:pt idx="7">
                  <c:v>60650.9</c:v>
                </c:pt>
                <c:pt idx="8">
                  <c:v>30223.3</c:v>
                </c:pt>
                <c:pt idx="9">
                  <c:v>10803.025</c:v>
                </c:pt>
                <c:pt idx="10">
                  <c:v>29063.4</c:v>
                </c:pt>
                <c:pt idx="11">
                  <c:v>33584.800000000003</c:v>
                </c:pt>
                <c:pt idx="12">
                  <c:v>50212.175000000003</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162821.57500000001</c:v>
                </c:pt>
                <c:pt idx="1">
                  <c:v>154544.22500000001</c:v>
                </c:pt>
                <c:pt idx="2">
                  <c:v>104938.175</c:v>
                </c:pt>
                <c:pt idx="3">
                  <c:v>76241.225000000006</c:v>
                </c:pt>
                <c:pt idx="4">
                  <c:v>101824.35</c:v>
                </c:pt>
                <c:pt idx="5">
                  <c:v>121282.75</c:v>
                </c:pt>
                <c:pt idx="6">
                  <c:v>183823.9</c:v>
                </c:pt>
                <c:pt idx="7">
                  <c:v>142915.9</c:v>
                </c:pt>
                <c:pt idx="8">
                  <c:v>40362.474999999999</c:v>
                </c:pt>
                <c:pt idx="9">
                  <c:v>27645.625</c:v>
                </c:pt>
                <c:pt idx="10">
                  <c:v>78708.975000000006</c:v>
                </c:pt>
                <c:pt idx="11">
                  <c:v>84855.975000000006</c:v>
                </c:pt>
                <c:pt idx="12">
                  <c:v>132430.125</c:v>
                </c:pt>
              </c:numCache>
            </c:numRef>
          </c:val>
          <c:extLst>
            <c:ext xmlns:c16="http://schemas.microsoft.com/office/drawing/2014/chart" uri="{C3380CC4-5D6E-409C-BE32-E72D297353CC}">
              <c16:uniqueId val="{00000004-1D9B-4F90-B2B2-4825475971A1}"/>
            </c:ext>
          </c:extLst>
        </c:ser>
        <c:ser>
          <c:idx val="5"/>
          <c:order val="6"/>
          <c:tx>
            <c:strRef>
              <c:f>Dat_01!$B$288</c:f>
              <c:strCache>
                <c:ptCount val="1"/>
                <c:pt idx="0">
                  <c:v>Hidráulica</c:v>
                </c:pt>
              </c:strCache>
            </c:strRef>
          </c:tx>
          <c:spPr>
            <a:solidFill>
              <a:srgbClr val="0090D1"/>
            </a:solidFill>
            <a:ln>
              <a:noFill/>
            </a:ln>
            <a:effectLst/>
          </c:spPr>
          <c:invertIfNegative val="0"/>
          <c:val>
            <c:numRef>
              <c:f>Dat_01!$C$288:$O$288</c:f>
              <c:numCache>
                <c:formatCode>#,##0.0</c:formatCode>
                <c:ptCount val="13"/>
                <c:pt idx="0">
                  <c:v>29122.674999999999</c:v>
                </c:pt>
                <c:pt idx="1">
                  <c:v>48937.175000000003</c:v>
                </c:pt>
                <c:pt idx="2">
                  <c:v>28066.5</c:v>
                </c:pt>
                <c:pt idx="3">
                  <c:v>55051.875</c:v>
                </c:pt>
                <c:pt idx="4">
                  <c:v>49899.25</c:v>
                </c:pt>
                <c:pt idx="5">
                  <c:v>69284.95</c:v>
                </c:pt>
                <c:pt idx="6">
                  <c:v>84328.975000000006</c:v>
                </c:pt>
                <c:pt idx="7">
                  <c:v>66921.95</c:v>
                </c:pt>
                <c:pt idx="8">
                  <c:v>28568.724999999999</c:v>
                </c:pt>
                <c:pt idx="9">
                  <c:v>34246.75</c:v>
                </c:pt>
                <c:pt idx="10">
                  <c:v>23127.05</c:v>
                </c:pt>
                <c:pt idx="11">
                  <c:v>12644.575000000001</c:v>
                </c:pt>
                <c:pt idx="12">
                  <c:v>32428.275000000001</c:v>
                </c:pt>
              </c:numCache>
            </c:numRef>
          </c:val>
          <c:extLst>
            <c:ext xmlns:c16="http://schemas.microsoft.com/office/drawing/2014/chart" uri="{C3380CC4-5D6E-409C-BE32-E72D297353CC}">
              <c16:uniqueId val="{00000005-1D9B-4F90-B2B2-4825475971A1}"/>
            </c:ext>
          </c:extLst>
        </c:ser>
        <c:ser>
          <c:idx val="6"/>
          <c:order val="7"/>
          <c:tx>
            <c:strRef>
              <c:f>Dat_01!$B$291</c:f>
              <c:strCache>
                <c:ptCount val="1"/>
                <c:pt idx="0">
                  <c:v>Nuclear</c:v>
                </c:pt>
              </c:strCache>
            </c:strRef>
          </c:tx>
          <c:spPr>
            <a:solidFill>
              <a:srgbClr val="464394"/>
            </a:solidFill>
            <a:ln>
              <a:noFill/>
            </a:ln>
            <a:effectLst/>
          </c:spPr>
          <c:invertIfNegative val="0"/>
          <c:val>
            <c:numRef>
              <c:f>Dat_01!$C$291:$O$291</c:f>
              <c:numCache>
                <c:formatCode>#,##0.0</c:formatCode>
                <c:ptCount val="13"/>
                <c:pt idx="0">
                  <c:v>120</c:v>
                </c:pt>
                <c:pt idx="1">
                  <c:v>0</c:v>
                </c:pt>
                <c:pt idx="2">
                  <c:v>175.97499999999999</c:v>
                </c:pt>
                <c:pt idx="3">
                  <c:v>243.75</c:v>
                </c:pt>
                <c:pt idx="4">
                  <c:v>855.6</c:v>
                </c:pt>
                <c:pt idx="5">
                  <c:v>2488.5</c:v>
                </c:pt>
                <c:pt idx="6">
                  <c:v>368.6</c:v>
                </c:pt>
                <c:pt idx="7">
                  <c:v>1670.625</c:v>
                </c:pt>
                <c:pt idx="8">
                  <c:v>4390.55</c:v>
                </c:pt>
                <c:pt idx="9">
                  <c:v>1115.9000000000001</c:v>
                </c:pt>
                <c:pt idx="10">
                  <c:v>0</c:v>
                </c:pt>
                <c:pt idx="11">
                  <c:v>33</c:v>
                </c:pt>
                <c:pt idx="12">
                  <c:v>321.97500000000002</c:v>
                </c:pt>
              </c:numCache>
            </c:numRef>
          </c:val>
          <c:extLst>
            <c:ext xmlns:c16="http://schemas.microsoft.com/office/drawing/2014/chart" uri="{C3380CC4-5D6E-409C-BE32-E72D297353CC}">
              <c16:uniqueId val="{00000006-1D9B-4F90-B2B2-4825475971A1}"/>
            </c:ext>
          </c:extLst>
        </c:ser>
        <c:ser>
          <c:idx val="13"/>
          <c:order val="8"/>
          <c:tx>
            <c:strRef>
              <c:f>Dat_01!$B$292</c:f>
              <c:strCache>
                <c:ptCount val="1"/>
                <c:pt idx="0">
                  <c:v>Otras Renovables</c:v>
                </c:pt>
              </c:strCache>
            </c:strRef>
          </c:tx>
          <c:spPr>
            <a:solidFill>
              <a:srgbClr val="9A5CBC"/>
            </a:solidFill>
            <a:ln>
              <a:noFill/>
            </a:ln>
            <a:effectLst/>
          </c:spPr>
          <c:invertIfNegative val="0"/>
          <c:val>
            <c:numRef>
              <c:f>Dat_01!$C$292:$O$292</c:f>
              <c:numCache>
                <c:formatCode>#,##0.0</c:formatCode>
                <c:ptCount val="13"/>
                <c:pt idx="0">
                  <c:v>335.75</c:v>
                </c:pt>
                <c:pt idx="1">
                  <c:v>196.5</c:v>
                </c:pt>
                <c:pt idx="2">
                  <c:v>252</c:v>
                </c:pt>
                <c:pt idx="3">
                  <c:v>18</c:v>
                </c:pt>
                <c:pt idx="4">
                  <c:v>51</c:v>
                </c:pt>
                <c:pt idx="5">
                  <c:v>147</c:v>
                </c:pt>
                <c:pt idx="6">
                  <c:v>6</c:v>
                </c:pt>
                <c:pt idx="7">
                  <c:v>406.75</c:v>
                </c:pt>
                <c:pt idx="8">
                  <c:v>112</c:v>
                </c:pt>
                <c:pt idx="9">
                  <c:v>60</c:v>
                </c:pt>
                <c:pt idx="10">
                  <c:v>17.5</c:v>
                </c:pt>
                <c:pt idx="11">
                  <c:v>210</c:v>
                </c:pt>
                <c:pt idx="12">
                  <c:v>36</c:v>
                </c:pt>
              </c:numCache>
            </c:numRef>
          </c:val>
          <c:extLst>
            <c:ext xmlns:c16="http://schemas.microsoft.com/office/drawing/2014/chart" uri="{C3380CC4-5D6E-409C-BE32-E72D297353CC}">
              <c16:uniqueId val="{00000001-6E0F-4B47-A32A-FEB6962B9CB2}"/>
            </c:ext>
          </c:extLst>
        </c:ser>
        <c:ser>
          <c:idx val="9"/>
          <c:order val="9"/>
          <c:tx>
            <c:strRef>
              <c:f>Dat_01!$B$294</c:f>
              <c:strCache>
                <c:ptCount val="1"/>
                <c:pt idx="0">
                  <c:v>Solar fotovoltaica</c:v>
                </c:pt>
              </c:strCache>
            </c:strRef>
          </c:tx>
          <c:spPr>
            <a:solidFill>
              <a:srgbClr val="EE6112"/>
            </a:solidFill>
            <a:ln>
              <a:noFill/>
            </a:ln>
            <a:effectLst/>
          </c:spPr>
          <c:invertIfNegative val="0"/>
          <c:val>
            <c:numRef>
              <c:f>Dat_01!$C$294:$O$294</c:f>
              <c:numCache>
                <c:formatCode>#,##0.0</c:formatCode>
                <c:ptCount val="13"/>
                <c:pt idx="0">
                  <c:v>54552.375</c:v>
                </c:pt>
                <c:pt idx="1">
                  <c:v>20732.650000000001</c:v>
                </c:pt>
                <c:pt idx="2">
                  <c:v>21085.15</c:v>
                </c:pt>
                <c:pt idx="3">
                  <c:v>18646.599999999999</c:v>
                </c:pt>
                <c:pt idx="4">
                  <c:v>23535.525000000001</c:v>
                </c:pt>
                <c:pt idx="5">
                  <c:v>42195.45</c:v>
                </c:pt>
                <c:pt idx="6">
                  <c:v>96803.75</c:v>
                </c:pt>
                <c:pt idx="7">
                  <c:v>144982.54999999999</c:v>
                </c:pt>
                <c:pt idx="8">
                  <c:v>92281.725000000006</c:v>
                </c:pt>
                <c:pt idx="9">
                  <c:v>30492.3</c:v>
                </c:pt>
                <c:pt idx="10">
                  <c:v>78426.2</c:v>
                </c:pt>
                <c:pt idx="11">
                  <c:v>114413.125</c:v>
                </c:pt>
                <c:pt idx="12">
                  <c:v>117703.4</c:v>
                </c:pt>
              </c:numCache>
            </c:numRef>
          </c:val>
          <c:extLst>
            <c:ext xmlns:c16="http://schemas.microsoft.com/office/drawing/2014/chart" uri="{C3380CC4-5D6E-409C-BE32-E72D297353CC}">
              <c16:uniqueId val="{00000007-1D9B-4F90-B2B2-4825475971A1}"/>
            </c:ext>
          </c:extLst>
        </c:ser>
        <c:ser>
          <c:idx val="10"/>
          <c:order val="10"/>
          <c:tx>
            <c:strRef>
              <c:f>Dat_01!$B$295</c:f>
              <c:strCache>
                <c:ptCount val="1"/>
                <c:pt idx="0">
                  <c:v>Solar térmica</c:v>
                </c:pt>
              </c:strCache>
            </c:strRef>
          </c:tx>
          <c:spPr>
            <a:solidFill>
              <a:srgbClr val="FF0000"/>
            </a:solidFill>
            <a:ln>
              <a:noFill/>
            </a:ln>
            <a:effectLst/>
          </c:spPr>
          <c:invertIfNegative val="0"/>
          <c:val>
            <c:numRef>
              <c:f>Dat_01!$C$295:$O$295</c:f>
              <c:numCache>
                <c:formatCode>#,##0.0</c:formatCode>
                <c:ptCount val="13"/>
                <c:pt idx="0">
                  <c:v>7491.5</c:v>
                </c:pt>
                <c:pt idx="1">
                  <c:v>13007.775</c:v>
                </c:pt>
                <c:pt idx="2">
                  <c:v>19087.900000000001</c:v>
                </c:pt>
                <c:pt idx="3">
                  <c:v>14697</c:v>
                </c:pt>
                <c:pt idx="4">
                  <c:v>17053.275000000001</c:v>
                </c:pt>
                <c:pt idx="5">
                  <c:v>17562.8</c:v>
                </c:pt>
                <c:pt idx="6">
                  <c:v>11071.275</c:v>
                </c:pt>
                <c:pt idx="7">
                  <c:v>9716.75</c:v>
                </c:pt>
                <c:pt idx="8">
                  <c:v>3151.25</c:v>
                </c:pt>
                <c:pt idx="9">
                  <c:v>3067.5</c:v>
                </c:pt>
                <c:pt idx="10">
                  <c:v>1371</c:v>
                </c:pt>
                <c:pt idx="11">
                  <c:v>1764.75</c:v>
                </c:pt>
                <c:pt idx="12">
                  <c:v>2619</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Dat_01!$B$296</c:f>
              <c:strCache>
                <c:ptCount val="1"/>
                <c:pt idx="0">
                  <c:v>Turbinación bombeo</c:v>
                </c:pt>
              </c:strCache>
            </c:strRef>
          </c:tx>
          <c:spPr>
            <a:solidFill>
              <a:schemeClr val="accent1">
                <a:lumMod val="80000"/>
                <a:lumOff val="20000"/>
              </a:schemeClr>
            </a:solidFill>
            <a:ln>
              <a:noFill/>
            </a:ln>
            <a:effectLst/>
          </c:spPr>
          <c:invertIfNegative val="0"/>
          <c:val>
            <c:numRef>
              <c:f>Dat_01!$C$296:$O$296</c:f>
              <c:numCache>
                <c:formatCode>#,##0.0</c:formatCode>
                <c:ptCount val="13"/>
                <c:pt idx="0">
                  <c:v>24462.5</c:v>
                </c:pt>
                <c:pt idx="1">
                  <c:v>27379.85</c:v>
                </c:pt>
                <c:pt idx="2">
                  <c:v>27583.724999999999</c:v>
                </c:pt>
                <c:pt idx="3">
                  <c:v>25957.25</c:v>
                </c:pt>
                <c:pt idx="4">
                  <c:v>46658.175000000003</c:v>
                </c:pt>
                <c:pt idx="5">
                  <c:v>51895.625</c:v>
                </c:pt>
                <c:pt idx="6">
                  <c:v>37795.15</c:v>
                </c:pt>
                <c:pt idx="7">
                  <c:v>27303.9</c:v>
                </c:pt>
                <c:pt idx="8">
                  <c:v>14841.9</c:v>
                </c:pt>
                <c:pt idx="9">
                  <c:v>10692.35</c:v>
                </c:pt>
                <c:pt idx="10">
                  <c:v>13728.975</c:v>
                </c:pt>
                <c:pt idx="11">
                  <c:v>13260.225</c:v>
                </c:pt>
                <c:pt idx="12">
                  <c:v>20307.424999999999</c:v>
                </c:pt>
              </c:numCache>
            </c:numRef>
          </c:val>
          <c:extLst>
            <c:ext xmlns:c16="http://schemas.microsoft.com/office/drawing/2014/chart" uri="{C3380CC4-5D6E-409C-BE32-E72D297353CC}">
              <c16:uniqueId val="{00000001-5E88-4874-99F0-5BC45A3953B0}"/>
            </c:ext>
          </c:extLst>
        </c:ser>
        <c:ser>
          <c:idx val="14"/>
          <c:order val="12"/>
          <c:tx>
            <c:strRef>
              <c:f>Dat_01!$B$287</c:f>
              <c:strCache>
                <c:ptCount val="1"/>
                <c:pt idx="0">
                  <c:v>Hibridación</c:v>
                </c:pt>
              </c:strCache>
            </c:strRef>
          </c:tx>
          <c:spPr>
            <a:solidFill>
              <a:srgbClr val="28A064"/>
            </a:solidFill>
            <a:ln>
              <a:noFill/>
            </a:ln>
            <a:effectLst/>
          </c:spPr>
          <c:invertIfNegative val="0"/>
          <c:val>
            <c:numRef>
              <c:f>Dat_01!$C$287:$O$287</c:f>
              <c:numCache>
                <c:formatCode>#,##0.0</c:formatCode>
                <c:ptCount val="13"/>
                <c:pt idx="0">
                  <c:v>0</c:v>
                </c:pt>
                <c:pt idx="1">
                  <c:v>0</c:v>
                </c:pt>
                <c:pt idx="2">
                  <c:v>0</c:v>
                </c:pt>
                <c:pt idx="3">
                  <c:v>0</c:v>
                </c:pt>
                <c:pt idx="4">
                  <c:v>0</c:v>
                </c:pt>
                <c:pt idx="5">
                  <c:v>0</c:v>
                </c:pt>
                <c:pt idx="6">
                  <c:v>0</c:v>
                </c:pt>
                <c:pt idx="7">
                  <c:v>27</c:v>
                </c:pt>
                <c:pt idx="8">
                  <c:v>41.875</c:v>
                </c:pt>
                <c:pt idx="9">
                  <c:v>0</c:v>
                </c:pt>
                <c:pt idx="10">
                  <c:v>0</c:v>
                </c:pt>
                <c:pt idx="11">
                  <c:v>0</c:v>
                </c:pt>
                <c:pt idx="12">
                  <c:v>594.22500000000002</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Dat_01!$C$420:$O$420</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Dat_01!$C$418:$O$418</c:f>
              <c:numCache>
                <c:formatCode>#,##0.00</c:formatCode>
                <c:ptCount val="13"/>
                <c:pt idx="0">
                  <c:v>25.912088802</c:v>
                </c:pt>
                <c:pt idx="1">
                  <c:v>35.972563547599997</c:v>
                </c:pt>
                <c:pt idx="2">
                  <c:v>59.567486707100002</c:v>
                </c:pt>
                <c:pt idx="3">
                  <c:v>71.541896375299999</c:v>
                </c:pt>
                <c:pt idx="4">
                  <c:v>54.339434263699999</c:v>
                </c:pt>
                <c:pt idx="5">
                  <c:v>56.6349303597</c:v>
                </c:pt>
                <c:pt idx="6">
                  <c:v>3.8096046056000001</c:v>
                </c:pt>
                <c:pt idx="7">
                  <c:v>-1.4266996133000001</c:v>
                </c:pt>
                <c:pt idx="8">
                  <c:v>-4.0810580168000001</c:v>
                </c:pt>
                <c:pt idx="9">
                  <c:v>64.248668094300001</c:v>
                </c:pt>
                <c:pt idx="10">
                  <c:v>22.334454021199999</c:v>
                </c:pt>
                <c:pt idx="11">
                  <c:v>8.1725149182999992</c:v>
                </c:pt>
                <c:pt idx="12">
                  <c:v>13.4386992617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6757061352840057"/>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Dat_01!$B$261</c:f>
              <c:strCache>
                <c:ptCount val="1"/>
                <c:pt idx="0">
                  <c:v>Carbón</c:v>
                </c:pt>
              </c:strCache>
            </c:strRef>
          </c:tx>
          <c:spPr>
            <a:solidFill>
              <a:srgbClr val="993300"/>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Dat_01!$C$261:$O$261</c:f>
              <c:numCache>
                <c:formatCode>#,##0.0</c:formatCode>
                <c:ptCount val="13"/>
                <c:pt idx="0">
                  <c:v>127.5</c:v>
                </c:pt>
                <c:pt idx="1">
                  <c:v>362</c:v>
                </c:pt>
                <c:pt idx="2">
                  <c:v>1633</c:v>
                </c:pt>
                <c:pt idx="3">
                  <c:v>2088.5</c:v>
                </c:pt>
                <c:pt idx="4">
                  <c:v>693</c:v>
                </c:pt>
                <c:pt idx="5">
                  <c:v>260</c:v>
                </c:pt>
                <c:pt idx="6">
                  <c:v>897.77499999999998</c:v>
                </c:pt>
                <c:pt idx="7">
                  <c:v>298.75</c:v>
                </c:pt>
                <c:pt idx="8">
                  <c:v>0</c:v>
                </c:pt>
                <c:pt idx="9">
                  <c:v>45</c:v>
                </c:pt>
                <c:pt idx="10">
                  <c:v>75.974999999999994</c:v>
                </c:pt>
                <c:pt idx="11">
                  <c:v>0</c:v>
                </c:pt>
                <c:pt idx="12">
                  <c:v>140</c:v>
                </c:pt>
              </c:numCache>
            </c:numRef>
          </c:val>
          <c:extLst>
            <c:ext xmlns:c16="http://schemas.microsoft.com/office/drawing/2014/chart" uri="{C3380CC4-5D6E-409C-BE32-E72D297353CC}">
              <c16:uniqueId val="{00000000-FAA4-4CCE-8D4F-74A3A14856A0}"/>
            </c:ext>
          </c:extLst>
        </c:ser>
        <c:ser>
          <c:idx val="18"/>
          <c:order val="2"/>
          <c:tx>
            <c:strRef>
              <c:f>Dat_01!$B$262</c:f>
              <c:strCache>
                <c:ptCount val="1"/>
                <c:pt idx="0">
                  <c:v>Ciclo Combinado</c:v>
                </c:pt>
              </c:strCache>
            </c:strRef>
          </c:tx>
          <c:spPr>
            <a:solidFill>
              <a:srgbClr val="FFCC66"/>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Dat_01!$C$262:$O$262</c:f>
              <c:numCache>
                <c:formatCode>#,##0.0</c:formatCode>
                <c:ptCount val="13"/>
                <c:pt idx="0">
                  <c:v>125756.45</c:v>
                </c:pt>
                <c:pt idx="1">
                  <c:v>89216.125</c:v>
                </c:pt>
                <c:pt idx="2">
                  <c:v>197862.55</c:v>
                </c:pt>
                <c:pt idx="3">
                  <c:v>213803.25</c:v>
                </c:pt>
                <c:pt idx="4">
                  <c:v>129121.52499999999</c:v>
                </c:pt>
                <c:pt idx="5">
                  <c:v>119835.95</c:v>
                </c:pt>
                <c:pt idx="6">
                  <c:v>65766.524999999994</c:v>
                </c:pt>
                <c:pt idx="7">
                  <c:v>18888.825000000001</c:v>
                </c:pt>
                <c:pt idx="8">
                  <c:v>20152.424999999999</c:v>
                </c:pt>
                <c:pt idx="9">
                  <c:v>150562.97500000001</c:v>
                </c:pt>
                <c:pt idx="10">
                  <c:v>111394.65</c:v>
                </c:pt>
                <c:pt idx="11">
                  <c:v>161963.32500000001</c:v>
                </c:pt>
                <c:pt idx="12">
                  <c:v>74319.425000000003</c:v>
                </c:pt>
              </c:numCache>
            </c:numRef>
          </c:val>
          <c:extLst>
            <c:ext xmlns:c16="http://schemas.microsoft.com/office/drawing/2014/chart" uri="{C3380CC4-5D6E-409C-BE32-E72D297353CC}">
              <c16:uniqueId val="{00000001-FAA4-4CCE-8D4F-74A3A14856A0}"/>
            </c:ext>
          </c:extLst>
        </c:ser>
        <c:ser>
          <c:idx val="19"/>
          <c:order val="3"/>
          <c:tx>
            <c:strRef>
              <c:f>Dat_01!$B$263</c:f>
              <c:strCache>
                <c:ptCount val="1"/>
                <c:pt idx="0">
                  <c:v>Cogeneración</c:v>
                </c:pt>
              </c:strCache>
            </c:strRef>
          </c:tx>
          <c:spPr>
            <a:solidFill>
              <a:srgbClr val="CFA2CA"/>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Dat_01!$C$263:$O$263</c:f>
              <c:numCache>
                <c:formatCode>#,##0.0</c:formatCode>
                <c:ptCount val="13"/>
                <c:pt idx="0">
                  <c:v>14.25</c:v>
                </c:pt>
                <c:pt idx="1">
                  <c:v>24.5</c:v>
                </c:pt>
                <c:pt idx="2">
                  <c:v>6</c:v>
                </c:pt>
                <c:pt idx="3">
                  <c:v>2.75</c:v>
                </c:pt>
                <c:pt idx="4">
                  <c:v>0</c:v>
                </c:pt>
                <c:pt idx="5">
                  <c:v>0</c:v>
                </c:pt>
                <c:pt idx="6">
                  <c:v>99.275000000000006</c:v>
                </c:pt>
                <c:pt idx="7">
                  <c:v>7.25</c:v>
                </c:pt>
                <c:pt idx="8">
                  <c:v>35.174999999999997</c:v>
                </c:pt>
                <c:pt idx="9">
                  <c:v>74.724999999999994</c:v>
                </c:pt>
                <c:pt idx="10">
                  <c:v>111</c:v>
                </c:pt>
                <c:pt idx="11">
                  <c:v>60.625</c:v>
                </c:pt>
                <c:pt idx="12">
                  <c:v>75.25</c:v>
                </c:pt>
              </c:numCache>
            </c:numRef>
          </c:val>
          <c:extLst>
            <c:ext xmlns:c16="http://schemas.microsoft.com/office/drawing/2014/chart" uri="{C3380CC4-5D6E-409C-BE32-E72D297353CC}">
              <c16:uniqueId val="{00000002-FAA4-4CCE-8D4F-74A3A14856A0}"/>
            </c:ext>
          </c:extLst>
        </c:ser>
        <c:ser>
          <c:idx val="20"/>
          <c:order val="4"/>
          <c:tx>
            <c:strRef>
              <c:f>Dat_01!$B$264</c:f>
              <c:strCache>
                <c:ptCount val="1"/>
                <c:pt idx="0">
                  <c:v>Consumo Bombeo</c:v>
                </c:pt>
              </c:strCache>
            </c:strRef>
          </c:tx>
          <c:spPr>
            <a:solidFill>
              <a:srgbClr val="2C4D75"/>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Dat_01!$C$264:$O$264</c:f>
              <c:numCache>
                <c:formatCode>#,##0.0</c:formatCode>
                <c:ptCount val="13"/>
                <c:pt idx="0">
                  <c:v>7439.25</c:v>
                </c:pt>
                <c:pt idx="1">
                  <c:v>12368</c:v>
                </c:pt>
                <c:pt idx="2">
                  <c:v>6237.75</c:v>
                </c:pt>
                <c:pt idx="3">
                  <c:v>7032</c:v>
                </c:pt>
                <c:pt idx="4">
                  <c:v>12204.95</c:v>
                </c:pt>
                <c:pt idx="5">
                  <c:v>6649.75</c:v>
                </c:pt>
                <c:pt idx="6">
                  <c:v>13922</c:v>
                </c:pt>
                <c:pt idx="7">
                  <c:v>7157.5749999999998</c:v>
                </c:pt>
                <c:pt idx="8">
                  <c:v>13771.375</c:v>
                </c:pt>
                <c:pt idx="9">
                  <c:v>10233.450000000001</c:v>
                </c:pt>
                <c:pt idx="10">
                  <c:v>3364.5</c:v>
                </c:pt>
                <c:pt idx="11">
                  <c:v>4842.1000000000004</c:v>
                </c:pt>
                <c:pt idx="12">
                  <c:v>4681.25</c:v>
                </c:pt>
              </c:numCache>
            </c:numRef>
          </c:val>
          <c:extLst>
            <c:ext xmlns:c16="http://schemas.microsoft.com/office/drawing/2014/chart" uri="{C3380CC4-5D6E-409C-BE32-E72D297353CC}">
              <c16:uniqueId val="{00000003-FAA4-4CCE-8D4F-74A3A14856A0}"/>
            </c:ext>
          </c:extLst>
        </c:ser>
        <c:ser>
          <c:idx val="21"/>
          <c:order val="5"/>
          <c:tx>
            <c:strRef>
              <c:f>Dat_01!$B$266</c:f>
              <c:strCache>
                <c:ptCount val="1"/>
                <c:pt idx="0">
                  <c:v>Eólica</c:v>
                </c:pt>
              </c:strCache>
            </c:strRef>
          </c:tx>
          <c:spPr>
            <a:solidFill>
              <a:srgbClr val="70AD47"/>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Dat_01!$C$266:$O$266</c:f>
              <c:numCache>
                <c:formatCode>#,##0.0</c:formatCode>
                <c:ptCount val="13"/>
                <c:pt idx="0">
                  <c:v>10297.075000000001</c:v>
                </c:pt>
                <c:pt idx="1">
                  <c:v>17407.400000000001</c:v>
                </c:pt>
                <c:pt idx="2">
                  <c:v>18914.650000000001</c:v>
                </c:pt>
                <c:pt idx="3">
                  <c:v>19104.8</c:v>
                </c:pt>
                <c:pt idx="4">
                  <c:v>19423.2</c:v>
                </c:pt>
                <c:pt idx="5">
                  <c:v>12835.85</c:v>
                </c:pt>
                <c:pt idx="6">
                  <c:v>17127.724999999999</c:v>
                </c:pt>
                <c:pt idx="7">
                  <c:v>14921.8</c:v>
                </c:pt>
                <c:pt idx="8">
                  <c:v>16516.95</c:v>
                </c:pt>
                <c:pt idx="9">
                  <c:v>18618.8</c:v>
                </c:pt>
                <c:pt idx="10">
                  <c:v>14987.65</c:v>
                </c:pt>
                <c:pt idx="11">
                  <c:v>13106.95</c:v>
                </c:pt>
                <c:pt idx="12">
                  <c:v>8238.0249999999996</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Dat_01!$C$269:$O$269</c:f>
              <c:numCache>
                <c:formatCode>#,##0.0</c:formatCode>
                <c:ptCount val="13"/>
                <c:pt idx="0">
                  <c:v>15957.25</c:v>
                </c:pt>
                <c:pt idx="1">
                  <c:v>25102.724999999999</c:v>
                </c:pt>
                <c:pt idx="2">
                  <c:v>20039.8</c:v>
                </c:pt>
                <c:pt idx="3">
                  <c:v>26686.775000000001</c:v>
                </c:pt>
                <c:pt idx="4">
                  <c:v>30557.85</c:v>
                </c:pt>
                <c:pt idx="5">
                  <c:v>23615.575000000001</c:v>
                </c:pt>
                <c:pt idx="6">
                  <c:v>26903.4</c:v>
                </c:pt>
                <c:pt idx="7">
                  <c:v>24686.325000000001</c:v>
                </c:pt>
                <c:pt idx="8">
                  <c:v>20361.7</c:v>
                </c:pt>
                <c:pt idx="9">
                  <c:v>15819.9</c:v>
                </c:pt>
                <c:pt idx="10">
                  <c:v>27721.9</c:v>
                </c:pt>
                <c:pt idx="11">
                  <c:v>27274.55</c:v>
                </c:pt>
                <c:pt idx="12">
                  <c:v>9782.4750000000004</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Dat_01!$C$272:$O$272</c:f>
              <c:numCache>
                <c:formatCode>#,##0.0</c:formatCode>
                <c:ptCount val="13"/>
                <c:pt idx="0">
                  <c:v>0</c:v>
                </c:pt>
                <c:pt idx="1">
                  <c:v>0</c:v>
                </c:pt>
                <c:pt idx="2">
                  <c:v>119.52500000000001</c:v>
                </c:pt>
                <c:pt idx="3">
                  <c:v>15.75</c:v>
                </c:pt>
                <c:pt idx="4">
                  <c:v>369.95</c:v>
                </c:pt>
                <c:pt idx="5">
                  <c:v>0</c:v>
                </c:pt>
                <c:pt idx="6">
                  <c:v>384.25</c:v>
                </c:pt>
                <c:pt idx="7">
                  <c:v>324.5</c:v>
                </c:pt>
                <c:pt idx="8">
                  <c:v>1562.875</c:v>
                </c:pt>
                <c:pt idx="9">
                  <c:v>1112.175</c:v>
                </c:pt>
                <c:pt idx="10">
                  <c:v>171.25</c:v>
                </c:pt>
                <c:pt idx="11">
                  <c:v>85</c:v>
                </c:pt>
                <c:pt idx="12">
                  <c:v>0.25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2</c:v>
                </c:pt>
                <c:pt idx="1">
                  <c:v>10</c:v>
                </c:pt>
                <c:pt idx="2">
                  <c:v>0</c:v>
                </c:pt>
                <c:pt idx="3">
                  <c:v>0</c:v>
                </c:pt>
                <c:pt idx="4">
                  <c:v>0</c:v>
                </c:pt>
                <c:pt idx="5">
                  <c:v>28</c:v>
                </c:pt>
                <c:pt idx="6">
                  <c:v>266.25</c:v>
                </c:pt>
                <c:pt idx="7">
                  <c:v>44.25</c:v>
                </c:pt>
                <c:pt idx="8">
                  <c:v>17.75</c:v>
                </c:pt>
                <c:pt idx="9">
                  <c:v>4</c:v>
                </c:pt>
                <c:pt idx="10">
                  <c:v>3</c:v>
                </c:pt>
                <c:pt idx="11">
                  <c:v>46.25</c:v>
                </c:pt>
                <c:pt idx="12">
                  <c:v>10.75</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Dat_01!$C$275:$O$275</c:f>
              <c:numCache>
                <c:formatCode>#,##0.0</c:formatCode>
                <c:ptCount val="13"/>
                <c:pt idx="0">
                  <c:v>3986.1750000000002</c:v>
                </c:pt>
                <c:pt idx="1">
                  <c:v>5834.9250000000002</c:v>
                </c:pt>
                <c:pt idx="2">
                  <c:v>8104.85</c:v>
                </c:pt>
                <c:pt idx="3">
                  <c:v>5803.45</c:v>
                </c:pt>
                <c:pt idx="4">
                  <c:v>4828.8</c:v>
                </c:pt>
                <c:pt idx="5">
                  <c:v>5984.15</c:v>
                </c:pt>
                <c:pt idx="6">
                  <c:v>6692.5249999999996</c:v>
                </c:pt>
                <c:pt idx="7">
                  <c:v>4274.6750000000002</c:v>
                </c:pt>
                <c:pt idx="8">
                  <c:v>6754.4</c:v>
                </c:pt>
                <c:pt idx="9">
                  <c:v>14755.35</c:v>
                </c:pt>
                <c:pt idx="10">
                  <c:v>7808.2749999999996</c:v>
                </c:pt>
                <c:pt idx="11">
                  <c:v>13868.125</c:v>
                </c:pt>
                <c:pt idx="12">
                  <c:v>5893.8</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Dat_01!$C$276:$O$276</c:f>
              <c:numCache>
                <c:formatCode>#,##0.0</c:formatCode>
                <c:ptCount val="13"/>
                <c:pt idx="0">
                  <c:v>100.75</c:v>
                </c:pt>
                <c:pt idx="1">
                  <c:v>79.5</c:v>
                </c:pt>
                <c:pt idx="2">
                  <c:v>169</c:v>
                </c:pt>
                <c:pt idx="3">
                  <c:v>76.75</c:v>
                </c:pt>
                <c:pt idx="4">
                  <c:v>103.5</c:v>
                </c:pt>
                <c:pt idx="5">
                  <c:v>86</c:v>
                </c:pt>
                <c:pt idx="6">
                  <c:v>265.75</c:v>
                </c:pt>
                <c:pt idx="7">
                  <c:v>984</c:v>
                </c:pt>
                <c:pt idx="8">
                  <c:v>815.25</c:v>
                </c:pt>
                <c:pt idx="9">
                  <c:v>770.25</c:v>
                </c:pt>
                <c:pt idx="10">
                  <c:v>864.57500000000005</c:v>
                </c:pt>
                <c:pt idx="11">
                  <c:v>907.3</c:v>
                </c:pt>
                <c:pt idx="12">
                  <c:v>575.5</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Dat_01!$C$277:$O$277</c:f>
              <c:numCache>
                <c:formatCode>#,##0.0</c:formatCode>
                <c:ptCount val="13"/>
                <c:pt idx="0">
                  <c:v>25155.45</c:v>
                </c:pt>
                <c:pt idx="1">
                  <c:v>19543.974999999999</c:v>
                </c:pt>
                <c:pt idx="2">
                  <c:v>11408.825000000001</c:v>
                </c:pt>
                <c:pt idx="3">
                  <c:v>14501.075000000001</c:v>
                </c:pt>
                <c:pt idx="4">
                  <c:v>15439.674999999999</c:v>
                </c:pt>
                <c:pt idx="5">
                  <c:v>8457.2749999999996</c:v>
                </c:pt>
                <c:pt idx="6">
                  <c:v>13758.475</c:v>
                </c:pt>
                <c:pt idx="7">
                  <c:v>13137.825000000001</c:v>
                </c:pt>
                <c:pt idx="8">
                  <c:v>16514.55</c:v>
                </c:pt>
                <c:pt idx="9">
                  <c:v>15115.8</c:v>
                </c:pt>
                <c:pt idx="10">
                  <c:v>6738.7</c:v>
                </c:pt>
                <c:pt idx="11">
                  <c:v>19303.125</c:v>
                </c:pt>
                <c:pt idx="12">
                  <c:v>6517.85</c:v>
                </c:pt>
              </c:numCache>
            </c:numRef>
          </c:val>
          <c:extLst>
            <c:ext xmlns:c16="http://schemas.microsoft.com/office/drawing/2014/chart" uri="{C3380CC4-5D6E-409C-BE32-E72D297353CC}">
              <c16:uniqueId val="{00000007-FAA4-4CCE-8D4F-74A3A14856A0}"/>
            </c:ext>
          </c:extLst>
        </c:ser>
        <c:ser>
          <c:idx val="6"/>
          <c:order val="12"/>
          <c:tx>
            <c:strRef>
              <c:f>Dat_01!$B$268</c:f>
              <c:strCache>
                <c:ptCount val="1"/>
                <c:pt idx="0">
                  <c:v>Hibridación</c:v>
                </c:pt>
              </c:strCache>
            </c:strRef>
          </c:tx>
          <c:spPr>
            <a:solidFill>
              <a:srgbClr val="28A064"/>
            </a:solidFill>
            <a:ln>
              <a:noFill/>
            </a:ln>
            <a:effectLst/>
          </c:spPr>
          <c:invertIfNegative val="0"/>
          <c:val>
            <c:numRef>
              <c:f>Dat_01!$C$268:$O$268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0.57499999999999996</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Dat_01!$B$260</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Dat_01!$C$256:$O$256</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Dat_01!$C$260:$O$260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17383.25</c:v>
                </c:pt>
                <c:pt idx="1">
                  <c:v>19175.525000000001</c:v>
                </c:pt>
                <c:pt idx="2">
                  <c:v>10980.45</c:v>
                </c:pt>
                <c:pt idx="3">
                  <c:v>9205.7000000000007</c:v>
                </c:pt>
                <c:pt idx="4">
                  <c:v>28796.799999999999</c:v>
                </c:pt>
                <c:pt idx="5">
                  <c:v>30971.184000000001</c:v>
                </c:pt>
                <c:pt idx="6">
                  <c:v>23083.05</c:v>
                </c:pt>
                <c:pt idx="7">
                  <c:v>24323</c:v>
                </c:pt>
                <c:pt idx="8">
                  <c:v>15956.517</c:v>
                </c:pt>
                <c:pt idx="9">
                  <c:v>10532.25</c:v>
                </c:pt>
                <c:pt idx="10">
                  <c:v>10383.450000000001</c:v>
                </c:pt>
                <c:pt idx="11">
                  <c:v>10664.65</c:v>
                </c:pt>
                <c:pt idx="12">
                  <c:v>13546.782999999999</c:v>
                </c:pt>
              </c:numCache>
            </c:numRef>
          </c:cat>
          <c:val>
            <c:numRef>
              <c:f>Dat_01!$C$414:$O$414</c:f>
              <c:numCache>
                <c:formatCode>#,##0.00</c:formatCode>
                <c:ptCount val="13"/>
                <c:pt idx="0">
                  <c:v>110.71596343</c:v>
                </c:pt>
                <c:pt idx="1">
                  <c:v>87.959738396199995</c:v>
                </c:pt>
                <c:pt idx="2">
                  <c:v>130.5386133415</c:v>
                </c:pt>
                <c:pt idx="3">
                  <c:v>147.46420178290001</c:v>
                </c:pt>
                <c:pt idx="4">
                  <c:v>132.73885826060001</c:v>
                </c:pt>
                <c:pt idx="5">
                  <c:v>118.5079301281</c:v>
                </c:pt>
                <c:pt idx="6">
                  <c:v>85.189289887900003</c:v>
                </c:pt>
                <c:pt idx="7">
                  <c:v>52.314215232599999</c:v>
                </c:pt>
                <c:pt idx="8">
                  <c:v>55.672629718300001</c:v>
                </c:pt>
                <c:pt idx="9">
                  <c:v>95.530108455900006</c:v>
                </c:pt>
                <c:pt idx="10">
                  <c:v>107.60287344539999</c:v>
                </c:pt>
                <c:pt idx="11">
                  <c:v>105.48086387319999</c:v>
                </c:pt>
                <c:pt idx="12">
                  <c:v>87.551958489200004</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17383.25</c:v>
                </c:pt>
                <c:pt idx="1">
                  <c:v>19175.525000000001</c:v>
                </c:pt>
                <c:pt idx="2">
                  <c:v>10980.45</c:v>
                </c:pt>
                <c:pt idx="3">
                  <c:v>9205.7000000000007</c:v>
                </c:pt>
                <c:pt idx="4">
                  <c:v>28796.799999999999</c:v>
                </c:pt>
                <c:pt idx="5">
                  <c:v>30971.184000000001</c:v>
                </c:pt>
                <c:pt idx="6">
                  <c:v>23083.05</c:v>
                </c:pt>
                <c:pt idx="7">
                  <c:v>24323</c:v>
                </c:pt>
                <c:pt idx="8">
                  <c:v>15956.517</c:v>
                </c:pt>
                <c:pt idx="9">
                  <c:v>10532.25</c:v>
                </c:pt>
                <c:pt idx="10">
                  <c:v>10383.450000000001</c:v>
                </c:pt>
                <c:pt idx="11">
                  <c:v>10664.65</c:v>
                </c:pt>
                <c:pt idx="12">
                  <c:v>13546.782999999999</c:v>
                </c:pt>
              </c:numCache>
            </c:numRef>
          </c:cat>
          <c:val>
            <c:numRef>
              <c:f>Dat_01!$C$420:$O$420</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Dat_01!$C$278:$O$278</c:f>
              <c:numCache>
                <c:formatCode>#,##0.0</c:formatCode>
                <c:ptCount val="13"/>
                <c:pt idx="0">
                  <c:v>188836.15</c:v>
                </c:pt>
                <c:pt idx="1">
                  <c:v>169949.15</c:v>
                </c:pt>
                <c:pt idx="2">
                  <c:v>264495.95</c:v>
                </c:pt>
                <c:pt idx="3">
                  <c:v>289115.09999999998</c:v>
                </c:pt>
                <c:pt idx="4">
                  <c:v>212742.45</c:v>
                </c:pt>
                <c:pt idx="5">
                  <c:v>177752.55</c:v>
                </c:pt>
                <c:pt idx="6">
                  <c:v>146083.95000000001</c:v>
                </c:pt>
                <c:pt idx="7">
                  <c:v>84725.774999999994</c:v>
                </c:pt>
                <c:pt idx="8">
                  <c:v>96502.45</c:v>
                </c:pt>
                <c:pt idx="9">
                  <c:v>227112.42499999999</c:v>
                </c:pt>
                <c:pt idx="10">
                  <c:v>173241.47500000001</c:v>
                </c:pt>
                <c:pt idx="11">
                  <c:v>241457.35</c:v>
                </c:pt>
                <c:pt idx="12">
                  <c:v>110235.15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Dat_01!$D$322:$P$322</c:f>
              <c:numCache>
                <c:formatCode>#,##0.0</c:formatCode>
                <c:ptCount val="13"/>
                <c:pt idx="0">
                  <c:v>3714</c:v>
                </c:pt>
                <c:pt idx="1">
                  <c:v>6616</c:v>
                </c:pt>
                <c:pt idx="2">
                  <c:v>11168.4</c:v>
                </c:pt>
                <c:pt idx="3">
                  <c:v>9655</c:v>
                </c:pt>
                <c:pt idx="4">
                  <c:v>18787</c:v>
                </c:pt>
                <c:pt idx="5">
                  <c:v>12671</c:v>
                </c:pt>
                <c:pt idx="6">
                  <c:v>13320.25</c:v>
                </c:pt>
                <c:pt idx="7">
                  <c:v>681.75</c:v>
                </c:pt>
                <c:pt idx="8">
                  <c:v>287.25</c:v>
                </c:pt>
                <c:pt idx="9">
                  <c:v>5295.4750000000004</c:v>
                </c:pt>
                <c:pt idx="10">
                  <c:v>2319</c:v>
                </c:pt>
                <c:pt idx="11">
                  <c:v>3809</c:v>
                </c:pt>
                <c:pt idx="12">
                  <c:v>515.75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Dat_01!$C$256:$O$256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Dat_01!$D$323:$P$323</c:f>
              <c:numCache>
                <c:formatCode>#,##0.0</c:formatCode>
                <c:ptCount val="13"/>
                <c:pt idx="0">
                  <c:v>104951</c:v>
                </c:pt>
                <c:pt idx="1">
                  <c:v>134927</c:v>
                </c:pt>
                <c:pt idx="2">
                  <c:v>91782</c:v>
                </c:pt>
                <c:pt idx="3">
                  <c:v>114637.2</c:v>
                </c:pt>
                <c:pt idx="4">
                  <c:v>67725.7</c:v>
                </c:pt>
                <c:pt idx="5">
                  <c:v>37653.699999999997</c:v>
                </c:pt>
                <c:pt idx="6">
                  <c:v>90855.824999999997</c:v>
                </c:pt>
                <c:pt idx="7">
                  <c:v>107349.6</c:v>
                </c:pt>
                <c:pt idx="8">
                  <c:v>45497.95</c:v>
                </c:pt>
                <c:pt idx="9">
                  <c:v>58107.324999999997</c:v>
                </c:pt>
                <c:pt idx="10">
                  <c:v>87431.875</c:v>
                </c:pt>
                <c:pt idx="11">
                  <c:v>151069.52499999999</c:v>
                </c:pt>
                <c:pt idx="12">
                  <c:v>169281.95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Dat_01!$B$315:$N$315</c:f>
              <c:numCache>
                <c:formatCode>#,##0.0</c:formatCode>
                <c:ptCount val="13"/>
                <c:pt idx="0">
                  <c:v>94718.25</c:v>
                </c:pt>
                <c:pt idx="1">
                  <c:v>109914.5</c:v>
                </c:pt>
                <c:pt idx="2">
                  <c:v>123489</c:v>
                </c:pt>
                <c:pt idx="3">
                  <c:v>186787.25</c:v>
                </c:pt>
                <c:pt idx="4">
                  <c:v>90348.25</c:v>
                </c:pt>
                <c:pt idx="5">
                  <c:v>44962.25</c:v>
                </c:pt>
                <c:pt idx="6">
                  <c:v>68619</c:v>
                </c:pt>
                <c:pt idx="7">
                  <c:v>41863.5</c:v>
                </c:pt>
                <c:pt idx="8">
                  <c:v>74085.75</c:v>
                </c:pt>
                <c:pt idx="9">
                  <c:v>181182</c:v>
                </c:pt>
                <c:pt idx="10">
                  <c:v>130987</c:v>
                </c:pt>
                <c:pt idx="11">
                  <c:v>228947.75</c:v>
                </c:pt>
                <c:pt idx="12">
                  <c:v>79264.25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Dat_01!$C$297:$O$297</c:f>
              <c:numCache>
                <c:formatCode>#,##0.0</c:formatCode>
                <c:ptCount val="13"/>
                <c:pt idx="0">
                  <c:v>360452.6</c:v>
                </c:pt>
                <c:pt idx="1">
                  <c:v>344476.7</c:v>
                </c:pt>
                <c:pt idx="2">
                  <c:v>262451.25</c:v>
                </c:pt>
                <c:pt idx="3">
                  <c:v>255089.65</c:v>
                </c:pt>
                <c:pt idx="4">
                  <c:v>332759.75</c:v>
                </c:pt>
                <c:pt idx="5">
                  <c:v>413482.3</c:v>
                </c:pt>
                <c:pt idx="6">
                  <c:v>516814.67499999999</c:v>
                </c:pt>
                <c:pt idx="7">
                  <c:v>470764.1</c:v>
                </c:pt>
                <c:pt idx="8">
                  <c:v>223657.05</c:v>
                </c:pt>
                <c:pt idx="9">
                  <c:v>132555.47500000001</c:v>
                </c:pt>
                <c:pt idx="10">
                  <c:v>238342.95</c:v>
                </c:pt>
                <c:pt idx="11">
                  <c:v>278312.125</c:v>
                </c:pt>
                <c:pt idx="12">
                  <c:v>383411.42499999999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Dat_01!$D$326:$P$326</c:f>
              <c:numCache>
                <c:formatCode>#,##0.0</c:formatCode>
                <c:ptCount val="13"/>
                <c:pt idx="0">
                  <c:v>30360.7</c:v>
                </c:pt>
                <c:pt idx="1">
                  <c:v>55216.2</c:v>
                </c:pt>
                <c:pt idx="2">
                  <c:v>55068</c:v>
                </c:pt>
                <c:pt idx="3">
                  <c:v>32982.699999999997</c:v>
                </c:pt>
                <c:pt idx="4">
                  <c:v>25033</c:v>
                </c:pt>
                <c:pt idx="5">
                  <c:v>30692</c:v>
                </c:pt>
                <c:pt idx="6">
                  <c:v>11006.25</c:v>
                </c:pt>
                <c:pt idx="7">
                  <c:v>7049</c:v>
                </c:pt>
                <c:pt idx="8">
                  <c:v>2391.75</c:v>
                </c:pt>
                <c:pt idx="9">
                  <c:v>1830.55</c:v>
                </c:pt>
                <c:pt idx="10">
                  <c:v>6831.75</c:v>
                </c:pt>
                <c:pt idx="11">
                  <c:v>22222.5</c:v>
                </c:pt>
                <c:pt idx="12">
                  <c:v>11528</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Dat_01!$D$327:$P$327</c:f>
              <c:numCache>
                <c:formatCode>#,##0.0</c:formatCode>
                <c:ptCount val="13"/>
                <c:pt idx="0">
                  <c:v>55114.6</c:v>
                </c:pt>
                <c:pt idx="1">
                  <c:v>85933.9</c:v>
                </c:pt>
                <c:pt idx="2">
                  <c:v>85446.1</c:v>
                </c:pt>
                <c:pt idx="3">
                  <c:v>61412.2</c:v>
                </c:pt>
                <c:pt idx="4">
                  <c:v>117100.4</c:v>
                </c:pt>
                <c:pt idx="5">
                  <c:v>135901.20000000001</c:v>
                </c:pt>
                <c:pt idx="6">
                  <c:v>69626.600000000006</c:v>
                </c:pt>
                <c:pt idx="7">
                  <c:v>72019.05</c:v>
                </c:pt>
                <c:pt idx="8">
                  <c:v>38927.1</c:v>
                </c:pt>
                <c:pt idx="9">
                  <c:v>57586.7</c:v>
                </c:pt>
                <c:pt idx="10">
                  <c:v>68132.399999999994</c:v>
                </c:pt>
                <c:pt idx="11">
                  <c:v>35923.474999999999</c:v>
                </c:pt>
                <c:pt idx="12">
                  <c:v>44227.425000000003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Dat_01!$B$316:$N$316</c:f>
              <c:numCache>
                <c:formatCode>#,##0.0</c:formatCode>
                <c:ptCount val="13"/>
                <c:pt idx="0">
                  <c:v>243145</c:v>
                </c:pt>
                <c:pt idx="1">
                  <c:v>284049</c:v>
                </c:pt>
                <c:pt idx="2">
                  <c:v>159008</c:v>
                </c:pt>
                <c:pt idx="3">
                  <c:v>122864.5</c:v>
                </c:pt>
                <c:pt idx="4">
                  <c:v>265986.25</c:v>
                </c:pt>
                <c:pt idx="5">
                  <c:v>396960.5</c:v>
                </c:pt>
                <c:pt idx="6">
                  <c:v>417916.5</c:v>
                </c:pt>
                <c:pt idx="7">
                  <c:v>399899.75</c:v>
                </c:pt>
                <c:pt idx="8">
                  <c:v>196774</c:v>
                </c:pt>
                <c:pt idx="9">
                  <c:v>82639.5</c:v>
                </c:pt>
                <c:pt idx="10">
                  <c:v>181301.75</c:v>
                </c:pt>
                <c:pt idx="11">
                  <c:v>169070</c:v>
                </c:pt>
                <c:pt idx="12">
                  <c:v>238398.25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120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1455.4469999999999</c:v>
                </c:pt>
                <c:pt idx="1">
                  <c:v>2701.1750000000002</c:v>
                </c:pt>
                <c:pt idx="2">
                  <c:v>217.3</c:v>
                </c:pt>
                <c:pt idx="3">
                  <c:v>8987.6</c:v>
                </c:pt>
                <c:pt idx="4">
                  <c:v>690.8</c:v>
                </c:pt>
                <c:pt idx="5">
                  <c:v>0</c:v>
                </c:pt>
                <c:pt idx="6">
                  <c:v>7.65</c:v>
                </c:pt>
                <c:pt idx="7">
                  <c:v>139.28299999999999</c:v>
                </c:pt>
                <c:pt idx="8">
                  <c:v>2.5000000000000001E-2</c:v>
                </c:pt>
                <c:pt idx="9">
                  <c:v>625.5</c:v>
                </c:pt>
                <c:pt idx="10">
                  <c:v>625.5</c:v>
                </c:pt>
                <c:pt idx="11">
                  <c:v>3000.125</c:v>
                </c:pt>
                <c:pt idx="12">
                  <c:v>1021.775</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847.53599999999994</c:v>
                </c:pt>
                <c:pt idx="1">
                  <c:v>1318.671</c:v>
                </c:pt>
                <c:pt idx="2">
                  <c:v>32.625</c:v>
                </c:pt>
                <c:pt idx="3">
                  <c:v>840.12099999999998</c:v>
                </c:pt>
                <c:pt idx="4">
                  <c:v>17.097000000000001</c:v>
                </c:pt>
                <c:pt idx="5">
                  <c:v>18.25</c:v>
                </c:pt>
                <c:pt idx="6">
                  <c:v>352.702</c:v>
                </c:pt>
                <c:pt idx="7">
                  <c:v>1314.1389999999999</c:v>
                </c:pt>
                <c:pt idx="8">
                  <c:v>893.82399999999996</c:v>
                </c:pt>
                <c:pt idx="9">
                  <c:v>2378.8139999999999</c:v>
                </c:pt>
                <c:pt idx="10">
                  <c:v>2378.8139999999999</c:v>
                </c:pt>
                <c:pt idx="11">
                  <c:v>6273.1949999999997</c:v>
                </c:pt>
                <c:pt idx="12">
                  <c:v>4302.4539999999997</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2673.65</c:v>
                </c:pt>
                <c:pt idx="1">
                  <c:v>11020.95</c:v>
                </c:pt>
                <c:pt idx="2">
                  <c:v>20239.797999999999</c:v>
                </c:pt>
                <c:pt idx="3">
                  <c:v>13384.6</c:v>
                </c:pt>
                <c:pt idx="4">
                  <c:v>14398.216</c:v>
                </c:pt>
                <c:pt idx="5">
                  <c:v>2875.8339999999998</c:v>
                </c:pt>
                <c:pt idx="6">
                  <c:v>1714.424</c:v>
                </c:pt>
                <c:pt idx="7">
                  <c:v>2159.3330000000001</c:v>
                </c:pt>
                <c:pt idx="8">
                  <c:v>5583.5</c:v>
                </c:pt>
                <c:pt idx="9">
                  <c:v>2946.4760000000001</c:v>
                </c:pt>
                <c:pt idx="10">
                  <c:v>2946.4760000000001</c:v>
                </c:pt>
                <c:pt idx="11">
                  <c:v>3981.25</c:v>
                </c:pt>
                <c:pt idx="12">
                  <c:v>6001.4319999999998</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30.225000000000001</c:v>
                </c:pt>
                <c:pt idx="7">
                  <c:v>42.7</c:v>
                </c:pt>
                <c:pt idx="8">
                  <c:v>0</c:v>
                </c:pt>
                <c:pt idx="9">
                  <c:v>0</c:v>
                </c:pt>
                <c:pt idx="10">
                  <c:v>0</c:v>
                </c:pt>
                <c:pt idx="11">
                  <c:v>17.925000000000001</c:v>
                </c:pt>
                <c:pt idx="12">
                  <c:v>13.3</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51036.108999999997</c:v>
                </c:pt>
                <c:pt idx="1">
                  <c:v>38607.135999999999</c:v>
                </c:pt>
                <c:pt idx="2">
                  <c:v>17134.645</c:v>
                </c:pt>
                <c:pt idx="3">
                  <c:v>29817.697</c:v>
                </c:pt>
                <c:pt idx="4">
                  <c:v>16272.343999999999</c:v>
                </c:pt>
                <c:pt idx="5">
                  <c:v>5190.7349999999997</c:v>
                </c:pt>
                <c:pt idx="6">
                  <c:v>21109.850999999999</c:v>
                </c:pt>
                <c:pt idx="7">
                  <c:v>10600.206</c:v>
                </c:pt>
                <c:pt idx="8">
                  <c:v>15107.638999999999</c:v>
                </c:pt>
                <c:pt idx="9">
                  <c:v>13384.953</c:v>
                </c:pt>
                <c:pt idx="10">
                  <c:v>13379.977999999999</c:v>
                </c:pt>
                <c:pt idx="11">
                  <c:v>131978.226</c:v>
                </c:pt>
                <c:pt idx="12">
                  <c:v>53466.71</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152.154</c:v>
                </c:pt>
                <c:pt idx="2">
                  <c:v>85.46</c:v>
                </c:pt>
                <c:pt idx="3">
                  <c:v>414.49799999999999</c:v>
                </c:pt>
                <c:pt idx="4">
                  <c:v>4.125</c:v>
                </c:pt>
                <c:pt idx="5">
                  <c:v>14.95</c:v>
                </c:pt>
                <c:pt idx="6">
                  <c:v>639.66700000000003</c:v>
                </c:pt>
                <c:pt idx="7">
                  <c:v>1319.4960000000001</c:v>
                </c:pt>
                <c:pt idx="8">
                  <c:v>943.077</c:v>
                </c:pt>
                <c:pt idx="9">
                  <c:v>2505.9189999999999</c:v>
                </c:pt>
                <c:pt idx="10">
                  <c:v>2505.9189999999999</c:v>
                </c:pt>
                <c:pt idx="11">
                  <c:v>4382.4769999999999</c:v>
                </c:pt>
                <c:pt idx="12">
                  <c:v>1433.252</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614.29399999999998</c:v>
                </c:pt>
                <c:pt idx="1">
                  <c:v>562.18100000000004</c:v>
                </c:pt>
                <c:pt idx="2">
                  <c:v>119.363</c:v>
                </c:pt>
                <c:pt idx="3">
                  <c:v>524.98400000000004</c:v>
                </c:pt>
                <c:pt idx="4">
                  <c:v>735.99199999999996</c:v>
                </c:pt>
                <c:pt idx="5">
                  <c:v>42.469000000000001</c:v>
                </c:pt>
                <c:pt idx="6">
                  <c:v>65.772999999999996</c:v>
                </c:pt>
                <c:pt idx="7">
                  <c:v>2249.5949999999998</c:v>
                </c:pt>
                <c:pt idx="8">
                  <c:v>2043.925</c:v>
                </c:pt>
                <c:pt idx="9">
                  <c:v>3560.598</c:v>
                </c:pt>
                <c:pt idx="10">
                  <c:v>3560.598</c:v>
                </c:pt>
                <c:pt idx="11">
                  <c:v>5141.28</c:v>
                </c:pt>
                <c:pt idx="12">
                  <c:v>5499.3530000000001</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1121.5920000000001</c:v>
                </c:pt>
                <c:pt idx="1">
                  <c:v>696.14200000000005</c:v>
                </c:pt>
                <c:pt idx="2">
                  <c:v>21.475000000000001</c:v>
                </c:pt>
                <c:pt idx="3">
                  <c:v>673.13300000000004</c:v>
                </c:pt>
                <c:pt idx="4">
                  <c:v>10.464</c:v>
                </c:pt>
                <c:pt idx="5">
                  <c:v>0</c:v>
                </c:pt>
                <c:pt idx="6">
                  <c:v>274.47500000000002</c:v>
                </c:pt>
                <c:pt idx="7">
                  <c:v>1254.827</c:v>
                </c:pt>
                <c:pt idx="8">
                  <c:v>1793.0419999999999</c:v>
                </c:pt>
                <c:pt idx="9">
                  <c:v>2355.221</c:v>
                </c:pt>
                <c:pt idx="10">
                  <c:v>2355.221</c:v>
                </c:pt>
                <c:pt idx="11">
                  <c:v>2418.8760000000002</c:v>
                </c:pt>
                <c:pt idx="12">
                  <c:v>1658.9880000000001</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c:v>
                </c:pt>
                <c:pt idx="1">
                  <c:v>6.06</c:v>
                </c:pt>
                <c:pt idx="2">
                  <c:v>0</c:v>
                </c:pt>
                <c:pt idx="3">
                  <c:v>0</c:v>
                </c:pt>
                <c:pt idx="4">
                  <c:v>0</c:v>
                </c:pt>
                <c:pt idx="5">
                  <c:v>0</c:v>
                </c:pt>
                <c:pt idx="6">
                  <c:v>0</c:v>
                </c:pt>
                <c:pt idx="7">
                  <c:v>0</c:v>
                </c:pt>
                <c:pt idx="8">
                  <c:v>0</c:v>
                </c:pt>
                <c:pt idx="9">
                  <c:v>122.68300000000001</c:v>
                </c:pt>
                <c:pt idx="10">
                  <c:v>122.68300000000001</c:v>
                </c:pt>
                <c:pt idx="11">
                  <c:v>1111.912</c:v>
                </c:pt>
                <c:pt idx="12">
                  <c:v>779.20500000000004</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4121.2039999999997</c:v>
                </c:pt>
                <c:pt idx="1">
                  <c:v>6669.0439999999999</c:v>
                </c:pt>
                <c:pt idx="2">
                  <c:v>4289.0709999999999</c:v>
                </c:pt>
                <c:pt idx="3">
                  <c:v>580.30200000000002</c:v>
                </c:pt>
                <c:pt idx="4">
                  <c:v>297.23099999999999</c:v>
                </c:pt>
                <c:pt idx="5">
                  <c:v>1129.2550000000001</c:v>
                </c:pt>
                <c:pt idx="6">
                  <c:v>38619.468999999997</c:v>
                </c:pt>
                <c:pt idx="7">
                  <c:v>36877.692000000003</c:v>
                </c:pt>
                <c:pt idx="8">
                  <c:v>51954.457000000002</c:v>
                </c:pt>
                <c:pt idx="9">
                  <c:v>132370.96599999999</c:v>
                </c:pt>
                <c:pt idx="10">
                  <c:v>223344.245</c:v>
                </c:pt>
                <c:pt idx="11">
                  <c:v>63965.084000000003</c:v>
                </c:pt>
                <c:pt idx="12">
                  <c:v>19560.11</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8695.57</c:v>
                </c:pt>
                <c:pt idx="1">
                  <c:v>685.92</c:v>
                </c:pt>
                <c:pt idx="2">
                  <c:v>0</c:v>
                </c:pt>
                <c:pt idx="3">
                  <c:v>12.4</c:v>
                </c:pt>
                <c:pt idx="4">
                  <c:v>102.47499999999999</c:v>
                </c:pt>
                <c:pt idx="5">
                  <c:v>151.67500000000001</c:v>
                </c:pt>
                <c:pt idx="6">
                  <c:v>2600.2660000000001</c:v>
                </c:pt>
                <c:pt idx="7">
                  <c:v>15191.608</c:v>
                </c:pt>
                <c:pt idx="8">
                  <c:v>25605.382000000001</c:v>
                </c:pt>
                <c:pt idx="9">
                  <c:v>37295.190999999999</c:v>
                </c:pt>
                <c:pt idx="10">
                  <c:v>32322.863000000001</c:v>
                </c:pt>
                <c:pt idx="11">
                  <c:v>16218.591</c:v>
                </c:pt>
                <c:pt idx="12">
                  <c:v>5669.5519999999997</c:v>
                </c:pt>
              </c:numCache>
            </c:numRef>
          </c:val>
          <c:extLst>
            <c:ext xmlns:c16="http://schemas.microsoft.com/office/drawing/2014/chart" uri="{C3380CC4-5D6E-409C-BE32-E72D297353CC}">
              <c16:uniqueId val="{00000009-7CA2-4EAD-A708-444D1CD632C6}"/>
            </c:ext>
          </c:extLst>
        </c:ser>
        <c:ser>
          <c:idx val="12"/>
          <c:order val="14"/>
          <c:tx>
            <c:strRef>
              <c:f>Dat_01!$B$375</c:f>
              <c:strCache>
                <c:ptCount val="1"/>
                <c:pt idx="0">
                  <c:v>Turbinación bombeo</c:v>
                </c:pt>
              </c:strCache>
            </c:strRef>
          </c:tx>
          <c:spPr>
            <a:solidFill>
              <a:srgbClr val="95B3D7"/>
            </a:solidFill>
            <a:ln>
              <a:noFill/>
            </a:ln>
            <a:effectLst/>
          </c:spPr>
          <c:invertIfNegative val="0"/>
          <c:val>
            <c:numRef>
              <c:f>Dat_01!$C$375:$O$375</c:f>
              <c:numCache>
                <c:formatCode>#,##0.0</c:formatCode>
                <c:ptCount val="13"/>
                <c:pt idx="0">
                  <c:v>996.77499999999998</c:v>
                </c:pt>
                <c:pt idx="1">
                  <c:v>3929.3</c:v>
                </c:pt>
                <c:pt idx="2">
                  <c:v>3606.1</c:v>
                </c:pt>
                <c:pt idx="3">
                  <c:v>4997.3999999999996</c:v>
                </c:pt>
                <c:pt idx="4">
                  <c:v>649.82500000000005</c:v>
                </c:pt>
                <c:pt idx="5">
                  <c:v>0</c:v>
                </c:pt>
                <c:pt idx="6">
                  <c:v>1116.925</c:v>
                </c:pt>
                <c:pt idx="7">
                  <c:v>147.36600000000001</c:v>
                </c:pt>
                <c:pt idx="8">
                  <c:v>3262.7249999999999</c:v>
                </c:pt>
                <c:pt idx="9">
                  <c:v>2493.3420000000001</c:v>
                </c:pt>
                <c:pt idx="10">
                  <c:v>31460.519</c:v>
                </c:pt>
                <c:pt idx="11">
                  <c:v>14627.808000000001</c:v>
                </c:pt>
                <c:pt idx="12">
                  <c:v>439.1</c:v>
                </c:pt>
              </c:numCache>
            </c:numRef>
          </c:val>
          <c:extLst>
            <c:ext xmlns:c16="http://schemas.microsoft.com/office/drawing/2014/chart" uri="{C3380CC4-5D6E-409C-BE32-E72D297353CC}">
              <c16:uniqueId val="{0000000A-7CA2-4EAD-A708-444D1CD632C6}"/>
            </c:ext>
          </c:extLst>
        </c:ser>
        <c:ser>
          <c:idx val="18"/>
          <c:order val="16"/>
          <c:tx>
            <c:strRef>
              <c:f>Dat_01!$B$374</c:f>
              <c:strCache>
                <c:ptCount val="1"/>
                <c:pt idx="0">
                  <c:v>Turbina Vapor, Gas y Fuel</c:v>
                </c:pt>
              </c:strCache>
            </c:strRef>
          </c:tx>
          <c:spPr>
            <a:solidFill>
              <a:srgbClr val="C00000"/>
            </a:solidFill>
            <a:ln>
              <a:noFill/>
            </a:ln>
            <a:effectLst/>
          </c:spPr>
          <c:invertIfNegative val="0"/>
          <c:val>
            <c:numRef>
              <c:f>Dat_01!$C$374:$O$374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3B6-4706-AEEA-707E451E4293}"/>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7"/>
          <c:tx>
            <c:v>Precio medio subir</c:v>
          </c:tx>
          <c:spPr>
            <a:ln w="28575" cap="rnd">
              <a:solidFill>
                <a:srgbClr val="004563"/>
              </a:solidFill>
              <a:round/>
            </a:ln>
            <a:effectLst/>
          </c:spPr>
          <c:marker>
            <c:symbol val="none"/>
          </c:marker>
          <c:val>
            <c:numRef>
              <c:f>Dat_01!$C$408:$O$408</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8"/>
          <c:tx>
            <c:v>Precio medio bajar</c:v>
          </c:tx>
          <c:spPr>
            <a:ln w="28575" cap="rnd">
              <a:solidFill>
                <a:srgbClr val="404040"/>
              </a:solidFill>
              <a:round/>
            </a:ln>
            <a:effectLst/>
          </c:spPr>
          <c:marker>
            <c:symbol val="none"/>
          </c:marker>
          <c:val>
            <c:numRef>
              <c:f>Dat_01!$C$405:$O$405</c:f>
              <c:numCache>
                <c:formatCode>#,##0.00</c:formatCode>
                <c:ptCount val="13"/>
                <c:pt idx="0">
                  <c:v>-16.474276763016899</c:v>
                </c:pt>
                <c:pt idx="1">
                  <c:v>6.6043489614488999</c:v>
                </c:pt>
                <c:pt idx="2">
                  <c:v>33.4109724621281</c:v>
                </c:pt>
                <c:pt idx="3">
                  <c:v>21.356870173270401</c:v>
                </c:pt>
                <c:pt idx="4">
                  <c:v>34.347338602035499</c:v>
                </c:pt>
                <c:pt idx="5">
                  <c:v>32.386280461199497</c:v>
                </c:pt>
                <c:pt idx="6">
                  <c:v>-105.857374548515</c:v>
                </c:pt>
                <c:pt idx="7">
                  <c:v>-151.95851905293199</c:v>
                </c:pt>
                <c:pt idx="8">
                  <c:v>-136.52684326860901</c:v>
                </c:pt>
                <c:pt idx="9">
                  <c:v>-87.967055702460598</c:v>
                </c:pt>
                <c:pt idx="10">
                  <c:v>-50.5990857585182</c:v>
                </c:pt>
                <c:pt idx="11">
                  <c:v>-36.745907028188597</c:v>
                </c:pt>
                <c:pt idx="12">
                  <c:v>-45.205144467913101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88816895712871868"/>
          <c:h val="0.202061404887011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Dat_01!$C$340:$O$340</c:f>
              <c:numCache>
                <c:formatCode>#,##0.0</c:formatCode>
                <c:ptCount val="13"/>
                <c:pt idx="0">
                  <c:v>6921</c:v>
                </c:pt>
                <c:pt idx="1">
                  <c:v>28142.167000000001</c:v>
                </c:pt>
                <c:pt idx="2">
                  <c:v>22436</c:v>
                </c:pt>
                <c:pt idx="3">
                  <c:v>15140</c:v>
                </c:pt>
                <c:pt idx="4">
                  <c:v>14285</c:v>
                </c:pt>
                <c:pt idx="5">
                  <c:v>20485</c:v>
                </c:pt>
                <c:pt idx="6">
                  <c:v>7623.75</c:v>
                </c:pt>
                <c:pt idx="7">
                  <c:v>3547.56</c:v>
                </c:pt>
                <c:pt idx="8">
                  <c:v>0</c:v>
                </c:pt>
                <c:pt idx="9">
                  <c:v>9705</c:v>
                </c:pt>
                <c:pt idx="10">
                  <c:v>3130</c:v>
                </c:pt>
                <c:pt idx="11">
                  <c:v>0</c:v>
                </c:pt>
                <c:pt idx="12">
                  <c:v>3588.75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Dat_01!$C$341:$O$341</c:f>
              <c:numCache>
                <c:formatCode>#,##0.0</c:formatCode>
                <c:ptCount val="13"/>
                <c:pt idx="0">
                  <c:v>430782.21600000001</c:v>
                </c:pt>
                <c:pt idx="1">
                  <c:v>609242.973</c:v>
                </c:pt>
                <c:pt idx="2">
                  <c:v>435419.359</c:v>
                </c:pt>
                <c:pt idx="3">
                  <c:v>394503.52399999998</c:v>
                </c:pt>
                <c:pt idx="4">
                  <c:v>451588.02500000002</c:v>
                </c:pt>
                <c:pt idx="5">
                  <c:v>797594.67099999997</c:v>
                </c:pt>
                <c:pt idx="6">
                  <c:v>640773.63699999999</c:v>
                </c:pt>
                <c:pt idx="7">
                  <c:v>339272.77500000002</c:v>
                </c:pt>
                <c:pt idx="8">
                  <c:v>190030.19</c:v>
                </c:pt>
                <c:pt idx="9">
                  <c:v>486259.94</c:v>
                </c:pt>
                <c:pt idx="10">
                  <c:v>438078.424</c:v>
                </c:pt>
                <c:pt idx="11">
                  <c:v>365275.30099999998</c:v>
                </c:pt>
                <c:pt idx="12">
                  <c:v>477418.69300000003</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Dat_01!$C$342:$O$342</c:f>
              <c:numCache>
                <c:formatCode>#,##0.0</c:formatCode>
                <c:ptCount val="13"/>
                <c:pt idx="0">
                  <c:v>0</c:v>
                </c:pt>
                <c:pt idx="1">
                  <c:v>1.546</c:v>
                </c:pt>
                <c:pt idx="2">
                  <c:v>0</c:v>
                </c:pt>
                <c:pt idx="3">
                  <c:v>0</c:v>
                </c:pt>
                <c:pt idx="4">
                  <c:v>0</c:v>
                </c:pt>
                <c:pt idx="5">
                  <c:v>0</c:v>
                </c:pt>
                <c:pt idx="6">
                  <c:v>0</c:v>
                </c:pt>
                <c:pt idx="7">
                  <c:v>0</c:v>
                </c:pt>
                <c:pt idx="8">
                  <c:v>48.424999999999997</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Dat_01!$C$343:$O$343</c:f>
              <c:numCache>
                <c:formatCode>#,##0.0</c:formatCode>
                <c:ptCount val="13"/>
                <c:pt idx="0">
                  <c:v>408.33300000000003</c:v>
                </c:pt>
                <c:pt idx="1">
                  <c:v>583</c:v>
                </c:pt>
                <c:pt idx="2">
                  <c:v>5128.25</c:v>
                </c:pt>
                <c:pt idx="3">
                  <c:v>267.5</c:v>
                </c:pt>
                <c:pt idx="4">
                  <c:v>1875</c:v>
                </c:pt>
                <c:pt idx="5">
                  <c:v>2238.683</c:v>
                </c:pt>
                <c:pt idx="6">
                  <c:v>5818.2749999999996</c:v>
                </c:pt>
                <c:pt idx="7">
                  <c:v>2631.1329999999998</c:v>
                </c:pt>
                <c:pt idx="8">
                  <c:v>948.5</c:v>
                </c:pt>
                <c:pt idx="9">
                  <c:v>12797.075000000001</c:v>
                </c:pt>
                <c:pt idx="10">
                  <c:v>12438.968000000001</c:v>
                </c:pt>
                <c:pt idx="11">
                  <c:v>7902.0079999999998</c:v>
                </c:pt>
                <c:pt idx="12">
                  <c:v>3616.067</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Dat_01!$C$344:$O$344</c:f>
              <c:numCache>
                <c:formatCode>#,##0.0</c:formatCode>
                <c:ptCount val="13"/>
                <c:pt idx="0">
                  <c:v>372</c:v>
                </c:pt>
                <c:pt idx="1">
                  <c:v>1567.5</c:v>
                </c:pt>
                <c:pt idx="2">
                  <c:v>190</c:v>
                </c:pt>
                <c:pt idx="3">
                  <c:v>102</c:v>
                </c:pt>
                <c:pt idx="4">
                  <c:v>40</c:v>
                </c:pt>
                <c:pt idx="5">
                  <c:v>1099.2</c:v>
                </c:pt>
                <c:pt idx="6">
                  <c:v>729.7</c:v>
                </c:pt>
                <c:pt idx="7">
                  <c:v>554.1</c:v>
                </c:pt>
                <c:pt idx="8">
                  <c:v>910.22500000000002</c:v>
                </c:pt>
                <c:pt idx="9">
                  <c:v>984</c:v>
                </c:pt>
                <c:pt idx="10">
                  <c:v>2865.4</c:v>
                </c:pt>
                <c:pt idx="11">
                  <c:v>1132.875</c:v>
                </c:pt>
                <c:pt idx="12">
                  <c:v>479.1</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Dat_01!$C$345:$O$345</c:f>
              <c:numCache>
                <c:formatCode>#,##0.0</c:formatCode>
                <c:ptCount val="13"/>
                <c:pt idx="0">
                  <c:v>116.667</c:v>
                </c:pt>
                <c:pt idx="1">
                  <c:v>0.17299999999999999</c:v>
                </c:pt>
                <c:pt idx="2">
                  <c:v>0</c:v>
                </c:pt>
                <c:pt idx="3">
                  <c:v>0</c:v>
                </c:pt>
                <c:pt idx="4">
                  <c:v>0</c:v>
                </c:pt>
                <c:pt idx="5">
                  <c:v>0</c:v>
                </c:pt>
                <c:pt idx="6">
                  <c:v>0</c:v>
                </c:pt>
                <c:pt idx="7">
                  <c:v>0</c:v>
                </c:pt>
                <c:pt idx="8">
                  <c:v>5.8</c:v>
                </c:pt>
                <c:pt idx="9">
                  <c:v>0</c:v>
                </c:pt>
                <c:pt idx="10">
                  <c:v>54.15</c:v>
                </c:pt>
                <c:pt idx="11">
                  <c:v>137.5</c:v>
                </c:pt>
                <c:pt idx="12">
                  <c:v>0</c:v>
                </c:pt>
              </c:numCache>
            </c:numRef>
          </c:val>
          <c:extLst>
            <c:ext xmlns:c16="http://schemas.microsoft.com/office/drawing/2014/chart" uri="{C3380CC4-5D6E-409C-BE32-E72D297353CC}">
              <c16:uniqueId val="{00000068-05DA-4902-9FAE-7020D488BF82}"/>
            </c:ext>
          </c:extLst>
        </c:ser>
        <c:ser>
          <c:idx val="5"/>
          <c:order val="6"/>
          <c:tx>
            <c:strRef>
              <c:f>Dat_01!$B$347</c:f>
              <c:strCache>
                <c:ptCount val="1"/>
                <c:pt idx="0">
                  <c:v>Hidráulica</c:v>
                </c:pt>
              </c:strCache>
            </c:strRef>
          </c:tx>
          <c:spPr>
            <a:solidFill>
              <a:srgbClr val="00B0F0"/>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Dat_01!$C$347:$O$347</c:f>
              <c:numCache>
                <c:formatCode>#,##0.0</c:formatCode>
                <c:ptCount val="13"/>
                <c:pt idx="0">
                  <c:v>0</c:v>
                </c:pt>
                <c:pt idx="1">
                  <c:v>51.587000000000003</c:v>
                </c:pt>
                <c:pt idx="2">
                  <c:v>0</c:v>
                </c:pt>
                <c:pt idx="3">
                  <c:v>138</c:v>
                </c:pt>
                <c:pt idx="4">
                  <c:v>0</c:v>
                </c:pt>
                <c:pt idx="5">
                  <c:v>2</c:v>
                </c:pt>
                <c:pt idx="6">
                  <c:v>481.66699999999997</c:v>
                </c:pt>
                <c:pt idx="7">
                  <c:v>5753.75</c:v>
                </c:pt>
                <c:pt idx="8">
                  <c:v>7951.9669999999996</c:v>
                </c:pt>
                <c:pt idx="9">
                  <c:v>7231.6369999999997</c:v>
                </c:pt>
                <c:pt idx="10">
                  <c:v>502</c:v>
                </c:pt>
                <c:pt idx="11">
                  <c:v>455</c:v>
                </c:pt>
                <c:pt idx="12">
                  <c:v>0</c:v>
                </c:pt>
              </c:numCache>
            </c:numRef>
          </c:val>
          <c:extLst>
            <c:ext xmlns:c16="http://schemas.microsoft.com/office/drawing/2014/chart" uri="{C3380CC4-5D6E-409C-BE32-E72D297353CC}">
              <c16:uniqueId val="{0000006A-05DA-4902-9FAE-7020D488BF82}"/>
            </c:ext>
          </c:extLst>
        </c:ser>
        <c:ser>
          <c:idx val="15"/>
          <c:order val="7"/>
          <c:tx>
            <c:strRef>
              <c:f>Dat_01!$B$349</c:f>
              <c:strCache>
                <c:ptCount val="1"/>
                <c:pt idx="0">
                  <c:v>Internacionales</c:v>
                </c:pt>
              </c:strCache>
            </c:strRef>
          </c:tx>
          <c:spPr>
            <a:solidFill>
              <a:schemeClr val="accent5">
                <a:lumMod val="60000"/>
                <a:lumOff val="40000"/>
              </a:schemeClr>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Dat_01!$C$349:$O$349</c:f>
              <c:numCache>
                <c:formatCode>#,##0.0</c:formatCode>
                <c:ptCount val="13"/>
                <c:pt idx="0">
                  <c:v>18.332999999999998</c:v>
                </c:pt>
                <c:pt idx="1">
                  <c:v>0</c:v>
                </c:pt>
                <c:pt idx="2">
                  <c:v>0</c:v>
                </c:pt>
                <c:pt idx="3">
                  <c:v>6190</c:v>
                </c:pt>
                <c:pt idx="4">
                  <c:v>0</c:v>
                </c:pt>
                <c:pt idx="5">
                  <c:v>0</c:v>
                </c:pt>
                <c:pt idx="6">
                  <c:v>0</c:v>
                </c:pt>
                <c:pt idx="7">
                  <c:v>0</c:v>
                </c:pt>
                <c:pt idx="8">
                  <c:v>0</c:v>
                </c:pt>
                <c:pt idx="9">
                  <c:v>801.6</c:v>
                </c:pt>
                <c:pt idx="10">
                  <c:v>0</c:v>
                </c:pt>
                <c:pt idx="11">
                  <c:v>471.21699999999998</c:v>
                </c:pt>
                <c:pt idx="12">
                  <c:v>0</c:v>
                </c:pt>
              </c:numCache>
            </c:numRef>
          </c:val>
          <c:extLst>
            <c:ext xmlns:c16="http://schemas.microsoft.com/office/drawing/2014/chart" uri="{C3380CC4-5D6E-409C-BE32-E72D297353CC}">
              <c16:uniqueId val="{0000006C-05DA-4902-9FAE-7020D488BF82}"/>
            </c:ext>
          </c:extLst>
        </c:ser>
        <c:ser>
          <c:idx val="6"/>
          <c:order val="8"/>
          <c:tx>
            <c:strRef>
              <c:f>Dat_01!$B$350</c:f>
              <c:strCache>
                <c:ptCount val="1"/>
                <c:pt idx="0">
                  <c:v>Nuclear</c:v>
                </c:pt>
              </c:strCache>
            </c:strRef>
          </c:tx>
          <c:spPr>
            <a:solidFill>
              <a:srgbClr val="9A5CBC"/>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Dat_01!$C$350:$O$350</c:f>
              <c:numCache>
                <c:formatCode>#,##0.0</c:formatCode>
                <c:ptCount val="13"/>
                <c:pt idx="0">
                  <c:v>0</c:v>
                </c:pt>
                <c:pt idx="1">
                  <c:v>4.1210000000000004</c:v>
                </c:pt>
                <c:pt idx="2">
                  <c:v>0</c:v>
                </c:pt>
                <c:pt idx="3">
                  <c:v>0</c:v>
                </c:pt>
                <c:pt idx="4">
                  <c:v>0</c:v>
                </c:pt>
                <c:pt idx="5">
                  <c:v>0</c:v>
                </c:pt>
                <c:pt idx="6">
                  <c:v>0</c:v>
                </c:pt>
                <c:pt idx="7">
                  <c:v>4387.5</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Dat_01!$B$351</c:f>
              <c:strCache>
                <c:ptCount val="1"/>
                <c:pt idx="0">
                  <c:v>Otras Renovables</c:v>
                </c:pt>
              </c:strCache>
            </c:strRef>
          </c:tx>
          <c:spPr>
            <a:solidFill>
              <a:srgbClr val="7F7F7F"/>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Dat_01!$C$351:$O$351</c:f>
              <c:numCache>
                <c:formatCode>#,##0.0</c:formatCode>
                <c:ptCount val="13"/>
                <c:pt idx="0">
                  <c:v>0</c:v>
                </c:pt>
                <c:pt idx="1">
                  <c:v>17.093</c:v>
                </c:pt>
                <c:pt idx="2">
                  <c:v>0</c:v>
                </c:pt>
                <c:pt idx="3">
                  <c:v>0</c:v>
                </c:pt>
                <c:pt idx="4">
                  <c:v>0</c:v>
                </c:pt>
                <c:pt idx="5">
                  <c:v>0</c:v>
                </c:pt>
                <c:pt idx="6">
                  <c:v>6</c:v>
                </c:pt>
                <c:pt idx="7">
                  <c:v>0</c:v>
                </c:pt>
                <c:pt idx="8">
                  <c:v>5.5</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Dat_01!$B$352</c:f>
              <c:strCache>
                <c:ptCount val="1"/>
                <c:pt idx="0">
                  <c:v>Residuos no Renovables</c:v>
                </c:pt>
              </c:strCache>
            </c:strRef>
          </c:tx>
          <c:spPr>
            <a:solidFill>
              <a:srgbClr val="ED7D31"/>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Dat_01!$B$353</c:f>
              <c:strCache>
                <c:ptCount val="1"/>
                <c:pt idx="0">
                  <c:v>Solar fotovoltaica</c:v>
                </c:pt>
              </c:strCache>
            </c:strRef>
          </c:tx>
          <c:spPr>
            <a:solidFill>
              <a:srgbClr val="FF0000"/>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Dat_01!$C$353:$O$353</c:f>
              <c:numCache>
                <c:formatCode>#,##0.0</c:formatCode>
                <c:ptCount val="13"/>
                <c:pt idx="0">
                  <c:v>0</c:v>
                </c:pt>
                <c:pt idx="1">
                  <c:v>0.44</c:v>
                </c:pt>
                <c:pt idx="2">
                  <c:v>0</c:v>
                </c:pt>
                <c:pt idx="3">
                  <c:v>0</c:v>
                </c:pt>
                <c:pt idx="4">
                  <c:v>0.27500000000000002</c:v>
                </c:pt>
                <c:pt idx="5">
                  <c:v>0</c:v>
                </c:pt>
                <c:pt idx="6">
                  <c:v>0.17499999999999999</c:v>
                </c:pt>
                <c:pt idx="7">
                  <c:v>0</c:v>
                </c:pt>
                <c:pt idx="8">
                  <c:v>3.5</c:v>
                </c:pt>
                <c:pt idx="9">
                  <c:v>1.425</c:v>
                </c:pt>
                <c:pt idx="10">
                  <c:v>0.75</c:v>
                </c:pt>
                <c:pt idx="11">
                  <c:v>3.6749999999999998</c:v>
                </c:pt>
                <c:pt idx="12">
                  <c:v>0</c:v>
                </c:pt>
              </c:numCache>
            </c:numRef>
          </c:val>
          <c:extLst>
            <c:ext xmlns:c16="http://schemas.microsoft.com/office/drawing/2014/chart" uri="{C3380CC4-5D6E-409C-BE32-E72D297353CC}">
              <c16:uniqueId val="{00000074-05DA-4902-9FAE-7020D488BF82}"/>
            </c:ext>
          </c:extLst>
        </c:ser>
        <c:ser>
          <c:idx val="12"/>
          <c:order val="12"/>
          <c:tx>
            <c:strRef>
              <c:f>Dat_01!$B$354</c:f>
              <c:strCache>
                <c:ptCount val="1"/>
                <c:pt idx="0">
                  <c:v>Solar térmica</c:v>
                </c:pt>
              </c:strCache>
            </c:strRef>
          </c:tx>
          <c:spPr>
            <a:solidFill>
              <a:srgbClr val="95B3D7"/>
            </a:solidFill>
            <a:ln>
              <a:noFill/>
            </a:ln>
            <a:effectLst/>
          </c:spPr>
          <c:invertIfNegative val="0"/>
          <c:cat>
            <c:strRef>
              <c:f>Dat_01!$C$335:$O$335</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110</c:v>
                </c:pt>
                <c:pt idx="1">
                  <c:v>458.57299999999998</c:v>
                </c:pt>
                <c:pt idx="2">
                  <c:v>850</c:v>
                </c:pt>
                <c:pt idx="3">
                  <c:v>540.75</c:v>
                </c:pt>
                <c:pt idx="4">
                  <c:v>66.5</c:v>
                </c:pt>
                <c:pt idx="5">
                  <c:v>1200</c:v>
                </c:pt>
                <c:pt idx="6">
                  <c:v>1179.3330000000001</c:v>
                </c:pt>
                <c:pt idx="7">
                  <c:v>497.25</c:v>
                </c:pt>
                <c:pt idx="8">
                  <c:v>325</c:v>
                </c:pt>
                <c:pt idx="9">
                  <c:v>860</c:v>
                </c:pt>
                <c:pt idx="10">
                  <c:v>2186.4</c:v>
                </c:pt>
                <c:pt idx="11">
                  <c:v>4850.1750000000002</c:v>
                </c:pt>
                <c:pt idx="12">
                  <c:v>9429.009</c:v>
                </c:pt>
              </c:numCache>
            </c:numRef>
          </c:val>
          <c:extLst>
            <c:ext xmlns:c16="http://schemas.microsoft.com/office/drawing/2014/chart" uri="{C3380CC4-5D6E-409C-BE32-E72D297353CC}">
              <c16:uniqueId val="{00000000-7E6A-4DA1-8B41-9F54BBC1A5D8}"/>
            </c:ext>
          </c:extLst>
        </c:ser>
        <c:ser>
          <c:idx val="16"/>
          <c:order val="14"/>
          <c:tx>
            <c:strRef>
              <c:f>Dat_01!$B$346</c:f>
              <c:strCache>
                <c:ptCount val="1"/>
                <c:pt idx="0">
                  <c:v>Hibridación</c:v>
                </c:pt>
              </c:strCache>
            </c:strRef>
          </c:tx>
          <c:spPr>
            <a:solidFill>
              <a:srgbClr val="28A064"/>
            </a:solidFill>
            <a:ln>
              <a:noFill/>
            </a:ln>
          </c:spPr>
          <c:invertIfNegative val="0"/>
          <c:val>
            <c:numRef>
              <c:f>Dat_01!$C$346:$O$346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ser>
          <c:idx val="17"/>
          <c:order val="15"/>
          <c:tx>
            <c:strRef>
              <c:f>Dat_01!$B$355</c:f>
              <c:strCache>
                <c:ptCount val="1"/>
                <c:pt idx="0">
                  <c:v>Turbina Vapor, Gas y Fuel</c:v>
                </c:pt>
              </c:strCache>
            </c:strRef>
          </c:tx>
          <c:spPr>
            <a:solidFill>
              <a:srgbClr val="C00000"/>
            </a:solidFill>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22</c:v>
                </c:pt>
                <c:pt idx="11">
                  <c:v>0</c:v>
                </c:pt>
                <c:pt idx="12">
                  <c:v>0</c:v>
                </c:pt>
              </c:numCache>
            </c:numRef>
          </c:val>
          <c:extLst>
            <c:ext xmlns:c16="http://schemas.microsoft.com/office/drawing/2014/chart" uri="{C3380CC4-5D6E-409C-BE32-E72D297353CC}">
              <c16:uniqueId val="{00000001-2D03-4243-8359-67B7EC5AE60B}"/>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6"/>
          <c:tx>
            <c:v>Precio medio subir</c:v>
          </c:tx>
          <c:spPr>
            <a:ln w="28575" cap="rnd">
              <a:solidFill>
                <a:srgbClr val="004563"/>
              </a:solidFill>
              <a:round/>
            </a:ln>
            <a:effectLst/>
          </c:spPr>
          <c:marker>
            <c:symbol val="none"/>
          </c:marker>
          <c:cat>
            <c:numRef>
              <c:f>Dat_01!$C$311:$O$311</c:f>
              <c:numCache>
                <c:formatCode>General</c:formatCode>
                <c:ptCount val="13"/>
              </c:numCache>
            </c:numRef>
          </c:cat>
          <c:val>
            <c:numRef>
              <c:f>Dat_01!$C$403:$O$403</c:f>
              <c:numCache>
                <c:formatCode>#,##0.00</c:formatCode>
                <c:ptCount val="13"/>
                <c:pt idx="0">
                  <c:v>250.48584114369999</c:v>
                </c:pt>
                <c:pt idx="1">
                  <c:v>255.87395143929999</c:v>
                </c:pt>
                <c:pt idx="2">
                  <c:v>282.72443626889998</c:v>
                </c:pt>
                <c:pt idx="3">
                  <c:v>303.92478247470001</c:v>
                </c:pt>
                <c:pt idx="4">
                  <c:v>295.84538470059999</c:v>
                </c:pt>
                <c:pt idx="5">
                  <c:v>305.10105866020001</c:v>
                </c:pt>
                <c:pt idx="6">
                  <c:v>264.47613594680001</c:v>
                </c:pt>
                <c:pt idx="7">
                  <c:v>244.68431349319999</c:v>
                </c:pt>
                <c:pt idx="8">
                  <c:v>220.95676674020001</c:v>
                </c:pt>
                <c:pt idx="9">
                  <c:v>219.1372056612</c:v>
                </c:pt>
                <c:pt idx="10">
                  <c:v>200.37973579199999</c:v>
                </c:pt>
                <c:pt idx="11">
                  <c:v>209.21789351460001</c:v>
                </c:pt>
                <c:pt idx="12">
                  <c:v>232.59996176300001</c:v>
                </c:pt>
              </c:numCache>
            </c:numRef>
          </c:val>
          <c:smooth val="0"/>
          <c:extLst>
            <c:ext xmlns:c16="http://schemas.microsoft.com/office/drawing/2014/chart" uri="{C3380CC4-5D6E-409C-BE32-E72D297353CC}">
              <c16:uniqueId val="{00000078-05DA-4902-9FAE-7020D488BF82}"/>
            </c:ext>
          </c:extLst>
        </c:ser>
        <c:ser>
          <c:idx val="2"/>
          <c:order val="17"/>
          <c:tx>
            <c:v>Precio medio a bajar</c:v>
          </c:tx>
          <c:spPr>
            <a:ln w="28575" cap="rnd">
              <a:solidFill>
                <a:srgbClr val="404040"/>
              </a:solidFill>
              <a:round/>
            </a:ln>
            <a:effectLst/>
          </c:spPr>
          <c:marker>
            <c:symbol val="none"/>
          </c:marker>
          <c:val>
            <c:numRef>
              <c:f>Dat_01!$C$408:$O$408</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0.39525</cdr:x>
      <cdr:y>0.18975</cdr:y>
    </cdr:from>
    <cdr:to>
      <cdr:x>0.52474</cdr:x>
      <cdr:y>0.25075</cdr:y>
    </cdr:to>
    <cdr:sp macro="" textlink="">
      <cdr:nvSpPr>
        <cdr:cNvPr id="2" name="Texto 7"/>
        <cdr:cNvSpPr txBox="1">
          <a:spLocks xmlns:a="http://schemas.openxmlformats.org/drawingml/2006/main" noChangeArrowheads="1"/>
        </cdr:cNvSpPr>
      </cdr:nvSpPr>
      <cdr:spPr bwMode="auto">
        <a:xfrm xmlns:a="http://schemas.openxmlformats.org/drawingml/2006/main">
          <a:off x="2228724" y="487990"/>
          <a:ext cx="730168"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0.48312</cdr:x>
      <cdr:y>0.78632</cdr:y>
    </cdr:from>
    <cdr:to>
      <cdr:x>0.61262</cdr:x>
      <cdr:y>0.84731</cdr:y>
    </cdr:to>
    <cdr:sp macro="" textlink="">
      <cdr:nvSpPr>
        <cdr:cNvPr id="3" name="Texto 7"/>
        <cdr:cNvSpPr txBox="1">
          <a:spLocks xmlns:a="http://schemas.openxmlformats.org/drawingml/2006/main" noChangeArrowheads="1"/>
        </cdr:cNvSpPr>
      </cdr:nvSpPr>
      <cdr:spPr bwMode="auto">
        <a:xfrm xmlns:a="http://schemas.openxmlformats.org/drawingml/2006/main">
          <a:off x="2724225" y="2022228"/>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33655</xdr:rowOff>
    </xdr:from>
    <xdr:to>
      <xdr:col>5</xdr:col>
      <xdr:colOff>0</xdr:colOff>
      <xdr:row>3</xdr:row>
      <xdr:rowOff>33655</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87624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0.35254</cdr:x>
      <cdr:y>0.18789</cdr:y>
    </cdr:from>
    <cdr:to>
      <cdr:x>0.3529</cdr:x>
      <cdr:y>0.87344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483333" y="564934"/>
          <a:ext cx="2536" cy="20612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0.66065</cdr:x>
      <cdr:y>0.92597</cdr:y>
    </cdr:from>
    <cdr:to>
      <cdr:x>0.74046</cdr:x>
      <cdr:y>0.98804</cdr:y>
    </cdr:to>
    <cdr:sp macro="" textlink="">
      <cdr:nvSpPr>
        <cdr:cNvPr id="5" name="CuadroTexto 1"/>
        <cdr:cNvSpPr txBox="1"/>
      </cdr:nvSpPr>
      <cdr:spPr>
        <a:xfrm xmlns:a="http://schemas.openxmlformats.org/drawingml/2006/main">
          <a:off x="4653692" y="2784137"/>
          <a:ext cx="562192" cy="18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0.1906</cdr:x>
      <cdr:y>0.9264</cdr:y>
    </cdr:from>
    <cdr:to>
      <cdr:x>0.27041</cdr:x>
      <cdr:y>0.98848</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1342589" y="2785430"/>
          <a:ext cx="562192" cy="1866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0.66258</cdr:x>
      <cdr:y>0.9131</cdr:y>
    </cdr:from>
    <cdr:to>
      <cdr:x>0.74238</cdr:x>
      <cdr:y>0.97681</cdr:y>
    </cdr:to>
    <cdr:sp macro="" textlink="">
      <cdr:nvSpPr>
        <cdr:cNvPr id="4" name="CuadroTexto 1"/>
        <cdr:cNvSpPr txBox="1"/>
      </cdr:nvSpPr>
      <cdr:spPr>
        <a:xfrm xmlns:a="http://schemas.openxmlformats.org/drawingml/2006/main">
          <a:off x="4669157" y="2710230"/>
          <a:ext cx="562349" cy="1891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0.35043</cdr:x>
      <cdr:y>0.14892</cdr:y>
    </cdr:from>
    <cdr:to>
      <cdr:x>0.35327</cdr:x>
      <cdr:y>0.83204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468174" y="451261"/>
          <a:ext cx="20003" cy="20700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0.19344</cdr:x>
      <cdr:y>0.92487</cdr:y>
    </cdr:from>
    <cdr:to>
      <cdr:x>0.27325</cdr:x>
      <cdr:y>0.98837</cdr:y>
    </cdr:to>
    <cdr:sp macro="" textlink="">
      <cdr:nvSpPr>
        <cdr:cNvPr id="5" name="CuadroTexto 1"/>
        <cdr:cNvSpPr txBox="1"/>
      </cdr:nvSpPr>
      <cdr:spPr>
        <a:xfrm xmlns:a="http://schemas.openxmlformats.org/drawingml/2006/main">
          <a:off x="1362465" y="2802559"/>
          <a:ext cx="562130" cy="1924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2375673</xdr:colOff>
      <xdr:row>10</xdr:row>
      <xdr:rowOff>65945</xdr:rowOff>
    </xdr:from>
    <xdr:to>
      <xdr:col>4</xdr:col>
      <xdr:colOff>2382424</xdr:colOff>
      <xdr:row>22</xdr:row>
      <xdr:rowOff>39241</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244730" y="1737313"/>
          <a:ext cx="6751" cy="1914239"/>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0.6536</cdr:x>
      <cdr:y>0.92776</cdr:y>
    </cdr:from>
    <cdr:to>
      <cdr:x>0.74403</cdr:x>
      <cdr:y>0.9887</cdr:y>
    </cdr:to>
    <cdr:sp macro="" textlink="">
      <cdr:nvSpPr>
        <cdr:cNvPr id="3" name="CuadroTexto 1"/>
        <cdr:cNvSpPr txBox="1"/>
      </cdr:nvSpPr>
      <cdr:spPr>
        <a:xfrm xmlns:a="http://schemas.openxmlformats.org/drawingml/2006/main">
          <a:off x="4624736" y="2708174"/>
          <a:ext cx="639863" cy="177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0.20653</cdr:x>
      <cdr:y>0.93466</cdr:y>
    </cdr:from>
    <cdr:to>
      <cdr:x>0.28634</cdr:x>
      <cdr:y>0.99982</cdr:y>
    </cdr:to>
    <cdr:sp macro="" textlink="">
      <cdr:nvSpPr>
        <cdr:cNvPr id="4" name="CuadroTexto 1"/>
        <cdr:cNvSpPr txBox="1"/>
      </cdr:nvSpPr>
      <cdr:spPr>
        <a:xfrm xmlns:a="http://schemas.openxmlformats.org/drawingml/2006/main">
          <a:off x="1461370" y="2728301"/>
          <a:ext cx="564718" cy="19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462313</xdr:colOff>
      <xdr:row>20</xdr:row>
      <xdr:rowOff>56446</xdr:rowOff>
    </xdr:from>
    <xdr:to>
      <xdr:col>9</xdr:col>
      <xdr:colOff>89377</xdr:colOff>
      <xdr:row>21</xdr:row>
      <xdr:rowOff>55918</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6788351" y="3291352"/>
          <a:ext cx="399847" cy="16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1482665</xdr:colOff>
      <xdr:row>21</xdr:row>
      <xdr:rowOff>35944</xdr:rowOff>
    </xdr:from>
    <xdr:to>
      <xdr:col>11</xdr:col>
      <xdr:colOff>687534</xdr:colOff>
      <xdr:row>36</xdr:row>
      <xdr:rowOff>77330</xdr:rowOff>
    </xdr:to>
    <xdr:graphicFrame macro="">
      <xdr:nvGraphicFramePr>
        <xdr:cNvPr id="2" name="Chart 4">
          <a:extLst>
            <a:ext uri="{FF2B5EF4-FFF2-40B4-BE49-F238E27FC236}">
              <a16:creationId xmlns:a16="http://schemas.microsoft.com/office/drawing/2014/main" id="{954295CB-E344-43E3-820D-8D904B999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1491651</xdr:colOff>
      <xdr:row>5</xdr:row>
      <xdr:rowOff>116817</xdr:rowOff>
    </xdr:from>
    <xdr:to>
      <xdr:col>11</xdr:col>
      <xdr:colOff>696520</xdr:colOff>
      <xdr:row>21</xdr:row>
      <xdr:rowOff>27521</xdr:rowOff>
    </xdr:to>
    <xdr:graphicFrame macro="">
      <xdr:nvGraphicFramePr>
        <xdr:cNvPr id="4" name="Chart 4">
          <a:extLst>
            <a:ext uri="{FF2B5EF4-FFF2-40B4-BE49-F238E27FC236}">
              <a16:creationId xmlns:a16="http://schemas.microsoft.com/office/drawing/2014/main" id="{76801656-2EC9-49B8-A058-28E5B6507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0.33417</cdr:x>
      <cdr:y>0.06869</cdr:y>
    </cdr:from>
    <cdr:to>
      <cdr:x>0.33425</cdr:x>
      <cdr:y>0.77279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2552895" y="175669"/>
          <a:ext cx="611" cy="18006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6.xml><?xml version="1.0" encoding="utf-8"?>
<c:userShapes xmlns:c="http://schemas.openxmlformats.org/drawingml/2006/chart">
  <cdr:relSizeAnchor xmlns:cdr="http://schemas.openxmlformats.org/drawingml/2006/chartDrawing">
    <cdr:from>
      <cdr:x>0.33264</cdr:x>
      <cdr:y>0.13139</cdr:y>
    </cdr:from>
    <cdr:to>
      <cdr:x>0.33389</cdr:x>
      <cdr:y>0.8475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41270" y="341306"/>
          <a:ext cx="9549" cy="18602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0.21481</cdr:x>
      <cdr:y>0.93728</cdr:y>
    </cdr:from>
    <cdr:to>
      <cdr:x>0.25357</cdr:x>
      <cdr:y>0.99873</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645533" y="2341922"/>
          <a:ext cx="296923" cy="1535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dr:relSizeAnchor xmlns:cdr="http://schemas.openxmlformats.org/drawingml/2006/chartDrawing">
    <cdr:from>
      <cdr:x>0.66141</cdr:x>
      <cdr:y>0.93855</cdr:y>
    </cdr:from>
    <cdr:to>
      <cdr:x>0.70017</cdr:x>
      <cdr:y>1</cdr:y>
    </cdr:to>
    <cdr:sp macro="" textlink="">
      <cdr:nvSpPr>
        <cdr:cNvPr id="2" name="CuadroTexto 6">
          <a:extLst xmlns:a="http://schemas.openxmlformats.org/drawingml/2006/main">
            <a:ext uri="{FF2B5EF4-FFF2-40B4-BE49-F238E27FC236}">
              <a16:creationId xmlns:a16="http://schemas.microsoft.com/office/drawing/2014/main" id="{7637CA31-2AE3-8492-6B38-7B687F490E75}"/>
            </a:ext>
          </a:extLst>
        </cdr:cNvPr>
        <cdr:cNvSpPr txBox="1"/>
      </cdr:nvSpPr>
      <cdr:spPr>
        <a:xfrm xmlns:a="http://schemas.openxmlformats.org/drawingml/2006/main">
          <a:off x="5052922" y="2438027"/>
          <a:ext cx="296111" cy="1596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0.33578</cdr:x>
      <cdr:y>0.13041</cdr:y>
    </cdr:from>
    <cdr:to>
      <cdr:x>0.33652</cdr:x>
      <cdr:y>0.82146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531172" y="307912"/>
          <a:ext cx="5578" cy="16316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0.68628</cdr:x>
      <cdr:y>0.88689</cdr:y>
    </cdr:from>
    <cdr:to>
      <cdr:x>0.76108</cdr:x>
      <cdr:y>0.96548</cdr:y>
    </cdr:to>
    <cdr:sp macro="" textlink="">
      <cdr:nvSpPr>
        <cdr:cNvPr id="4" name="CuadroTexto 1"/>
        <cdr:cNvSpPr txBox="1"/>
      </cdr:nvSpPr>
      <cdr:spPr>
        <a:xfrm xmlns:a="http://schemas.openxmlformats.org/drawingml/2006/main">
          <a:off x="5311109" y="2118816"/>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0.24335</cdr:x>
      <cdr:y>0.88108</cdr:y>
    </cdr:from>
    <cdr:to>
      <cdr:x>0.31815</cdr:x>
      <cdr:y>0.95967</cdr:y>
    </cdr:to>
    <cdr:sp macro="" textlink="">
      <cdr:nvSpPr>
        <cdr:cNvPr id="5" name="CuadroTexto 1"/>
        <cdr:cNvSpPr txBox="1"/>
      </cdr:nvSpPr>
      <cdr:spPr>
        <a:xfrm xmlns:a="http://schemas.openxmlformats.org/drawingml/2006/main">
          <a:off x="1883279" y="2104932"/>
          <a:ext cx="578872"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0.3342</cdr:x>
      <cdr:y>0.04013</cdr:y>
    </cdr:from>
    <cdr:to>
      <cdr:x>0.33447</cdr:x>
      <cdr:y>0.86839</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519640" y="69882"/>
          <a:ext cx="2036" cy="14424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0.33672</cdr:x>
      <cdr:y>0.11824</cdr:y>
    </cdr:from>
    <cdr:to>
      <cdr:x>0.3369</cdr:x>
      <cdr:y>0.81767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544602" y="280455"/>
          <a:ext cx="1360" cy="16589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0.65131</cdr:x>
      <cdr:y>0.89119</cdr:y>
    </cdr:from>
    <cdr:to>
      <cdr:x>0.72612</cdr:x>
      <cdr:y>0.96896</cdr:y>
    </cdr:to>
    <cdr:sp macro="" textlink="">
      <cdr:nvSpPr>
        <cdr:cNvPr id="4" name="CuadroTexto 1"/>
        <cdr:cNvSpPr txBox="1"/>
      </cdr:nvSpPr>
      <cdr:spPr>
        <a:xfrm xmlns:a="http://schemas.openxmlformats.org/drawingml/2006/main">
          <a:off x="4907108" y="2065097"/>
          <a:ext cx="563636" cy="180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0.20691</cdr:x>
      <cdr:y>0.89119</cdr:y>
    </cdr:from>
    <cdr:to>
      <cdr:x>0.2817</cdr:x>
      <cdr:y>0.96897</cdr:y>
    </cdr:to>
    <cdr:sp macro="" textlink="">
      <cdr:nvSpPr>
        <cdr:cNvPr id="5" name="CuadroTexto 1"/>
        <cdr:cNvSpPr txBox="1"/>
      </cdr:nvSpPr>
      <cdr:spPr>
        <a:xfrm xmlns:a="http://schemas.openxmlformats.org/drawingml/2006/main">
          <a:off x="1558891" y="2065103"/>
          <a:ext cx="563485" cy="1802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0.33367</cdr:x>
      <cdr:y>0.03795</cdr:y>
    </cdr:from>
    <cdr:to>
      <cdr:x>0.33367</cdr:x>
      <cdr:y>0.8873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521879" y="66690"/>
          <a:ext cx="0" cy="14924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0.33585</cdr:x>
      <cdr:y>0.09298</cdr:y>
    </cdr:from>
    <cdr:to>
      <cdr:x>0.33643</cdr:x>
      <cdr:y>0.80851</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37472" y="239944"/>
          <a:ext cx="4382" cy="18465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0.33431</cdr:x>
      <cdr:y>0.17012</cdr:y>
    </cdr:from>
    <cdr:to>
      <cdr:x>0.33499</cdr:x>
      <cdr:y>0.85328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525859" y="456102"/>
          <a:ext cx="5137" cy="18315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0.65862</cdr:x>
      <cdr:y>0.91872</cdr:y>
    </cdr:from>
    <cdr:to>
      <cdr:x>0.73342</cdr:x>
      <cdr:y>0.98917</cdr:y>
    </cdr:to>
    <cdr:sp macro="" textlink="">
      <cdr:nvSpPr>
        <cdr:cNvPr id="4" name="CuadroTexto 1"/>
        <cdr:cNvSpPr txBox="1"/>
      </cdr:nvSpPr>
      <cdr:spPr>
        <a:xfrm xmlns:a="http://schemas.openxmlformats.org/drawingml/2006/main">
          <a:off x="4945720" y="2443320"/>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0.2029</cdr:x>
      <cdr:y>0.92502</cdr:y>
    </cdr:from>
    <cdr:to>
      <cdr:x>0.27768</cdr:x>
      <cdr:y>0.99547</cdr:y>
    </cdr:to>
    <cdr:sp macro="" textlink="">
      <cdr:nvSpPr>
        <cdr:cNvPr id="5" name="CuadroTexto 1"/>
        <cdr:cNvSpPr txBox="1"/>
      </cdr:nvSpPr>
      <cdr:spPr>
        <a:xfrm xmlns:a="http://schemas.openxmlformats.org/drawingml/2006/main">
          <a:off x="1523653" y="2460074"/>
          <a:ext cx="56153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0.33687</cdr:x>
      <cdr:y>0.08362</cdr:y>
    </cdr:from>
    <cdr:to>
      <cdr:x>0.33696</cdr:x>
      <cdr:y>0.70695</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573108" y="272236"/>
          <a:ext cx="687" cy="20293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0.33481</cdr:x>
      <cdr:y>0.08929</cdr:y>
    </cdr:from>
    <cdr:to>
      <cdr:x>0.33571</cdr:x>
      <cdr:y>0.84691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557322" y="230995"/>
          <a:ext cx="6874" cy="19599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0.65482</cdr:x>
      <cdr:y>0.91409</cdr:y>
    </cdr:from>
    <cdr:to>
      <cdr:x>0.72962</cdr:x>
      <cdr:y>0.98455</cdr:y>
    </cdr:to>
    <cdr:sp macro="" textlink="">
      <cdr:nvSpPr>
        <cdr:cNvPr id="4" name="CuadroTexto 1"/>
        <cdr:cNvSpPr txBox="1"/>
      </cdr:nvSpPr>
      <cdr:spPr>
        <a:xfrm xmlns:a="http://schemas.openxmlformats.org/drawingml/2006/main">
          <a:off x="4973097" y="2336775"/>
          <a:ext cx="568074" cy="180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0.20384</cdr:x>
      <cdr:y>0.91818</cdr:y>
    </cdr:from>
    <cdr:to>
      <cdr:x>0.27863</cdr:x>
      <cdr:y>0.98863</cdr:y>
    </cdr:to>
    <cdr:sp macro="" textlink="">
      <cdr:nvSpPr>
        <cdr:cNvPr id="5" name="CuadroTexto 1"/>
        <cdr:cNvSpPr txBox="1"/>
      </cdr:nvSpPr>
      <cdr:spPr>
        <a:xfrm xmlns:a="http://schemas.openxmlformats.org/drawingml/2006/main">
          <a:off x="1548052" y="2347226"/>
          <a:ext cx="567997" cy="180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7620</xdr:rowOff>
    </xdr:from>
    <xdr:to>
      <xdr:col>11</xdr:col>
      <xdr:colOff>642289</xdr:colOff>
      <xdr:row>21</xdr:row>
      <xdr:rowOff>158336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0.33488</cdr:x>
      <cdr:y>0.10378</cdr:y>
    </cdr:from>
    <cdr:to>
      <cdr:x>0.33687</cdr:x>
      <cdr:y>0.86962</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16992" y="277275"/>
          <a:ext cx="14957" cy="204606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0.65035</cdr:x>
      <cdr:y>0.92591</cdr:y>
    </cdr:from>
    <cdr:to>
      <cdr:x>0.72607</cdr:x>
      <cdr:y>0.99637</cdr:y>
    </cdr:to>
    <cdr:sp macro="" textlink="">
      <cdr:nvSpPr>
        <cdr:cNvPr id="4" name="CuadroTexto 1"/>
        <cdr:cNvSpPr txBox="1"/>
      </cdr:nvSpPr>
      <cdr:spPr>
        <a:xfrm xmlns:a="http://schemas.openxmlformats.org/drawingml/2006/main">
          <a:off x="4883993" y="2432577"/>
          <a:ext cx="568644"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0.20222</cdr:x>
      <cdr:y>0.92955</cdr:y>
    </cdr:from>
    <cdr:to>
      <cdr:x>0.27793</cdr:x>
      <cdr:y>1</cdr:y>
    </cdr:to>
    <cdr:sp macro="" textlink="">
      <cdr:nvSpPr>
        <cdr:cNvPr id="5" name="CuadroTexto 1"/>
        <cdr:cNvSpPr txBox="1"/>
      </cdr:nvSpPr>
      <cdr:spPr>
        <a:xfrm xmlns:a="http://schemas.openxmlformats.org/drawingml/2006/main">
          <a:off x="1518646"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0.33412</cdr:x>
      <cdr:y>0.03956</cdr:y>
    </cdr:from>
    <cdr:to>
      <cdr:x>0.33451</cdr:x>
      <cdr:y>0.80733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11282" y="103925"/>
          <a:ext cx="2931" cy="20170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0.32722</cdr:x>
      <cdr:y>0.09132</cdr:y>
    </cdr:from>
    <cdr:to>
      <cdr:x>0.3275</cdr:x>
      <cdr:y>0.76453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37923" y="281468"/>
          <a:ext cx="2086" cy="20750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0.65297</cdr:x>
      <cdr:y>0.92954</cdr:y>
    </cdr:from>
    <cdr:to>
      <cdr:x>0.72869</cdr:x>
      <cdr:y>1</cdr:y>
    </cdr:to>
    <cdr:sp macro="" textlink="">
      <cdr:nvSpPr>
        <cdr:cNvPr id="4" name="CuadroTexto 1"/>
        <cdr:cNvSpPr txBox="1"/>
      </cdr:nvSpPr>
      <cdr:spPr>
        <a:xfrm xmlns:a="http://schemas.openxmlformats.org/drawingml/2006/main">
          <a:off x="4874335" y="2368796"/>
          <a:ext cx="565239" cy="1795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0.19564</cdr:x>
      <cdr:y>0.92525</cdr:y>
    </cdr:from>
    <cdr:to>
      <cdr:x>0.27135</cdr:x>
      <cdr:y>0.9957</cdr:y>
    </cdr:to>
    <cdr:sp macro="" textlink="">
      <cdr:nvSpPr>
        <cdr:cNvPr id="5" name="CuadroTexto 1"/>
        <cdr:cNvSpPr txBox="1"/>
      </cdr:nvSpPr>
      <cdr:spPr>
        <a:xfrm xmlns:a="http://schemas.openxmlformats.org/drawingml/2006/main">
          <a:off x="1460416" y="2357860"/>
          <a:ext cx="565163" cy="1795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0.33248</cdr:x>
      <cdr:y>0.18304</cdr:y>
    </cdr:from>
    <cdr:to>
      <cdr:x>0.33276</cdr:x>
      <cdr:y>0.85625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78164" y="490339"/>
          <a:ext cx="2087" cy="18034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2" t="s">
        <v>293</v>
      </c>
    </row>
    <row r="2" spans="1:2">
      <c r="A2" t="s">
        <v>288</v>
      </c>
    </row>
    <row r="3" spans="1:2">
      <c r="A3" t="s">
        <v>287</v>
      </c>
    </row>
    <row r="4" spans="1:2">
      <c r="A4" t="s">
        <v>291</v>
      </c>
    </row>
    <row r="5" spans="1:2">
      <c r="A5" t="s">
        <v>249</v>
      </c>
    </row>
    <row r="6" spans="1:2">
      <c r="A6" t="s">
        <v>250</v>
      </c>
    </row>
    <row r="7" spans="1:2">
      <c r="A7" t="s">
        <v>284</v>
      </c>
    </row>
    <row r="8" spans="1:2">
      <c r="A8" t="s">
        <v>292</v>
      </c>
    </row>
    <row r="9" spans="1:2">
      <c r="A9" t="s">
        <v>294</v>
      </c>
    </row>
    <row r="10" spans="1:2">
      <c r="A10" t="s">
        <v>251</v>
      </c>
    </row>
    <row r="11" spans="1:2">
      <c r="A11" t="s">
        <v>289</v>
      </c>
    </row>
    <row r="12" spans="1:2">
      <c r="A12" t="s">
        <v>290</v>
      </c>
    </row>
    <row r="13" spans="1:2">
      <c r="A13" t="s">
        <v>283</v>
      </c>
    </row>
    <row r="14" spans="1:2">
      <c r="A14" t="s">
        <v>285</v>
      </c>
    </row>
    <row r="15" spans="1:2">
      <c r="A15"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Q12" sqref="Q12"/>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4"/>
      <c r="D2" s="94"/>
      <c r="E2" s="179" t="s">
        <v>31</v>
      </c>
    </row>
    <row r="3" spans="2:8" ht="15" customHeight="1">
      <c r="C3" s="94"/>
      <c r="D3" s="94"/>
      <c r="E3" s="18" t="str">
        <f>Dat_01!A2</f>
        <v>Septiembre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5"/>
      <c r="D7" s="9"/>
      <c r="E7" s="9"/>
    </row>
    <row r="8" spans="2:8" s="1" customFormat="1" ht="12.6" customHeight="1">
      <c r="B8" s="2"/>
      <c r="C8" s="96"/>
      <c r="D8" s="97" t="s">
        <v>65</v>
      </c>
      <c r="E8" s="98" t="s">
        <v>37</v>
      </c>
      <c r="F8" s="99"/>
      <c r="G8" s="74"/>
    </row>
    <row r="9" spans="2:8" s="1" customFormat="1" ht="12.6" customHeight="1">
      <c r="B9" s="2"/>
      <c r="C9" s="96"/>
      <c r="D9" s="97" t="s">
        <v>65</v>
      </c>
      <c r="E9" s="98" t="s">
        <v>234</v>
      </c>
      <c r="F9" s="99"/>
      <c r="G9" s="74"/>
    </row>
    <row r="10" spans="2:8" s="1" customFormat="1" ht="12.6" customHeight="1">
      <c r="B10" s="2"/>
      <c r="C10" s="96"/>
      <c r="D10" s="97" t="s">
        <v>65</v>
      </c>
      <c r="E10" s="98" t="s">
        <v>66</v>
      </c>
      <c r="F10" s="99"/>
      <c r="H10" s="94"/>
    </row>
    <row r="11" spans="2:8" s="1" customFormat="1" ht="12.6" customHeight="1">
      <c r="B11" s="2"/>
      <c r="C11" s="96"/>
      <c r="D11" s="97" t="s">
        <v>65</v>
      </c>
      <c r="E11" s="98" t="s">
        <v>67</v>
      </c>
      <c r="F11" s="99"/>
      <c r="H11" s="94"/>
    </row>
    <row r="12" spans="2:8" s="1" customFormat="1" ht="12.6" customHeight="1">
      <c r="B12" s="2"/>
      <c r="C12" s="96"/>
      <c r="D12" s="97" t="s">
        <v>65</v>
      </c>
      <c r="E12" s="98" t="s">
        <v>28</v>
      </c>
      <c r="F12" s="99"/>
    </row>
    <row r="13" spans="2:8" s="1" customFormat="1" ht="12.6" customHeight="1">
      <c r="B13" s="2"/>
      <c r="C13" s="96"/>
      <c r="D13" s="97" t="s">
        <v>65</v>
      </c>
      <c r="E13" s="98" t="s">
        <v>68</v>
      </c>
      <c r="F13" s="99"/>
    </row>
    <row r="14" spans="2:8" s="1" customFormat="1" ht="12.6" customHeight="1">
      <c r="B14" s="2"/>
      <c r="C14" s="96"/>
      <c r="D14" s="97" t="s">
        <v>65</v>
      </c>
      <c r="E14" s="98" t="s">
        <v>169</v>
      </c>
      <c r="F14" s="99"/>
    </row>
    <row r="15" spans="2:8" s="1" customFormat="1" ht="12.6" customHeight="1">
      <c r="B15" s="2"/>
      <c r="C15" s="96"/>
      <c r="D15" s="97" t="s">
        <v>65</v>
      </c>
      <c r="E15" s="98" t="s">
        <v>35</v>
      </c>
      <c r="F15" s="99"/>
    </row>
    <row r="16" spans="2:8" s="1" customFormat="1" ht="12.6" customHeight="1">
      <c r="B16" s="2"/>
      <c r="C16" s="96"/>
      <c r="D16" s="97" t="s">
        <v>65</v>
      </c>
      <c r="E16" s="98" t="s">
        <v>216</v>
      </c>
      <c r="F16" s="99"/>
    </row>
    <row r="17" spans="2:6" s="1" customFormat="1" ht="12.6" customHeight="1">
      <c r="B17" s="2"/>
      <c r="C17" s="96"/>
      <c r="D17" s="97" t="s">
        <v>65</v>
      </c>
      <c r="E17" s="98" t="s">
        <v>64</v>
      </c>
      <c r="F17" s="99"/>
    </row>
    <row r="18" spans="2:6" s="1" customFormat="1" ht="12.6" customHeight="1">
      <c r="B18" s="2"/>
      <c r="C18" s="96"/>
      <c r="D18" s="97" t="s">
        <v>65</v>
      </c>
      <c r="E18" s="98" t="s">
        <v>3</v>
      </c>
      <c r="F18" s="99"/>
    </row>
    <row r="19" spans="2:6" s="1" customFormat="1" ht="12.6" customHeight="1">
      <c r="B19" s="2"/>
      <c r="C19" s="96"/>
      <c r="D19" s="97" t="s">
        <v>65</v>
      </c>
      <c r="E19" s="98" t="s">
        <v>147</v>
      </c>
      <c r="F19" s="99"/>
    </row>
    <row r="20" spans="2:6" s="1" customFormat="1" ht="12.6" customHeight="1">
      <c r="B20" s="2"/>
      <c r="C20" s="96"/>
      <c r="D20" s="97" t="s">
        <v>65</v>
      </c>
      <c r="E20" s="98" t="s">
        <v>145</v>
      </c>
      <c r="F20" s="99"/>
    </row>
    <row r="21" spans="2:6" s="1" customFormat="1" ht="12.6" customHeight="1">
      <c r="B21" s="2"/>
      <c r="C21" s="96"/>
      <c r="D21" s="100" t="s">
        <v>65</v>
      </c>
      <c r="E21" s="98" t="s">
        <v>24</v>
      </c>
      <c r="F21" s="99"/>
    </row>
    <row r="22" spans="2:6" s="1" customFormat="1" ht="8.25" customHeight="1">
      <c r="B22" s="2"/>
      <c r="C22" s="96"/>
      <c r="D22" s="100"/>
      <c r="E22" s="101"/>
      <c r="F22" s="99"/>
    </row>
    <row r="23" spans="2:6" ht="11.25" customHeight="1"/>
    <row r="24" spans="2:6">
      <c r="C24" s="102" t="s">
        <v>204</v>
      </c>
      <c r="E24" s="1"/>
    </row>
    <row r="27" spans="2:6">
      <c r="E27" s="3"/>
    </row>
    <row r="28" spans="2:6">
      <c r="E28" s="3"/>
    </row>
    <row r="29" spans="2:6">
      <c r="E29" s="3"/>
    </row>
    <row r="30" spans="2:6">
      <c r="E30" s="6"/>
    </row>
    <row r="31" spans="2:6">
      <c r="E31" s="103"/>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J46" sqref="J46"/>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Septiembre 2025</v>
      </c>
    </row>
    <row r="4" spans="3:12" ht="12.75">
      <c r="C4" s="19" t="s">
        <v>30</v>
      </c>
    </row>
    <row r="5" spans="3:12" ht="11.25">
      <c r="C5" s="3"/>
    </row>
    <row r="6" spans="3:12" ht="11.25">
      <c r="C6" s="4"/>
    </row>
    <row r="7" spans="3:12" ht="10.5" customHeight="1">
      <c r="C7" s="237" t="s">
        <v>37</v>
      </c>
    </row>
    <row r="8" spans="3:12" ht="10.5" customHeight="1">
      <c r="C8" s="237"/>
    </row>
    <row r="9" spans="3:12" ht="10.5" customHeight="1">
      <c r="C9" s="48" t="s">
        <v>14</v>
      </c>
    </row>
    <row r="10" spans="3:12" ht="10.5" customHeight="1"/>
    <row r="11" spans="3:12" ht="10.5" customHeight="1">
      <c r="C11" s="48"/>
    </row>
    <row r="12" spans="3:12" ht="10.5" customHeight="1">
      <c r="C12" s="48"/>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96" zoomScaleNormal="96" workbookViewId="0">
      <selection activeCell="K14" sqref="K1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Septiembre 2025</v>
      </c>
      <c r="F3"/>
    </row>
    <row r="4" spans="2:8" s="1" customFormat="1" ht="20.100000000000001" customHeight="1">
      <c r="B4" s="2"/>
      <c r="C4" s="118" t="s">
        <v>30</v>
      </c>
    </row>
    <row r="5" spans="2:8" s="1" customFormat="1" ht="12.6" customHeight="1">
      <c r="B5" s="2"/>
      <c r="C5" s="3"/>
    </row>
    <row r="6" spans="2:8" s="1" customFormat="1" ht="13.35" customHeight="1">
      <c r="B6" s="2"/>
      <c r="C6" s="4"/>
      <c r="D6" s="5"/>
      <c r="E6" s="5"/>
    </row>
    <row r="7" spans="2:8" s="1" customFormat="1" ht="12.75" customHeight="1">
      <c r="B7" s="2"/>
      <c r="C7" s="237" t="s">
        <v>235</v>
      </c>
      <c r="D7" s="5"/>
      <c r="E7" s="6"/>
      <c r="H7" s="128"/>
    </row>
    <row r="8" spans="2:8" s="1" customFormat="1" ht="12.75" customHeight="1">
      <c r="B8" s="2"/>
      <c r="C8" s="237"/>
      <c r="D8" s="5"/>
      <c r="E8" s="6"/>
    </row>
    <row r="9" spans="2:8" s="1" customFormat="1">
      <c r="B9" s="2"/>
      <c r="C9" s="237"/>
      <c r="D9" s="5"/>
      <c r="E9" s="6"/>
    </row>
    <row r="10" spans="2:8" s="1" customFormat="1" ht="12.75" customHeight="1">
      <c r="B10" s="2"/>
      <c r="C10" s="237"/>
      <c r="D10" s="5"/>
      <c r="E10" s="6"/>
    </row>
    <row r="11" spans="2:8" s="1" customFormat="1" ht="12.75" customHeight="1">
      <c r="B11" s="2"/>
      <c r="C11" s="8"/>
      <c r="D11" s="5"/>
      <c r="E11" s="6"/>
      <c r="F11" s="50"/>
    </row>
    <row r="12" spans="2:8" s="1" customFormat="1" ht="12.75" customHeight="1">
      <c r="B12" s="2"/>
      <c r="C12" s="38"/>
      <c r="D12" s="5"/>
      <c r="E12" s="6"/>
      <c r="F12" s="50"/>
    </row>
    <row r="13" spans="2:8" s="1" customFormat="1" ht="12.75" customHeight="1">
      <c r="B13" s="2"/>
      <c r="C13" s="4"/>
      <c r="D13" s="5"/>
      <c r="E13" s="6"/>
      <c r="F13" s="50"/>
    </row>
    <row r="14" spans="2:8" s="1" customFormat="1" ht="12.75" customHeight="1">
      <c r="B14" s="2"/>
      <c r="C14" s="4"/>
      <c r="D14" s="5"/>
      <c r="E14" s="6"/>
      <c r="F14" s="50"/>
    </row>
    <row r="15" spans="2:8" s="1" customFormat="1" ht="12.75" customHeight="1">
      <c r="B15" s="2"/>
      <c r="C15" s="4"/>
      <c r="D15" s="5"/>
      <c r="E15" s="6"/>
      <c r="F15" s="50"/>
    </row>
    <row r="16" spans="2:8" s="1" customFormat="1" ht="12.75" customHeight="1">
      <c r="B16" s="2"/>
      <c r="C16" s="4"/>
      <c r="D16" s="5"/>
      <c r="E16" s="6"/>
      <c r="F16" s="50"/>
    </row>
    <row r="17" spans="2:13" s="1" customFormat="1" ht="12.75" customHeight="1">
      <c r="B17" s="2"/>
      <c r="C17" s="4"/>
      <c r="D17" s="5"/>
      <c r="E17" s="6"/>
      <c r="F17" s="50"/>
    </row>
    <row r="18" spans="2:13" s="1" customFormat="1" ht="12.75" customHeight="1">
      <c r="B18" s="2"/>
      <c r="C18" s="4"/>
      <c r="D18" s="5"/>
      <c r="E18" s="6"/>
      <c r="F18" s="50"/>
    </row>
    <row r="19" spans="2:13" s="1" customFormat="1" ht="12.75" customHeight="1">
      <c r="B19" s="2"/>
      <c r="C19" s="4"/>
      <c r="D19" s="5"/>
      <c r="E19" s="6"/>
      <c r="F19" s="50"/>
    </row>
    <row r="20" spans="2:13" s="1" customFormat="1" ht="12.75" customHeight="1">
      <c r="B20" s="2"/>
      <c r="C20" s="4"/>
      <c r="D20" s="5"/>
      <c r="E20" s="6"/>
      <c r="F20" s="50"/>
    </row>
    <row r="21" spans="2:13" s="1" customFormat="1" ht="12.75" customHeight="1">
      <c r="B21" s="2"/>
      <c r="C21" s="4"/>
      <c r="D21" s="5"/>
      <c r="E21" s="6"/>
      <c r="F21" s="50"/>
    </row>
    <row r="22" spans="2:13">
      <c r="E22" s="6"/>
      <c r="F22" s="50"/>
    </row>
    <row r="23" spans="2:13">
      <c r="E23" s="6"/>
      <c r="F23" s="50"/>
    </row>
    <row r="24" spans="2:13">
      <c r="E24" s="6"/>
      <c r="F24" s="1"/>
      <c r="G24" s="1"/>
      <c r="H24" s="1"/>
    </row>
    <row r="25" spans="2:13">
      <c r="E25" s="6"/>
      <c r="F25" s="1"/>
      <c r="G25" s="1"/>
      <c r="H25" s="1"/>
    </row>
    <row r="26" spans="2:13">
      <c r="E26" s="6"/>
    </row>
    <row r="27" spans="2:13">
      <c r="E27" s="6"/>
      <c r="H27" s="49"/>
      <c r="L27" s="49"/>
      <c r="M27" s="49"/>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93" zoomScaleNormal="93" workbookViewId="0">
      <selection activeCell="E43" sqref="E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78" t="str">
        <f>Indice!E3</f>
        <v>Septiembre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37" t="s">
        <v>44</v>
      </c>
      <c r="D7" s="5"/>
      <c r="E7" s="12"/>
    </row>
    <row r="8" spans="2:19" s="1" customFormat="1" ht="12.75" customHeight="1">
      <c r="B8" s="2"/>
      <c r="C8" s="237"/>
      <c r="D8" s="5"/>
      <c r="E8" s="12"/>
    </row>
    <row r="9" spans="2:19" s="1" customFormat="1" ht="18" customHeight="1">
      <c r="B9" s="2"/>
      <c r="C9" s="237"/>
      <c r="D9" s="5"/>
      <c r="E9" s="12"/>
      <c r="F9" s="50"/>
      <c r="R9" s="79"/>
      <c r="S9" s="82"/>
    </row>
    <row r="10" spans="2:19" s="1" customFormat="1" ht="12.75" customHeight="1">
      <c r="B10" s="2"/>
      <c r="D10" s="5"/>
      <c r="E10" s="12"/>
      <c r="F10" s="50"/>
      <c r="R10" s="79"/>
      <c r="S10" s="82"/>
    </row>
    <row r="11" spans="2:19" s="1" customFormat="1" ht="12.75" customHeight="1">
      <c r="B11" s="2"/>
      <c r="C11" s="8"/>
      <c r="D11" s="5"/>
      <c r="E11" s="12"/>
      <c r="F11" s="50"/>
      <c r="R11" s="79"/>
      <c r="S11" s="82"/>
    </row>
    <row r="12" spans="2:19" s="1" customFormat="1" ht="12.75" customHeight="1">
      <c r="B12" s="2"/>
      <c r="C12" s="38"/>
      <c r="D12" s="5"/>
      <c r="E12" s="12"/>
      <c r="F12" s="50"/>
      <c r="R12" s="79"/>
      <c r="S12" s="82"/>
    </row>
    <row r="13" spans="2:19" s="1" customFormat="1" ht="12.75" customHeight="1">
      <c r="B13" s="2"/>
      <c r="C13" s="4"/>
      <c r="D13" s="5"/>
      <c r="E13" s="12"/>
      <c r="F13" s="50"/>
      <c r="R13" s="79"/>
      <c r="S13" s="82"/>
    </row>
    <row r="14" spans="2:19" s="1" customFormat="1" ht="12.75" customHeight="1">
      <c r="B14" s="2"/>
      <c r="C14" s="4"/>
      <c r="D14" s="5"/>
      <c r="E14" s="12"/>
      <c r="F14" s="50"/>
      <c r="R14" s="79"/>
      <c r="S14" s="82"/>
    </row>
    <row r="15" spans="2:19" s="1" customFormat="1" ht="12.75" customHeight="1">
      <c r="B15" s="2"/>
      <c r="C15" s="4"/>
      <c r="D15" s="5"/>
      <c r="E15" s="12"/>
      <c r="F15" s="50"/>
      <c r="R15" s="79"/>
      <c r="S15" s="82"/>
    </row>
    <row r="16" spans="2:19" s="1" customFormat="1" ht="12.75" customHeight="1">
      <c r="B16" s="2"/>
      <c r="C16" s="4"/>
      <c r="D16" s="5"/>
      <c r="E16" s="12"/>
      <c r="F16" s="50"/>
      <c r="R16" s="79"/>
      <c r="S16" s="82"/>
    </row>
    <row r="17" spans="2:19" s="1" customFormat="1" ht="12.75" customHeight="1">
      <c r="B17" s="2"/>
      <c r="C17" s="4"/>
      <c r="D17" s="5"/>
      <c r="E17" s="12"/>
      <c r="F17" s="50"/>
      <c r="R17" s="79"/>
      <c r="S17" s="82"/>
    </row>
    <row r="18" spans="2:19" s="1" customFormat="1" ht="12.75" customHeight="1">
      <c r="B18" s="2"/>
      <c r="C18" s="4"/>
      <c r="D18" s="5"/>
      <c r="E18" s="12"/>
      <c r="F18" s="50"/>
      <c r="R18" s="79"/>
      <c r="S18" s="82"/>
    </row>
    <row r="19" spans="2:19" s="1" customFormat="1" ht="12.75" customHeight="1">
      <c r="B19" s="2"/>
      <c r="C19" s="4"/>
      <c r="D19" s="5"/>
      <c r="E19" s="12"/>
      <c r="F19" s="50"/>
      <c r="R19" s="79"/>
      <c r="S19" s="82"/>
    </row>
    <row r="20" spans="2:19" s="1" customFormat="1" ht="12.75" customHeight="1">
      <c r="B20" s="2"/>
      <c r="C20" s="4"/>
      <c r="D20" s="5"/>
      <c r="E20" s="12"/>
      <c r="F20" s="50"/>
      <c r="R20" s="79"/>
      <c r="S20" s="82"/>
    </row>
    <row r="21" spans="2:19" s="1" customFormat="1" ht="12.75" customHeight="1">
      <c r="B21" s="2"/>
      <c r="C21" s="4"/>
      <c r="D21" s="5"/>
      <c r="E21" s="12"/>
      <c r="F21" s="50"/>
      <c r="R21" s="79"/>
      <c r="S21" s="82"/>
    </row>
    <row r="22" spans="2:19">
      <c r="E22" s="12"/>
      <c r="F22" s="1"/>
      <c r="R22" s="80"/>
    </row>
    <row r="23" spans="2:19">
      <c r="E23" s="12"/>
      <c r="F23" s="1"/>
      <c r="R23" s="81"/>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E43" sqref="E43"/>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78" t="str">
        <f>Indice!E3</f>
        <v>Septiembre 2025</v>
      </c>
    </row>
    <row r="4" spans="1:8">
      <c r="B4" s="19" t="s">
        <v>30</v>
      </c>
    </row>
    <row r="7" spans="1:8" ht="12.75" customHeight="1">
      <c r="B7" s="238" t="s">
        <v>38</v>
      </c>
    </row>
    <row r="8" spans="1:8">
      <c r="B8" s="238"/>
    </row>
    <row r="9" spans="1:8">
      <c r="B9" s="47" t="s">
        <v>14</v>
      </c>
    </row>
    <row r="27" spans="5:19">
      <c r="P27" s="21"/>
      <c r="Q27" s="22"/>
      <c r="R27" s="21"/>
      <c r="S27" s="22"/>
    </row>
    <row r="28" spans="5:19">
      <c r="P28" s="23"/>
      <c r="Q28" s="24"/>
      <c r="R28" s="23"/>
      <c r="S28" s="24"/>
    </row>
    <row r="30" spans="5:19">
      <c r="E30" s="66"/>
      <c r="F30" s="66"/>
      <c r="G30" s="66"/>
      <c r="H30" s="66"/>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106" zoomScaleNormal="106" workbookViewId="0">
      <selection activeCell="E43" sqref="E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8" t="str">
        <f>Indice!E3</f>
        <v>Septiembre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38" t="s">
        <v>28</v>
      </c>
      <c r="D7" s="5"/>
      <c r="E7" s="12"/>
    </row>
    <row r="8" spans="2:39" s="1" customFormat="1" ht="12.75" customHeight="1">
      <c r="B8" s="2"/>
      <c r="C8" s="238"/>
      <c r="D8" s="5"/>
      <c r="E8" s="12"/>
    </row>
    <row r="9" spans="2:39" s="1" customFormat="1" ht="12.75" customHeight="1">
      <c r="B9" s="2"/>
      <c r="C9" s="238"/>
      <c r="D9" s="5"/>
      <c r="E9" s="12"/>
    </row>
    <row r="10" spans="2:39" s="1" customFormat="1" ht="12.75" customHeight="1">
      <c r="B10" s="2"/>
      <c r="C10" s="238"/>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4" customFormat="1" ht="12.75" customHeight="1">
      <c r="C16" s="75"/>
      <c r="D16" s="76"/>
      <c r="E16" s="77"/>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4"/>
      <c r="AM19" s="74"/>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2" t="s">
        <v>189</v>
      </c>
    </row>
    <row r="34" spans="6:6">
      <c r="F34" s="70"/>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E43" sqref="E43"/>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39" t="s">
        <v>31</v>
      </c>
      <c r="F2" s="239"/>
      <c r="G2" s="239"/>
      <c r="H2" s="10"/>
      <c r="I2" s="10"/>
    </row>
    <row r="3" spans="2:11" ht="15" customHeight="1">
      <c r="E3" s="240" t="str">
        <f>Indice!E3</f>
        <v>Septiembre 2025</v>
      </c>
      <c r="F3" s="240"/>
      <c r="G3" s="240"/>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3"/>
    </row>
    <row r="7" spans="2:11" s="57" customFormat="1" ht="15" customHeight="1">
      <c r="B7" s="54"/>
      <c r="C7" s="238" t="s">
        <v>63</v>
      </c>
      <c r="D7" s="55"/>
      <c r="E7" s="56"/>
      <c r="F7" s="72"/>
      <c r="G7" s="72"/>
      <c r="I7" s="130"/>
    </row>
    <row r="8" spans="2:11" s="57" customFormat="1" ht="15" customHeight="1">
      <c r="B8" s="54"/>
      <c r="C8" s="238"/>
      <c r="D8" s="55"/>
      <c r="E8" s="58"/>
      <c r="F8" s="59" t="str">
        <f>Dat_01!G97</f>
        <v>2024 Septiembre</v>
      </c>
      <c r="G8" s="59" t="str">
        <f>Dat_01!C97</f>
        <v>2025 Septiembre</v>
      </c>
      <c r="I8" s="130"/>
    </row>
    <row r="9" spans="2:11" s="1" customFormat="1" ht="15" customHeight="1">
      <c r="B9" s="2"/>
      <c r="C9" s="47"/>
      <c r="D9" s="5"/>
      <c r="E9" s="134" t="s">
        <v>150</v>
      </c>
      <c r="F9" s="135">
        <f>Dat_01!G98/1000000</f>
        <v>83.461037247459998</v>
      </c>
      <c r="G9" s="135">
        <f>Dat_01!C98/1000000</f>
        <v>196.44474169019003</v>
      </c>
      <c r="H9" s="57"/>
      <c r="I9" s="130"/>
      <c r="J9" s="57"/>
      <c r="K9" s="57"/>
    </row>
    <row r="10" spans="2:11" s="1" customFormat="1" ht="15" customHeight="1">
      <c r="B10" s="2"/>
      <c r="C10" s="238"/>
      <c r="D10" s="5"/>
      <c r="E10" s="134" t="s">
        <v>151</v>
      </c>
      <c r="F10" s="135">
        <f>Dat_01!G99/1000000</f>
        <v>67.55478575411</v>
      </c>
      <c r="G10" s="135">
        <f>Dat_01!C99/1000000</f>
        <v>87.736339089840001</v>
      </c>
      <c r="H10" s="57"/>
      <c r="I10" s="130"/>
      <c r="J10" s="57"/>
      <c r="K10" s="57"/>
    </row>
    <row r="11" spans="2:11" s="1" customFormat="1" ht="15" customHeight="1">
      <c r="B11" s="2"/>
      <c r="C11" s="238"/>
      <c r="D11" s="5"/>
      <c r="E11" s="52" t="s">
        <v>40</v>
      </c>
      <c r="F11" s="136">
        <f>SUM(F9:F10)</f>
        <v>151.01582300157</v>
      </c>
      <c r="G11" s="136">
        <f>SUM(G9:G10)</f>
        <v>284.18108078003002</v>
      </c>
      <c r="H11" s="57"/>
      <c r="I11" s="130"/>
      <c r="J11" s="57"/>
      <c r="K11" s="57"/>
    </row>
    <row r="12" spans="2:11" s="1" customFormat="1" ht="15" customHeight="1">
      <c r="B12" s="2"/>
      <c r="C12" s="238"/>
      <c r="D12" s="5"/>
      <c r="E12" s="52" t="s">
        <v>21</v>
      </c>
      <c r="F12" s="136">
        <f>Dat_01!G101/1000000</f>
        <v>50.15147529667999</v>
      </c>
      <c r="G12" s="136">
        <f>Dat_01!C101/1000000</f>
        <v>69.265530860399991</v>
      </c>
      <c r="H12" s="57"/>
      <c r="I12" s="130"/>
      <c r="J12" s="57"/>
      <c r="K12" s="57"/>
    </row>
    <row r="13" spans="2:11" s="1" customFormat="1" ht="15" customHeight="1">
      <c r="B13" s="2"/>
      <c r="C13" s="4"/>
      <c r="D13" s="5"/>
      <c r="E13" s="52" t="s">
        <v>15</v>
      </c>
      <c r="F13" s="136">
        <f>IF(Dat_01!G102="-",0,Dat_01!G102/1000000)</f>
        <v>7.4852948204</v>
      </c>
      <c r="G13" s="136">
        <f>Dat_01!C102/1000000</f>
        <v>8.6581913575500007</v>
      </c>
      <c r="H13" s="57"/>
      <c r="I13" s="130"/>
      <c r="J13" s="57"/>
      <c r="K13" s="57"/>
    </row>
    <row r="14" spans="2:11" s="1" customFormat="1" ht="15" customHeight="1">
      <c r="B14" s="2"/>
      <c r="C14" s="4"/>
      <c r="D14" s="5"/>
      <c r="E14" s="52" t="s">
        <v>134</v>
      </c>
      <c r="F14" s="136">
        <f>(SUM(Dat_01!G103:G105)+IF(Dat_01!G106="-",0,Dat_01!G106))/1000000</f>
        <v>-4.2566364572700008</v>
      </c>
      <c r="G14" s="136">
        <f>(SUM(Dat_01!C103:C105)+IF(Dat_01!C106="-",0,Dat_01!C106))/1000000</f>
        <v>-33.863148420640002</v>
      </c>
      <c r="H14" s="57"/>
      <c r="I14" s="130"/>
      <c r="J14" s="57"/>
      <c r="K14" s="57"/>
    </row>
    <row r="15" spans="2:11" s="1" customFormat="1" ht="15" customHeight="1">
      <c r="B15" s="2"/>
      <c r="C15" s="4"/>
      <c r="D15" s="5"/>
      <c r="E15" s="52" t="s">
        <v>41</v>
      </c>
      <c r="F15" s="137">
        <f>IF(Dat_01!G107="-","-",Dat_01!G107/1000000)</f>
        <v>-2.2455884461200002</v>
      </c>
      <c r="G15" s="137">
        <f>IF(Dat_01!C107="-","-",Dat_01!C107/1000000)</f>
        <v>-2.1164467762900001</v>
      </c>
      <c r="H15" s="57"/>
      <c r="I15" s="130"/>
      <c r="J15" s="57"/>
      <c r="K15" s="57"/>
    </row>
    <row r="16" spans="2:11" s="1" customFormat="1" ht="15" customHeight="1">
      <c r="B16" s="2"/>
      <c r="C16" s="4"/>
      <c r="D16" s="5"/>
      <c r="E16" s="53" t="s">
        <v>135</v>
      </c>
      <c r="F16" s="138">
        <f>SUM(F11:F15)</f>
        <v>202.15036821525999</v>
      </c>
      <c r="G16" s="138">
        <f>SUM(G11:G15)</f>
        <v>326.12520780104995</v>
      </c>
      <c r="I16" s="94"/>
    </row>
    <row r="17" spans="2:10" s="1" customFormat="1" ht="15" customHeight="1">
      <c r="B17" s="2"/>
      <c r="C17" s="4"/>
      <c r="D17" s="4"/>
      <c r="E17" s="60" t="str">
        <f>"∆"&amp;MID(G8,1,4)&amp;"/"&amp;MID(F8,1,4)</f>
        <v>∆2025/2024</v>
      </c>
      <c r="F17" s="129"/>
      <c r="G17" s="61">
        <f>(G16-F16)/F16</f>
        <v>0.61328030554846802</v>
      </c>
      <c r="I17" s="4"/>
      <c r="J17" s="4"/>
    </row>
    <row r="18" spans="2:10" s="1" customFormat="1" ht="12.75" customHeight="1">
      <c r="B18" s="2"/>
      <c r="C18" s="4"/>
      <c r="D18" s="5"/>
      <c r="H18" s="51"/>
      <c r="I18" s="51"/>
    </row>
    <row r="19" spans="2:10" s="1" customFormat="1" ht="12.75" customHeight="1">
      <c r="B19" s="2"/>
      <c r="C19" s="4"/>
      <c r="D19" s="4"/>
      <c r="E19" s="241" t="s">
        <v>207</v>
      </c>
      <c r="F19" s="241"/>
      <c r="G19" s="241"/>
    </row>
    <row r="20" spans="2:10" s="1" customFormat="1" ht="12.75" customHeight="1">
      <c r="B20" s="2"/>
      <c r="C20" s="4"/>
      <c r="D20" s="4"/>
      <c r="E20" s="241"/>
      <c r="F20" s="241"/>
      <c r="G20" s="241"/>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E43" sqref="E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Septiembre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38" t="s">
        <v>169</v>
      </c>
      <c r="D7" s="5"/>
      <c r="E7" s="12"/>
    </row>
    <row r="8" spans="2:9" s="1" customFormat="1" ht="12.75" customHeight="1">
      <c r="B8" s="2"/>
      <c r="C8" s="238"/>
      <c r="D8" s="5"/>
      <c r="E8" s="12"/>
    </row>
    <row r="9" spans="2:9" s="1" customFormat="1" ht="12.75" customHeight="1">
      <c r="B9" s="2"/>
      <c r="C9" s="238"/>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1"/>
      <c r="I18" s="51"/>
    </row>
    <row r="19" spans="2:9" s="1" customFormat="1" ht="12.75" customHeight="1">
      <c r="B19" s="2"/>
      <c r="C19" s="4"/>
      <c r="D19" s="5"/>
      <c r="E19" s="9"/>
      <c r="H19" s="51"/>
      <c r="I19" s="51"/>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2" t="s">
        <v>158</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4" zoomScale="106" zoomScaleNormal="106" workbookViewId="0">
      <selection activeCell="E43" sqref="E4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Septiembre 2025</v>
      </c>
    </row>
    <row r="4" spans="2:38">
      <c r="B4" s="19" t="s">
        <v>30</v>
      </c>
      <c r="P4" s="63" t="s">
        <v>13</v>
      </c>
      <c r="Q4" s="63" t="s">
        <v>5</v>
      </c>
      <c r="R4" s="63" t="s">
        <v>6</v>
      </c>
      <c r="S4" s="63" t="s">
        <v>7</v>
      </c>
      <c r="T4" s="63" t="s">
        <v>8</v>
      </c>
      <c r="U4" s="63" t="s">
        <v>7</v>
      </c>
      <c r="V4" s="63" t="s">
        <v>9</v>
      </c>
      <c r="W4" s="63" t="s">
        <v>9</v>
      </c>
      <c r="X4" s="63" t="s">
        <v>8</v>
      </c>
      <c r="Y4" s="63" t="s">
        <v>10</v>
      </c>
      <c r="Z4" s="63" t="s">
        <v>11</v>
      </c>
      <c r="AA4" s="63" t="s">
        <v>12</v>
      </c>
      <c r="AB4" s="63" t="s">
        <v>13</v>
      </c>
    </row>
    <row r="5" spans="2:38" s="31" customFormat="1"/>
    <row r="6" spans="2:38" s="31" customFormat="1"/>
    <row r="7" spans="2:38" ht="12.75" customHeight="1">
      <c r="B7" s="238" t="s">
        <v>35</v>
      </c>
      <c r="F7" s="32"/>
      <c r="G7" s="32"/>
      <c r="H7" s="33"/>
      <c r="I7" s="33"/>
      <c r="J7" s="33"/>
      <c r="K7" s="33"/>
      <c r="L7" s="33"/>
      <c r="M7" s="33"/>
      <c r="AC7" s="33"/>
      <c r="AD7" s="33"/>
      <c r="AE7" s="33"/>
      <c r="AF7" s="33"/>
      <c r="AG7" s="33"/>
      <c r="AH7" s="33"/>
      <c r="AI7" s="33"/>
      <c r="AJ7" s="33"/>
      <c r="AK7" s="33"/>
      <c r="AL7" s="33"/>
    </row>
    <row r="8" spans="2:38">
      <c r="B8" s="238"/>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38"/>
      <c r="F10" s="32"/>
      <c r="G10" s="32"/>
    </row>
    <row r="11" spans="2:38">
      <c r="B11" s="238"/>
      <c r="F11" s="32"/>
      <c r="G11" s="32"/>
    </row>
    <row r="12" spans="2:38" s="31" customFormat="1">
      <c r="B12" s="238"/>
      <c r="F12" s="32"/>
      <c r="G12" s="32"/>
    </row>
    <row r="13" spans="2:38">
      <c r="B13" s="238"/>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10" sqref="N1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Septiembre 2025</v>
      </c>
    </row>
    <row r="4" spans="2:37">
      <c r="B4" s="19" t="s">
        <v>30</v>
      </c>
      <c r="O4" s="63" t="s">
        <v>9</v>
      </c>
      <c r="P4" s="63" t="s">
        <v>13</v>
      </c>
      <c r="Q4" s="63" t="s">
        <v>5</v>
      </c>
      <c r="R4" s="63" t="s">
        <v>6</v>
      </c>
      <c r="S4" s="63" t="s">
        <v>7</v>
      </c>
      <c r="T4" s="63" t="s">
        <v>8</v>
      </c>
      <c r="U4" s="63" t="s">
        <v>7</v>
      </c>
      <c r="V4" s="63" t="s">
        <v>9</v>
      </c>
      <c r="W4" s="63" t="s">
        <v>9</v>
      </c>
      <c r="X4" s="63" t="s">
        <v>8</v>
      </c>
      <c r="Y4" s="63" t="s">
        <v>10</v>
      </c>
      <c r="Z4" s="63" t="s">
        <v>11</v>
      </c>
      <c r="AA4" s="63" t="s">
        <v>12</v>
      </c>
    </row>
    <row r="5" spans="2:37" s="31" customFormat="1"/>
    <row r="6" spans="2:37" s="31" customFormat="1"/>
    <row r="7" spans="2:37" ht="12.75" customHeight="1">
      <c r="B7" s="238" t="s">
        <v>216</v>
      </c>
      <c r="F7" s="32"/>
      <c r="G7" s="32"/>
      <c r="H7" s="33"/>
      <c r="I7" s="33"/>
      <c r="J7" s="33"/>
      <c r="K7" s="33"/>
      <c r="L7" s="33"/>
      <c r="M7" s="33"/>
      <c r="AB7" s="33"/>
      <c r="AC7" s="33"/>
      <c r="AD7" s="33"/>
      <c r="AE7" s="33"/>
      <c r="AF7" s="33"/>
      <c r="AG7" s="33"/>
      <c r="AH7" s="33"/>
      <c r="AI7" s="33"/>
      <c r="AJ7" s="33"/>
      <c r="AK7" s="33"/>
    </row>
    <row r="8" spans="2:37">
      <c r="B8" s="238"/>
      <c r="F8" s="32"/>
      <c r="G8" s="32"/>
      <c r="H8" s="33"/>
      <c r="I8" s="33"/>
      <c r="J8" s="33"/>
      <c r="K8" s="33"/>
      <c r="L8" s="33"/>
      <c r="M8" s="33"/>
      <c r="AB8" s="33"/>
      <c r="AC8" s="33"/>
      <c r="AD8" s="33"/>
      <c r="AE8" s="33"/>
      <c r="AF8" s="33"/>
      <c r="AG8" s="33"/>
      <c r="AH8" s="33"/>
      <c r="AI8" s="33"/>
      <c r="AJ8" s="33"/>
      <c r="AK8" s="33"/>
    </row>
    <row r="9" spans="2:37">
      <c r="B9" s="47" t="s">
        <v>130</v>
      </c>
      <c r="F9" s="32"/>
      <c r="G9" s="32"/>
    </row>
    <row r="10" spans="2:37">
      <c r="B10" s="238"/>
      <c r="F10" s="32"/>
      <c r="G10" s="32"/>
    </row>
    <row r="11" spans="2:37" s="31" customFormat="1">
      <c r="B11" s="238"/>
      <c r="F11" s="32"/>
      <c r="G11" s="32"/>
    </row>
    <row r="12" spans="2:37">
      <c r="B12" s="23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N22" sqref="N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Septiembre 2025</v>
      </c>
    </row>
    <row r="4" spans="2:37">
      <c r="B4" s="19" t="s">
        <v>30</v>
      </c>
      <c r="O4" s="63" t="s">
        <v>13</v>
      </c>
      <c r="P4" s="63" t="s">
        <v>5</v>
      </c>
      <c r="Q4" s="63" t="s">
        <v>6</v>
      </c>
      <c r="R4" s="63" t="s">
        <v>7</v>
      </c>
      <c r="S4" s="63" t="s">
        <v>8</v>
      </c>
      <c r="T4" s="63" t="s">
        <v>7</v>
      </c>
      <c r="U4" s="63" t="s">
        <v>9</v>
      </c>
      <c r="V4" s="63" t="s">
        <v>9</v>
      </c>
      <c r="W4" s="63" t="s">
        <v>8</v>
      </c>
      <c r="X4" s="63" t="s">
        <v>10</v>
      </c>
      <c r="Y4" s="63" t="s">
        <v>11</v>
      </c>
      <c r="Z4" s="63" t="s">
        <v>12</v>
      </c>
      <c r="AA4" s="63" t="s">
        <v>13</v>
      </c>
    </row>
    <row r="5" spans="2:37" s="31" customFormat="1"/>
    <row r="6" spans="2:37" s="31" customFormat="1"/>
    <row r="7" spans="2:37" ht="12.75" customHeight="1">
      <c r="B7" s="238" t="s">
        <v>64</v>
      </c>
      <c r="F7" s="32"/>
      <c r="G7" s="32"/>
      <c r="H7" s="33"/>
      <c r="I7" s="33"/>
      <c r="J7" s="33"/>
      <c r="K7" s="33"/>
      <c r="L7" s="33"/>
      <c r="M7" s="33"/>
      <c r="AB7" s="33"/>
      <c r="AC7" s="33"/>
      <c r="AD7" s="33"/>
      <c r="AE7" s="33"/>
      <c r="AF7" s="33"/>
      <c r="AG7" s="33"/>
      <c r="AH7" s="33"/>
      <c r="AI7" s="33"/>
      <c r="AJ7" s="33"/>
      <c r="AK7" s="33"/>
    </row>
    <row r="8" spans="2:37">
      <c r="B8" s="238"/>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38"/>
      <c r="F10" s="32"/>
      <c r="G10" s="32"/>
    </row>
    <row r="11" spans="2:37" s="31" customFormat="1">
      <c r="B11" s="238"/>
      <c r="F11" s="32"/>
      <c r="G11" s="32"/>
    </row>
    <row r="12" spans="2:37">
      <c r="B12" s="23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68"/>
    </row>
    <row r="21" spans="6:14">
      <c r="F21" s="32"/>
      <c r="G21" s="32"/>
      <c r="N21" s="67"/>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98" zoomScaleNormal="98" workbookViewId="0">
      <selection activeCell="M18" sqref="M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Septiembre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38"/>
      <c r="F10" s="32"/>
      <c r="G10" s="32"/>
    </row>
    <row r="11" spans="2:38" s="31" customFormat="1" ht="12.75" customHeight="1">
      <c r="B11" s="238"/>
      <c r="F11" s="32"/>
      <c r="G11" s="32"/>
    </row>
    <row r="12" spans="2:38" ht="12.75" customHeight="1">
      <c r="B12" s="23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N16" sqref="N1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Septiembre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238" t="s">
        <v>145</v>
      </c>
      <c r="F7" s="32"/>
      <c r="G7" s="32"/>
      <c r="H7" s="33"/>
      <c r="I7" s="33"/>
      <c r="J7" s="33"/>
      <c r="K7" s="33"/>
      <c r="L7" s="33"/>
      <c r="M7" s="33"/>
      <c r="AC7" s="33"/>
      <c r="AD7" s="33"/>
      <c r="AE7" s="33"/>
      <c r="AF7" s="33"/>
      <c r="AG7" s="33"/>
      <c r="AH7" s="33"/>
      <c r="AI7" s="33"/>
      <c r="AJ7" s="33"/>
      <c r="AK7" s="33"/>
      <c r="AL7" s="33"/>
    </row>
    <row r="8" spans="2:38">
      <c r="B8" s="238"/>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38"/>
      <c r="F10" s="32"/>
      <c r="G10" s="32"/>
    </row>
    <row r="11" spans="2:38" s="31" customFormat="1" ht="12.75" customHeight="1">
      <c r="B11" s="238"/>
      <c r="F11" s="32"/>
      <c r="G11" s="32"/>
    </row>
    <row r="12" spans="2:38" ht="12.75" customHeight="1">
      <c r="B12" s="23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4"/>
      <c r="O35" s="64"/>
      <c r="P35" s="65"/>
      <c r="Q35" s="65"/>
      <c r="R35" s="65"/>
      <c r="S35" s="65"/>
      <c r="T35" s="65"/>
      <c r="U35" s="65"/>
      <c r="V35" s="65"/>
      <c r="W35" s="65"/>
      <c r="X35" s="65"/>
      <c r="Y35" s="65"/>
      <c r="Z35" s="65"/>
      <c r="AA35" s="65"/>
      <c r="AB35" s="65"/>
    </row>
    <row r="36" spans="1:28" ht="12.75" customHeight="1">
      <c r="N36" s="64"/>
    </row>
    <row r="37" spans="1:28" ht="15">
      <c r="N37" s="64"/>
      <c r="Z37" s="64"/>
      <c r="AA37" s="64"/>
      <c r="AB37" s="71"/>
    </row>
    <row r="38" spans="1:28" s="20" customFormat="1" ht="15">
      <c r="A38" s="28"/>
      <c r="B38" s="28"/>
      <c r="N38" s="64"/>
      <c r="O38" s="28"/>
      <c r="P38" s="28"/>
      <c r="Q38" s="28"/>
      <c r="R38" s="28"/>
      <c r="S38" s="28"/>
      <c r="T38" s="28"/>
      <c r="U38" s="28"/>
      <c r="V38" s="28"/>
      <c r="W38" s="28"/>
      <c r="X38" s="28"/>
      <c r="Y38" s="28"/>
      <c r="Z38" s="64"/>
      <c r="AA38" s="64"/>
      <c r="AB38" s="69"/>
    </row>
    <row r="39" spans="1:28" s="20" customFormat="1" ht="15">
      <c r="A39" s="28"/>
      <c r="B39" s="28"/>
      <c r="N39" s="64"/>
      <c r="O39" s="28"/>
      <c r="P39" s="28"/>
      <c r="Q39" s="28"/>
      <c r="R39" s="28"/>
      <c r="S39" s="28"/>
      <c r="T39" s="28"/>
      <c r="U39" s="28"/>
      <c r="V39" s="28"/>
      <c r="W39" s="28"/>
      <c r="X39" s="28"/>
      <c r="Y39" s="28"/>
      <c r="Z39" s="64"/>
      <c r="AA39" s="64"/>
      <c r="AB39" s="69"/>
    </row>
    <row r="40" spans="1:28" s="20" customFormat="1" ht="15">
      <c r="A40" s="28"/>
      <c r="B40" s="28"/>
      <c r="N40" s="64"/>
      <c r="O40" s="28"/>
      <c r="P40" s="28"/>
      <c r="Q40" s="28"/>
      <c r="R40" s="28"/>
      <c r="S40" s="28"/>
      <c r="T40" s="28"/>
      <c r="U40" s="28"/>
      <c r="V40" s="28"/>
      <c r="W40" s="28"/>
      <c r="X40" s="28"/>
      <c r="Y40" s="28"/>
      <c r="Z40" s="64"/>
      <c r="AA40" s="64"/>
      <c r="AB40" s="69"/>
    </row>
    <row r="41" spans="1:28" ht="14.85" customHeight="1">
      <c r="C41" s="241" t="s">
        <v>149</v>
      </c>
      <c r="D41" s="241"/>
      <c r="E41" s="241"/>
      <c r="F41" s="241"/>
      <c r="G41" s="241"/>
      <c r="H41" s="241"/>
      <c r="I41" s="241"/>
      <c r="J41" s="241"/>
      <c r="K41" s="241"/>
      <c r="L41" s="241"/>
      <c r="N41" s="64"/>
      <c r="Z41" s="64"/>
      <c r="AA41" s="64"/>
      <c r="AB41" s="69"/>
    </row>
    <row r="42" spans="1:28" ht="15">
      <c r="C42" s="241"/>
      <c r="D42" s="241"/>
      <c r="E42" s="241"/>
      <c r="F42" s="241"/>
      <c r="G42" s="241"/>
      <c r="H42" s="241"/>
      <c r="I42" s="241"/>
      <c r="J42" s="241"/>
      <c r="K42" s="241"/>
      <c r="L42" s="241"/>
      <c r="N42" s="64"/>
      <c r="Z42" s="64"/>
      <c r="AA42" s="64"/>
      <c r="AB42" s="69"/>
    </row>
    <row r="43" spans="1:28" ht="15">
      <c r="C43" s="133"/>
      <c r="D43" s="133"/>
      <c r="E43" s="133"/>
      <c r="F43" s="133"/>
      <c r="G43" s="133"/>
      <c r="H43" s="133"/>
      <c r="I43" s="133"/>
      <c r="J43" s="133"/>
      <c r="K43" s="133"/>
      <c r="L43" s="133"/>
      <c r="N43" s="64"/>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7" zoomScaleNormal="100" workbookViewId="0">
      <selection activeCell="E43" sqref="E4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Septiembre 2025</v>
      </c>
    </row>
    <row r="4" spans="2:37">
      <c r="B4" s="19" t="s">
        <v>30</v>
      </c>
      <c r="O4" s="63" t="s">
        <v>6</v>
      </c>
      <c r="P4" s="63" t="s">
        <v>7</v>
      </c>
      <c r="Q4" s="63" t="s">
        <v>8</v>
      </c>
      <c r="R4" s="63" t="s">
        <v>7</v>
      </c>
      <c r="S4" s="63" t="s">
        <v>9</v>
      </c>
      <c r="T4" s="63" t="s">
        <v>9</v>
      </c>
      <c r="U4" s="63" t="s">
        <v>8</v>
      </c>
      <c r="V4" s="63" t="s">
        <v>10</v>
      </c>
      <c r="W4" s="63" t="s">
        <v>11</v>
      </c>
      <c r="X4" s="63" t="s">
        <v>12</v>
      </c>
      <c r="Y4" s="63" t="s">
        <v>13</v>
      </c>
      <c r="Z4" s="63" t="s">
        <v>5</v>
      </c>
      <c r="AA4" s="63" t="s">
        <v>6</v>
      </c>
    </row>
    <row r="5" spans="2:37" s="31" customFormat="1"/>
    <row r="6" spans="2:37" s="31" customFormat="1"/>
    <row r="7" spans="2:37" ht="12.75" customHeight="1">
      <c r="B7" s="238" t="s">
        <v>146</v>
      </c>
      <c r="F7" s="32"/>
      <c r="G7" s="32"/>
      <c r="H7" s="33"/>
      <c r="I7" s="33"/>
      <c r="J7" s="33"/>
      <c r="K7" s="33"/>
      <c r="L7" s="33"/>
      <c r="M7" s="33"/>
      <c r="AB7" s="33"/>
      <c r="AC7" s="33"/>
      <c r="AD7" s="33"/>
      <c r="AE7" s="33"/>
      <c r="AF7" s="33"/>
      <c r="AG7" s="33"/>
      <c r="AH7" s="33"/>
      <c r="AI7" s="33"/>
      <c r="AJ7" s="33"/>
      <c r="AK7" s="33"/>
    </row>
    <row r="8" spans="2:37">
      <c r="B8" s="238"/>
      <c r="F8" s="32"/>
      <c r="G8" s="32"/>
      <c r="H8" s="33"/>
      <c r="I8" s="33"/>
      <c r="J8" s="33"/>
      <c r="K8" s="33"/>
      <c r="L8" s="33"/>
      <c r="M8" s="33"/>
      <c r="AB8" s="33"/>
      <c r="AC8" s="33"/>
      <c r="AD8" s="33"/>
      <c r="AE8" s="33"/>
      <c r="AF8" s="33"/>
      <c r="AG8" s="33"/>
      <c r="AH8" s="33"/>
      <c r="AI8" s="33"/>
      <c r="AJ8" s="33"/>
      <c r="AK8" s="33"/>
    </row>
    <row r="9" spans="2:37">
      <c r="B9" s="238"/>
      <c r="F9" s="32"/>
      <c r="G9" s="32"/>
    </row>
    <row r="10" spans="2:37" ht="16.5" customHeight="1">
      <c r="B10" s="238"/>
      <c r="F10" s="32"/>
      <c r="G10" s="32"/>
    </row>
    <row r="11" spans="2:37" s="31" customFormat="1">
      <c r="B11" s="47" t="s">
        <v>144</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2"/>
      <c r="P25" s="62"/>
      <c r="Q25" s="62"/>
      <c r="R25" s="62"/>
      <c r="S25" s="62"/>
      <c r="T25" s="62"/>
      <c r="U25" s="62"/>
      <c r="V25" s="62"/>
      <c r="W25" s="62"/>
      <c r="X25" s="62"/>
      <c r="Y25" s="62"/>
      <c r="Z25" s="62"/>
      <c r="AA25" s="62"/>
    </row>
    <row r="26" spans="6:27">
      <c r="F26" s="32"/>
      <c r="G26" s="32"/>
    </row>
    <row r="27" spans="6:27">
      <c r="F27" s="32"/>
      <c r="G27" s="32"/>
    </row>
    <row r="28" spans="6:27">
      <c r="F28" s="32"/>
      <c r="G28" s="32"/>
      <c r="P28" s="66"/>
    </row>
    <row r="29" spans="6:27">
      <c r="F29" s="32"/>
      <c r="G29" s="32"/>
      <c r="P29" s="66"/>
    </row>
    <row r="30" spans="6:27">
      <c r="F30" s="32"/>
      <c r="G30" s="32"/>
      <c r="P30" s="66"/>
    </row>
    <row r="31" spans="6:27">
      <c r="F31" s="32"/>
      <c r="G31" s="32"/>
      <c r="P31" s="66"/>
    </row>
    <row r="32" spans="6:27">
      <c r="F32" s="32"/>
      <c r="G32" s="32"/>
      <c r="P32" s="66"/>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106" zoomScaleNormal="106" workbookViewId="0">
      <selection activeCell="M22" sqref="M2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Septiembre 2025</v>
      </c>
    </row>
    <row r="4" spans="2:38">
      <c r="B4" s="19" t="s">
        <v>30</v>
      </c>
      <c r="P4" s="63"/>
      <c r="Q4" s="63"/>
      <c r="R4" s="63"/>
      <c r="S4" s="63"/>
      <c r="T4" s="63"/>
      <c r="U4" s="63"/>
      <c r="V4" s="63"/>
      <c r="W4" s="63"/>
      <c r="X4" s="63"/>
      <c r="Y4" s="63"/>
      <c r="Z4" s="63"/>
      <c r="AA4" s="63"/>
    </row>
    <row r="5" spans="2:38" s="31" customFormat="1"/>
    <row r="6" spans="2:38" s="31" customFormat="1"/>
    <row r="7" spans="2:38" ht="12.75" customHeight="1">
      <c r="B7" s="238" t="s">
        <v>24</v>
      </c>
      <c r="F7" s="32"/>
      <c r="G7" s="32"/>
      <c r="H7" s="33"/>
      <c r="I7" s="33"/>
      <c r="J7" s="33"/>
      <c r="K7" s="33"/>
      <c r="L7" s="33"/>
      <c r="M7" s="33"/>
      <c r="AC7" s="33"/>
      <c r="AD7" s="33"/>
      <c r="AE7" s="33"/>
      <c r="AF7" s="33"/>
      <c r="AG7" s="33"/>
      <c r="AH7" s="33"/>
      <c r="AI7" s="33"/>
      <c r="AJ7" s="33"/>
      <c r="AK7" s="33"/>
      <c r="AL7" s="33"/>
    </row>
    <row r="8" spans="2:38">
      <c r="B8" s="238"/>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38"/>
      <c r="F10" s="32"/>
      <c r="G10" s="32"/>
    </row>
    <row r="11" spans="2:38" s="31" customFormat="1" ht="12.75" customHeight="1">
      <c r="B11" s="238"/>
      <c r="F11" s="32"/>
      <c r="G11" s="32"/>
    </row>
    <row r="12" spans="2:38" ht="12.75" customHeight="1">
      <c r="B12" s="23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4"/>
      <c r="AA48" s="64"/>
      <c r="AB48" s="69"/>
    </row>
    <row r="49" spans="10:28" ht="15">
      <c r="Z49" s="64"/>
      <c r="AA49" s="64"/>
      <c r="AB49" s="69"/>
    </row>
    <row r="50" spans="10:28" ht="15">
      <c r="Z50" s="64"/>
      <c r="AA50" s="64"/>
      <c r="AB50" s="69"/>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0"/>
  <sheetViews>
    <sheetView topLeftCell="AG1" zoomScale="98" zoomScaleNormal="98" workbookViewId="0">
      <selection activeCell="AG20" sqref="AG20"/>
    </sheetView>
  </sheetViews>
  <sheetFormatPr baseColWidth="10" defaultColWidth="16.28515625" defaultRowHeight="12.75"/>
  <cols>
    <col min="1" max="15" width="19.28515625" customWidth="1"/>
    <col min="16" max="16" width="15.5703125" bestFit="1" customWidth="1"/>
    <col min="17" max="20" width="4.5703125" bestFit="1" customWidth="1"/>
    <col min="21" max="25" width="5.28515625" bestFit="1" customWidth="1"/>
    <col min="26" max="26" width="6.140625" bestFit="1" customWidth="1"/>
    <col min="27" max="27" width="6.42578125" bestFit="1" customWidth="1"/>
    <col min="28" max="28" width="7.7109375" bestFit="1" customWidth="1"/>
  </cols>
  <sheetData>
    <row r="1" spans="1:43" ht="14.25">
      <c r="A1" s="113" t="s">
        <v>122</v>
      </c>
    </row>
    <row r="2" spans="1:43" ht="14.25">
      <c r="A2" s="117" t="str">
        <f>MID(B5,6,LEN(B5))&amp;" "&amp;MID(B5,1,4)</f>
        <v>Septiembre 2025</v>
      </c>
      <c r="D2" s="62"/>
    </row>
    <row r="4" spans="1:43">
      <c r="A4" s="122" t="s">
        <v>27</v>
      </c>
      <c r="B4" s="244" t="s">
        <v>87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row>
    <row r="5" spans="1:43">
      <c r="A5" s="122" t="s">
        <v>86</v>
      </c>
      <c r="B5" s="259" t="s">
        <v>282</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row>
    <row r="6" spans="1:43">
      <c r="A6" s="122" t="s">
        <v>114</v>
      </c>
      <c r="B6" s="145" t="s">
        <v>90</v>
      </c>
      <c r="C6" s="145" t="s">
        <v>91</v>
      </c>
      <c r="D6" s="145" t="s">
        <v>92</v>
      </c>
      <c r="E6" s="145" t="s">
        <v>93</v>
      </c>
      <c r="F6" s="145" t="s">
        <v>94</v>
      </c>
      <c r="G6" s="145" t="s">
        <v>95</v>
      </c>
      <c r="H6" s="145" t="s">
        <v>96</v>
      </c>
      <c r="I6" s="145" t="s">
        <v>97</v>
      </c>
      <c r="J6" s="145" t="s">
        <v>98</v>
      </c>
      <c r="K6" s="145" t="s">
        <v>99</v>
      </c>
      <c r="L6" s="145" t="s">
        <v>100</v>
      </c>
      <c r="M6" s="145" t="s">
        <v>101</v>
      </c>
      <c r="N6" s="145" t="s">
        <v>102</v>
      </c>
      <c r="O6" s="145" t="s">
        <v>103</v>
      </c>
      <c r="P6" s="145" t="s">
        <v>104</v>
      </c>
      <c r="Q6" s="145" t="s">
        <v>105</v>
      </c>
      <c r="R6" s="145" t="s">
        <v>106</v>
      </c>
      <c r="S6" s="145" t="s">
        <v>107</v>
      </c>
      <c r="T6" s="145" t="s">
        <v>108</v>
      </c>
      <c r="U6" s="145" t="s">
        <v>109</v>
      </c>
      <c r="V6" s="145" t="s">
        <v>110</v>
      </c>
      <c r="W6" s="145" t="s">
        <v>111</v>
      </c>
      <c r="X6" s="145" t="s">
        <v>112</v>
      </c>
      <c r="Y6" s="145" t="s">
        <v>113</v>
      </c>
      <c r="Z6" s="218">
        <v>25</v>
      </c>
      <c r="AA6" s="218" t="s">
        <v>88</v>
      </c>
      <c r="AB6" s="218" t="s">
        <v>89</v>
      </c>
      <c r="AC6" s="218" t="s">
        <v>190</v>
      </c>
    </row>
    <row r="7" spans="1:43">
      <c r="A7" s="122" t="s">
        <v>123</v>
      </c>
      <c r="B7" s="143"/>
      <c r="C7" s="143"/>
      <c r="D7" s="143"/>
      <c r="E7" s="143"/>
      <c r="F7" s="143"/>
      <c r="G7" s="143"/>
      <c r="H7" s="143"/>
      <c r="I7" s="143"/>
      <c r="J7" s="143"/>
      <c r="K7" s="143"/>
      <c r="L7" s="143"/>
      <c r="M7" s="143"/>
      <c r="N7" s="143"/>
      <c r="O7" s="143"/>
      <c r="P7" s="143"/>
      <c r="Q7" s="143"/>
      <c r="R7" s="143"/>
      <c r="S7" s="143"/>
      <c r="T7" s="143"/>
      <c r="U7" s="143"/>
      <c r="V7" s="143"/>
      <c r="W7" s="143"/>
      <c r="X7" s="143"/>
      <c r="Y7" s="143"/>
      <c r="Z7" s="219"/>
      <c r="AA7" s="219"/>
      <c r="AB7" s="219"/>
      <c r="AC7" s="219"/>
      <c r="AD7" t="s">
        <v>168</v>
      </c>
      <c r="AG7" t="s">
        <v>177</v>
      </c>
      <c r="AI7" t="s">
        <v>178</v>
      </c>
      <c r="AK7" t="s">
        <v>181</v>
      </c>
      <c r="AM7" t="s">
        <v>182</v>
      </c>
      <c r="AN7" t="s">
        <v>238</v>
      </c>
    </row>
    <row r="8" spans="1:43">
      <c r="A8" s="124" t="s">
        <v>252</v>
      </c>
      <c r="B8" s="186">
        <v>35.79</v>
      </c>
      <c r="C8" s="220">
        <v>18.07</v>
      </c>
      <c r="D8" s="220">
        <v>22.34</v>
      </c>
      <c r="E8" s="220">
        <v>17.64</v>
      </c>
      <c r="F8" s="220">
        <v>15</v>
      </c>
      <c r="G8" s="186">
        <v>25.21</v>
      </c>
      <c r="H8" s="186">
        <v>33.229999999999997</v>
      </c>
      <c r="I8" s="221">
        <v>53.18</v>
      </c>
      <c r="J8" s="221">
        <v>64</v>
      </c>
      <c r="K8" s="186">
        <v>35.79</v>
      </c>
      <c r="L8" s="220">
        <v>3.52</v>
      </c>
      <c r="M8" s="222">
        <v>0</v>
      </c>
      <c r="N8" s="222">
        <v>0</v>
      </c>
      <c r="O8" s="222">
        <v>0</v>
      </c>
      <c r="P8" s="222">
        <v>0</v>
      </c>
      <c r="Q8" s="222">
        <v>0</v>
      </c>
      <c r="R8" s="222">
        <v>0</v>
      </c>
      <c r="S8" s="222">
        <v>0</v>
      </c>
      <c r="T8" s="220">
        <v>3.52</v>
      </c>
      <c r="U8" s="221">
        <v>55</v>
      </c>
      <c r="V8" s="221">
        <v>80</v>
      </c>
      <c r="W8" s="221">
        <v>100.01</v>
      </c>
      <c r="X8" s="221">
        <v>92.8</v>
      </c>
      <c r="Y8" s="221">
        <v>80</v>
      </c>
      <c r="Z8" s="223"/>
      <c r="AA8" s="223">
        <v>0</v>
      </c>
      <c r="AB8" s="223">
        <v>100.01</v>
      </c>
      <c r="AC8" s="223">
        <v>26.059680906499999</v>
      </c>
      <c r="AD8" s="160">
        <v>61.04233333333341</v>
      </c>
      <c r="AE8" s="173"/>
      <c r="AF8" s="171"/>
      <c r="AG8" s="167">
        <v>72.623319444444419</v>
      </c>
      <c r="AI8" s="171">
        <f>AD8/AG8-1</f>
        <v>-0.15946649367866284</v>
      </c>
      <c r="AK8" s="167">
        <v>68.444690860214948</v>
      </c>
      <c r="AM8" s="171">
        <f>AD8/AK8-1</f>
        <v>-0.10815093813484267</v>
      </c>
      <c r="AN8" s="62">
        <f>AB8-AA8</f>
        <v>100.01</v>
      </c>
      <c r="AQ8" s="119">
        <v>1</v>
      </c>
    </row>
    <row r="9" spans="1:43">
      <c r="A9" s="124" t="s">
        <v>253</v>
      </c>
      <c r="B9" s="221">
        <v>100.86</v>
      </c>
      <c r="C9" s="221">
        <v>95</v>
      </c>
      <c r="D9" s="221">
        <v>87.2</v>
      </c>
      <c r="E9" s="221">
        <v>81.88</v>
      </c>
      <c r="F9" s="221">
        <v>80.3</v>
      </c>
      <c r="G9" s="221">
        <v>80.3</v>
      </c>
      <c r="H9" s="221">
        <v>81.55</v>
      </c>
      <c r="I9" s="221">
        <v>95.15</v>
      </c>
      <c r="J9" s="221">
        <v>87.2</v>
      </c>
      <c r="K9" s="186">
        <v>39</v>
      </c>
      <c r="L9" s="220">
        <v>7.96</v>
      </c>
      <c r="M9" s="220">
        <v>1.2</v>
      </c>
      <c r="N9" s="220">
        <v>1.5</v>
      </c>
      <c r="O9" s="220">
        <v>0.65</v>
      </c>
      <c r="P9" s="220">
        <v>0.21</v>
      </c>
      <c r="Q9" s="220">
        <v>1.5</v>
      </c>
      <c r="R9" s="220">
        <v>3.52</v>
      </c>
      <c r="S9" s="220">
        <v>14</v>
      </c>
      <c r="T9" s="186">
        <v>32.89</v>
      </c>
      <c r="U9" s="221">
        <v>84</v>
      </c>
      <c r="V9" s="221">
        <v>109.52</v>
      </c>
      <c r="W9" s="221">
        <v>160</v>
      </c>
      <c r="X9" s="221">
        <v>116.72</v>
      </c>
      <c r="Y9" s="221">
        <v>104.22</v>
      </c>
      <c r="Z9" s="223"/>
      <c r="AA9" s="223">
        <v>0.21</v>
      </c>
      <c r="AB9" s="223">
        <v>160</v>
      </c>
      <c r="AC9" s="223">
        <v>51.0808665156</v>
      </c>
      <c r="AD9" s="62"/>
      <c r="AN9" s="62">
        <f t="shared" ref="AN9:AN37" si="0">AB9-AA9</f>
        <v>159.79</v>
      </c>
      <c r="AQ9" s="119">
        <v>2</v>
      </c>
    </row>
    <row r="10" spans="1:43">
      <c r="A10" s="124" t="s">
        <v>254</v>
      </c>
      <c r="B10" s="221">
        <v>105.23</v>
      </c>
      <c r="C10" s="221">
        <v>95</v>
      </c>
      <c r="D10" s="221">
        <v>85</v>
      </c>
      <c r="E10" s="221">
        <v>80.5</v>
      </c>
      <c r="F10" s="221">
        <v>76.05</v>
      </c>
      <c r="G10" s="221">
        <v>76.05</v>
      </c>
      <c r="H10" s="221">
        <v>83.22</v>
      </c>
      <c r="I10" s="221">
        <v>93</v>
      </c>
      <c r="J10" s="221">
        <v>83.22</v>
      </c>
      <c r="K10" s="220">
        <v>17.5</v>
      </c>
      <c r="L10" s="222">
        <v>0</v>
      </c>
      <c r="M10" s="220">
        <v>-0.01</v>
      </c>
      <c r="N10" s="220">
        <v>-0.01</v>
      </c>
      <c r="O10" s="220">
        <v>-0.02</v>
      </c>
      <c r="P10" s="220">
        <v>-0.02</v>
      </c>
      <c r="Q10" s="220">
        <v>-0.01</v>
      </c>
      <c r="R10" s="220">
        <v>-0.01</v>
      </c>
      <c r="S10" s="222">
        <v>0</v>
      </c>
      <c r="T10" s="220">
        <v>12.85</v>
      </c>
      <c r="U10" s="221">
        <v>70</v>
      </c>
      <c r="V10" s="221">
        <v>103.13</v>
      </c>
      <c r="W10" s="221">
        <v>133.44999999999999</v>
      </c>
      <c r="X10" s="221">
        <v>107.43</v>
      </c>
      <c r="Y10" s="221">
        <v>100.86</v>
      </c>
      <c r="Z10" s="223"/>
      <c r="AA10" s="223">
        <v>-0.02</v>
      </c>
      <c r="AB10" s="223">
        <v>133.44999999999999</v>
      </c>
      <c r="AC10" s="223">
        <v>45.403800910699999</v>
      </c>
      <c r="AN10" s="62">
        <f t="shared" si="0"/>
        <v>133.47</v>
      </c>
      <c r="AQ10" s="119">
        <v>3</v>
      </c>
    </row>
    <row r="11" spans="1:43">
      <c r="A11" s="124" t="s">
        <v>255</v>
      </c>
      <c r="B11" s="221">
        <v>91.24</v>
      </c>
      <c r="C11" s="221">
        <v>85</v>
      </c>
      <c r="D11" s="221">
        <v>79.91</v>
      </c>
      <c r="E11" s="221">
        <v>72.27</v>
      </c>
      <c r="F11" s="221">
        <v>70</v>
      </c>
      <c r="G11" s="221">
        <v>70.7</v>
      </c>
      <c r="H11" s="221">
        <v>81.02</v>
      </c>
      <c r="I11" s="221">
        <v>103.55</v>
      </c>
      <c r="J11" s="221">
        <v>93.53</v>
      </c>
      <c r="K11" s="221">
        <v>50</v>
      </c>
      <c r="L11" s="220">
        <v>18.07</v>
      </c>
      <c r="M11" s="220">
        <v>5.79</v>
      </c>
      <c r="N11" s="220">
        <v>3.2</v>
      </c>
      <c r="O11" s="220">
        <v>1.72</v>
      </c>
      <c r="P11" s="220">
        <v>1.6</v>
      </c>
      <c r="Q11" s="220">
        <v>1.55</v>
      </c>
      <c r="R11" s="220">
        <v>3.7</v>
      </c>
      <c r="S11" s="220">
        <v>7.01</v>
      </c>
      <c r="T11" s="186">
        <v>28.19</v>
      </c>
      <c r="U11" s="221">
        <v>66.040000000000006</v>
      </c>
      <c r="V11" s="221">
        <v>102.5</v>
      </c>
      <c r="W11" s="221">
        <v>112.99</v>
      </c>
      <c r="X11" s="221">
        <v>100.45</v>
      </c>
      <c r="Y11" s="221">
        <v>85.5</v>
      </c>
      <c r="Z11" s="223"/>
      <c r="AA11" s="223">
        <v>1.55</v>
      </c>
      <c r="AB11" s="223">
        <v>112.99</v>
      </c>
      <c r="AC11" s="223">
        <v>46.010227227999998</v>
      </c>
      <c r="AN11" s="62">
        <f t="shared" si="0"/>
        <v>111.44</v>
      </c>
      <c r="AQ11" s="119">
        <v>4</v>
      </c>
    </row>
    <row r="12" spans="1:43">
      <c r="A12" s="124" t="s">
        <v>256</v>
      </c>
      <c r="B12" s="221">
        <v>89.25</v>
      </c>
      <c r="C12" s="221">
        <v>79.02</v>
      </c>
      <c r="D12" s="221">
        <v>65</v>
      </c>
      <c r="E12" s="221">
        <v>60</v>
      </c>
      <c r="F12" s="221">
        <v>53.31</v>
      </c>
      <c r="G12" s="221">
        <v>60</v>
      </c>
      <c r="H12" s="221">
        <v>76.790000000000006</v>
      </c>
      <c r="I12" s="221">
        <v>89.99</v>
      </c>
      <c r="J12" s="221">
        <v>88.22</v>
      </c>
      <c r="K12" s="221">
        <v>79.099999999999994</v>
      </c>
      <c r="L12" s="186">
        <v>35</v>
      </c>
      <c r="M12" s="220">
        <v>10</v>
      </c>
      <c r="N12" s="220">
        <v>3.52</v>
      </c>
      <c r="O12" s="220">
        <v>3.52</v>
      </c>
      <c r="P12" s="220">
        <v>1.03</v>
      </c>
      <c r="Q12" s="220">
        <v>0.65</v>
      </c>
      <c r="R12" s="220">
        <v>0.85</v>
      </c>
      <c r="S12" s="220">
        <v>3.52</v>
      </c>
      <c r="T12" s="221">
        <v>45.23</v>
      </c>
      <c r="U12" s="221">
        <v>89.25</v>
      </c>
      <c r="V12" s="221">
        <v>103.97</v>
      </c>
      <c r="W12" s="221">
        <v>107.1</v>
      </c>
      <c r="X12" s="221">
        <v>95</v>
      </c>
      <c r="Y12" s="221">
        <v>88.38</v>
      </c>
      <c r="Z12" s="223"/>
      <c r="AA12" s="223">
        <v>0.65</v>
      </c>
      <c r="AB12" s="223">
        <v>107.1</v>
      </c>
      <c r="AC12" s="223">
        <v>47.462442895899997</v>
      </c>
      <c r="AN12" s="62">
        <f t="shared" si="0"/>
        <v>106.44999999999999</v>
      </c>
      <c r="AQ12" s="119">
        <v>5</v>
      </c>
    </row>
    <row r="13" spans="1:43">
      <c r="A13" s="124" t="s">
        <v>257</v>
      </c>
      <c r="B13" s="221">
        <v>74.64</v>
      </c>
      <c r="C13" s="221">
        <v>58.78</v>
      </c>
      <c r="D13" s="221">
        <v>48.71</v>
      </c>
      <c r="E13" s="186">
        <v>39.9</v>
      </c>
      <c r="F13" s="186">
        <v>34.799999999999997</v>
      </c>
      <c r="G13" s="186">
        <v>33.46</v>
      </c>
      <c r="H13" s="186">
        <v>35</v>
      </c>
      <c r="I13" s="186">
        <v>42</v>
      </c>
      <c r="J13" s="186">
        <v>34.9</v>
      </c>
      <c r="K13" s="220">
        <v>15.23</v>
      </c>
      <c r="L13" s="220">
        <v>1.72</v>
      </c>
      <c r="M13" s="222">
        <v>0</v>
      </c>
      <c r="N13" s="220">
        <v>-0.02</v>
      </c>
      <c r="O13" s="220">
        <v>-0.86</v>
      </c>
      <c r="P13" s="220">
        <v>-0.99</v>
      </c>
      <c r="Q13" s="220">
        <v>-0.16</v>
      </c>
      <c r="R13" s="220">
        <v>-0.02</v>
      </c>
      <c r="S13" s="222">
        <v>0</v>
      </c>
      <c r="T13" s="222">
        <v>0</v>
      </c>
      <c r="U13" s="220">
        <v>24.37</v>
      </c>
      <c r="V13" s="186">
        <v>42</v>
      </c>
      <c r="W13" s="221">
        <v>58.54</v>
      </c>
      <c r="X13" s="221">
        <v>55.44</v>
      </c>
      <c r="Y13" s="186">
        <v>39.5</v>
      </c>
      <c r="Z13" s="223"/>
      <c r="AA13" s="223">
        <v>-0.99</v>
      </c>
      <c r="AB13" s="223">
        <v>74.64</v>
      </c>
      <c r="AC13" s="223">
        <v>23.636262336600002</v>
      </c>
      <c r="AN13" s="62">
        <f t="shared" si="0"/>
        <v>75.63</v>
      </c>
      <c r="AQ13" s="119">
        <v>6</v>
      </c>
    </row>
    <row r="14" spans="1:43">
      <c r="A14" s="124" t="s">
        <v>258</v>
      </c>
      <c r="B14" s="220">
        <v>23</v>
      </c>
      <c r="C14" s="220">
        <v>14</v>
      </c>
      <c r="D14" s="186">
        <v>25.15</v>
      </c>
      <c r="E14" s="220">
        <v>21</v>
      </c>
      <c r="F14" s="220">
        <v>18.32</v>
      </c>
      <c r="G14" s="186">
        <v>26.28</v>
      </c>
      <c r="H14" s="220">
        <v>14</v>
      </c>
      <c r="I14" s="220">
        <v>19.989999999999998</v>
      </c>
      <c r="J14" s="186">
        <v>26.5</v>
      </c>
      <c r="K14" s="186">
        <v>25.3</v>
      </c>
      <c r="L14" s="220">
        <v>4.96</v>
      </c>
      <c r="M14" s="220">
        <v>0.66</v>
      </c>
      <c r="N14" s="222">
        <v>0</v>
      </c>
      <c r="O14" s="220">
        <v>0.01</v>
      </c>
      <c r="P14" s="220">
        <v>0.16</v>
      </c>
      <c r="Q14" s="222">
        <v>0</v>
      </c>
      <c r="R14" s="220">
        <v>0.65</v>
      </c>
      <c r="S14" s="220">
        <v>6.08</v>
      </c>
      <c r="T14" s="221">
        <v>47.5</v>
      </c>
      <c r="U14" s="221">
        <v>79.02</v>
      </c>
      <c r="V14" s="221">
        <v>98.21</v>
      </c>
      <c r="W14" s="221">
        <v>111.56</v>
      </c>
      <c r="X14" s="221">
        <v>104.9</v>
      </c>
      <c r="Y14" s="221">
        <v>97</v>
      </c>
      <c r="Z14" s="223"/>
      <c r="AA14" s="223">
        <v>0</v>
      </c>
      <c r="AB14" s="223">
        <v>111.56</v>
      </c>
      <c r="AC14" s="223">
        <v>28.202616592999998</v>
      </c>
      <c r="AN14" s="62">
        <f t="shared" si="0"/>
        <v>111.56</v>
      </c>
      <c r="AQ14" s="119">
        <v>7</v>
      </c>
    </row>
    <row r="15" spans="1:43">
      <c r="A15" s="124" t="s">
        <v>259</v>
      </c>
      <c r="B15" s="221">
        <v>104.5</v>
      </c>
      <c r="C15" s="221">
        <v>94.5</v>
      </c>
      <c r="D15" s="221">
        <v>91.54</v>
      </c>
      <c r="E15" s="221">
        <v>85.52</v>
      </c>
      <c r="F15" s="221">
        <v>80.94</v>
      </c>
      <c r="G15" s="221">
        <v>81.97</v>
      </c>
      <c r="H15" s="221">
        <v>92.02</v>
      </c>
      <c r="I15" s="221">
        <v>104.45</v>
      </c>
      <c r="J15" s="221">
        <v>108.36</v>
      </c>
      <c r="K15" s="221">
        <v>98.21</v>
      </c>
      <c r="L15" s="221">
        <v>85.83</v>
      </c>
      <c r="M15" s="221">
        <v>63</v>
      </c>
      <c r="N15" s="221">
        <v>52.01</v>
      </c>
      <c r="O15" s="186">
        <v>38.56</v>
      </c>
      <c r="P15" s="186">
        <v>27.2</v>
      </c>
      <c r="Q15" s="186">
        <v>27.08</v>
      </c>
      <c r="R15" s="186">
        <v>27.2</v>
      </c>
      <c r="S15" s="221">
        <v>48.64</v>
      </c>
      <c r="T15" s="221">
        <v>73.08</v>
      </c>
      <c r="U15" s="221">
        <v>91.15</v>
      </c>
      <c r="V15" s="221">
        <v>98.21</v>
      </c>
      <c r="W15" s="221">
        <v>95.26</v>
      </c>
      <c r="X15" s="221">
        <v>90.51</v>
      </c>
      <c r="Y15" s="221">
        <v>73.08</v>
      </c>
      <c r="Z15" s="223"/>
      <c r="AA15" s="223">
        <v>27.08</v>
      </c>
      <c r="AB15" s="223">
        <v>108.36</v>
      </c>
      <c r="AC15" s="223">
        <v>71.696148758899994</v>
      </c>
      <c r="AN15" s="62">
        <f t="shared" si="0"/>
        <v>81.28</v>
      </c>
      <c r="AQ15" s="119">
        <v>8</v>
      </c>
    </row>
    <row r="16" spans="1:43">
      <c r="A16" s="124" t="s">
        <v>260</v>
      </c>
      <c r="B16" s="221">
        <v>63.33</v>
      </c>
      <c r="C16" s="221">
        <v>63.33</v>
      </c>
      <c r="D16" s="221">
        <v>61.51</v>
      </c>
      <c r="E16" s="221">
        <v>61.51</v>
      </c>
      <c r="F16" s="221">
        <v>61.51</v>
      </c>
      <c r="G16" s="221">
        <v>69.45</v>
      </c>
      <c r="H16" s="221">
        <v>83.09</v>
      </c>
      <c r="I16" s="221">
        <v>96.1</v>
      </c>
      <c r="J16" s="221">
        <v>96.44</v>
      </c>
      <c r="K16" s="221">
        <v>80.709999999999994</v>
      </c>
      <c r="L16" s="221">
        <v>54.93</v>
      </c>
      <c r="M16" s="186">
        <v>30.22</v>
      </c>
      <c r="N16" s="186">
        <v>26</v>
      </c>
      <c r="O16" s="220">
        <v>19.25</v>
      </c>
      <c r="P16" s="220">
        <v>17.190000000000001</v>
      </c>
      <c r="Q16" s="220">
        <v>8.91</v>
      </c>
      <c r="R16" s="220">
        <v>16.57</v>
      </c>
      <c r="S16" s="186">
        <v>30</v>
      </c>
      <c r="T16" s="221">
        <v>56</v>
      </c>
      <c r="U16" s="221">
        <v>90</v>
      </c>
      <c r="V16" s="221">
        <v>111.37</v>
      </c>
      <c r="W16" s="221">
        <v>120</v>
      </c>
      <c r="X16" s="221">
        <v>110</v>
      </c>
      <c r="Y16" s="221">
        <v>98.07</v>
      </c>
      <c r="Z16" s="223"/>
      <c r="AA16" s="223">
        <v>8.91</v>
      </c>
      <c r="AB16" s="223">
        <v>120</v>
      </c>
      <c r="AC16" s="223">
        <v>57.797838199899999</v>
      </c>
      <c r="AN16" s="62">
        <f t="shared" si="0"/>
        <v>111.09</v>
      </c>
      <c r="AQ16" s="119">
        <v>9</v>
      </c>
    </row>
    <row r="17" spans="1:43">
      <c r="A17" s="124" t="s">
        <v>261</v>
      </c>
      <c r="B17" s="221">
        <v>89.94</v>
      </c>
      <c r="C17" s="221">
        <v>83.09</v>
      </c>
      <c r="D17" s="221">
        <v>83.09</v>
      </c>
      <c r="E17" s="221">
        <v>81.099999999999994</v>
      </c>
      <c r="F17" s="221">
        <v>72.989999999999995</v>
      </c>
      <c r="G17" s="221">
        <v>66</v>
      </c>
      <c r="H17" s="221">
        <v>77.5</v>
      </c>
      <c r="I17" s="221">
        <v>84.26</v>
      </c>
      <c r="J17" s="221">
        <v>75.989999999999995</v>
      </c>
      <c r="K17" s="221">
        <v>45.1</v>
      </c>
      <c r="L17" s="220">
        <v>8</v>
      </c>
      <c r="M17" s="222">
        <v>0</v>
      </c>
      <c r="N17" s="222">
        <v>0</v>
      </c>
      <c r="O17" s="220">
        <v>-0.01</v>
      </c>
      <c r="P17" s="220">
        <v>-0.01</v>
      </c>
      <c r="Q17" s="220">
        <v>-0.01</v>
      </c>
      <c r="R17" s="220">
        <v>-0.01</v>
      </c>
      <c r="S17" s="220">
        <v>4.9000000000000004</v>
      </c>
      <c r="T17" s="220">
        <v>23.09</v>
      </c>
      <c r="U17" s="221">
        <v>62.17</v>
      </c>
      <c r="V17" s="221">
        <v>96</v>
      </c>
      <c r="W17" s="221">
        <v>105.01</v>
      </c>
      <c r="X17" s="221">
        <v>96.26</v>
      </c>
      <c r="Y17" s="221">
        <v>83.09</v>
      </c>
      <c r="Z17" s="223"/>
      <c r="AA17" s="223">
        <v>-0.01</v>
      </c>
      <c r="AB17" s="223">
        <v>105.01</v>
      </c>
      <c r="AC17" s="223">
        <v>43.2858809827</v>
      </c>
      <c r="AN17" s="62">
        <f t="shared" si="0"/>
        <v>105.02000000000001</v>
      </c>
      <c r="AQ17" s="119">
        <v>10</v>
      </c>
    </row>
    <row r="18" spans="1:43">
      <c r="A18" s="124" t="s">
        <v>262</v>
      </c>
      <c r="B18" s="221">
        <v>85</v>
      </c>
      <c r="C18" s="221">
        <v>78.349999999999994</v>
      </c>
      <c r="D18" s="221">
        <v>67.3</v>
      </c>
      <c r="E18" s="221">
        <v>67.3</v>
      </c>
      <c r="F18" s="221">
        <v>70</v>
      </c>
      <c r="G18" s="221">
        <v>74</v>
      </c>
      <c r="H18" s="221">
        <v>78.84</v>
      </c>
      <c r="I18" s="221">
        <v>98.3</v>
      </c>
      <c r="J18" s="221">
        <v>88.07</v>
      </c>
      <c r="K18" s="221">
        <v>45.1</v>
      </c>
      <c r="L18" s="220">
        <v>0.03</v>
      </c>
      <c r="M18" s="220">
        <v>-0.01</v>
      </c>
      <c r="N18" s="220">
        <v>-0.01</v>
      </c>
      <c r="O18" s="220">
        <v>-0.01</v>
      </c>
      <c r="P18" s="220">
        <v>-0.01</v>
      </c>
      <c r="Q18" s="220">
        <v>-0.01</v>
      </c>
      <c r="R18" s="220">
        <v>-0.01</v>
      </c>
      <c r="S18" s="222">
        <v>0</v>
      </c>
      <c r="T18" s="220">
        <v>7.05</v>
      </c>
      <c r="U18" s="221">
        <v>88.12</v>
      </c>
      <c r="V18" s="221">
        <v>106.3</v>
      </c>
      <c r="W18" s="221">
        <v>140</v>
      </c>
      <c r="X18" s="221">
        <v>111.82</v>
      </c>
      <c r="Y18" s="221">
        <v>100.44</v>
      </c>
      <c r="Z18" s="223"/>
      <c r="AA18" s="223">
        <v>-0.01</v>
      </c>
      <c r="AB18" s="223">
        <v>140</v>
      </c>
      <c r="AC18" s="223">
        <v>45.664522650899997</v>
      </c>
      <c r="AN18" s="62">
        <f t="shared" si="0"/>
        <v>140.01</v>
      </c>
      <c r="AQ18" s="119">
        <v>11</v>
      </c>
    </row>
    <row r="19" spans="1:43">
      <c r="A19" s="124" t="s">
        <v>263</v>
      </c>
      <c r="B19" s="221">
        <v>105</v>
      </c>
      <c r="C19" s="221">
        <v>95.03</v>
      </c>
      <c r="D19" s="221">
        <v>93.8</v>
      </c>
      <c r="E19" s="221">
        <v>93.02</v>
      </c>
      <c r="F19" s="221">
        <v>93.02</v>
      </c>
      <c r="G19" s="221">
        <v>95.03</v>
      </c>
      <c r="H19" s="221">
        <v>105.98</v>
      </c>
      <c r="I19" s="221">
        <v>143.15</v>
      </c>
      <c r="J19" s="221">
        <v>115.35</v>
      </c>
      <c r="K19" s="221">
        <v>93.84</v>
      </c>
      <c r="L19" s="221">
        <v>60.97</v>
      </c>
      <c r="M19" s="220">
        <v>19.57</v>
      </c>
      <c r="N19" s="220">
        <v>4.5</v>
      </c>
      <c r="O19" s="220">
        <v>2.5</v>
      </c>
      <c r="P19" s="220">
        <v>1.5</v>
      </c>
      <c r="Q19" s="220">
        <v>0.75</v>
      </c>
      <c r="R19" s="220">
        <v>3.52</v>
      </c>
      <c r="S19" s="220">
        <v>19.68</v>
      </c>
      <c r="T19" s="221">
        <v>46.8</v>
      </c>
      <c r="U19" s="221">
        <v>93.26</v>
      </c>
      <c r="V19" s="221">
        <v>123.45</v>
      </c>
      <c r="W19" s="221">
        <v>143.03</v>
      </c>
      <c r="X19" s="221">
        <v>105.01</v>
      </c>
      <c r="Y19" s="221">
        <v>97.35</v>
      </c>
      <c r="Z19" s="223"/>
      <c r="AA19" s="223">
        <v>0.75</v>
      </c>
      <c r="AB19" s="223">
        <v>143.15</v>
      </c>
      <c r="AC19" s="223">
        <v>62.699404664799999</v>
      </c>
      <c r="AN19" s="62">
        <f t="shared" si="0"/>
        <v>142.4</v>
      </c>
      <c r="AQ19" s="119">
        <v>12</v>
      </c>
    </row>
    <row r="20" spans="1:43">
      <c r="A20" s="124" t="s">
        <v>264</v>
      </c>
      <c r="B20" s="221">
        <v>102.3</v>
      </c>
      <c r="C20" s="221">
        <v>99.54</v>
      </c>
      <c r="D20" s="221">
        <v>97.96</v>
      </c>
      <c r="E20" s="221">
        <v>97.84</v>
      </c>
      <c r="F20" s="221">
        <v>96.68</v>
      </c>
      <c r="G20" s="221">
        <v>92</v>
      </c>
      <c r="H20" s="221">
        <v>94.98</v>
      </c>
      <c r="I20" s="221">
        <v>100.02</v>
      </c>
      <c r="J20" s="221">
        <v>99.78</v>
      </c>
      <c r="K20" s="221">
        <v>69.040000000000006</v>
      </c>
      <c r="L20" s="220">
        <v>9.6199999999999992</v>
      </c>
      <c r="M20" s="220">
        <v>2.37</v>
      </c>
      <c r="N20" s="222">
        <v>0</v>
      </c>
      <c r="O20" s="220">
        <v>-0.01</v>
      </c>
      <c r="P20" s="220">
        <v>-0.01</v>
      </c>
      <c r="Q20" s="222">
        <v>0</v>
      </c>
      <c r="R20" s="222">
        <v>0</v>
      </c>
      <c r="S20" s="220">
        <v>0.65</v>
      </c>
      <c r="T20" s="220">
        <v>14</v>
      </c>
      <c r="U20" s="221">
        <v>82.86</v>
      </c>
      <c r="V20" s="221">
        <v>100.13</v>
      </c>
      <c r="W20" s="221">
        <v>106.11</v>
      </c>
      <c r="X20" s="221">
        <v>99.3</v>
      </c>
      <c r="Y20" s="221">
        <v>95.1</v>
      </c>
      <c r="Z20" s="223"/>
      <c r="AA20" s="223">
        <v>-0.01</v>
      </c>
      <c r="AB20" s="223">
        <v>106.11</v>
      </c>
      <c r="AC20" s="223">
        <v>51.009714510099997</v>
      </c>
      <c r="AN20" s="62">
        <f t="shared" si="0"/>
        <v>106.12</v>
      </c>
      <c r="AQ20" s="119">
        <v>13</v>
      </c>
    </row>
    <row r="21" spans="1:43">
      <c r="A21" s="124" t="s">
        <v>265</v>
      </c>
      <c r="B21" s="221">
        <v>75</v>
      </c>
      <c r="C21" s="221">
        <v>66.23</v>
      </c>
      <c r="D21" s="221">
        <v>65.290000000000006</v>
      </c>
      <c r="E21" s="221">
        <v>65.3</v>
      </c>
      <c r="F21" s="221">
        <v>65.81</v>
      </c>
      <c r="G21" s="221">
        <v>71.540000000000006</v>
      </c>
      <c r="H21" s="221">
        <v>71.540000000000006</v>
      </c>
      <c r="I21" s="221">
        <v>77.569999999999993</v>
      </c>
      <c r="J21" s="221">
        <v>66.23</v>
      </c>
      <c r="K21" s="220">
        <v>23.58</v>
      </c>
      <c r="L21" s="220">
        <v>5.01</v>
      </c>
      <c r="M21" s="222">
        <v>0</v>
      </c>
      <c r="N21" s="222">
        <v>0</v>
      </c>
      <c r="O21" s="222">
        <v>0</v>
      </c>
      <c r="P21" s="220">
        <v>-0.01</v>
      </c>
      <c r="Q21" s="222">
        <v>0</v>
      </c>
      <c r="R21" s="222">
        <v>0</v>
      </c>
      <c r="S21" s="220">
        <v>1.1000000000000001</v>
      </c>
      <c r="T21" s="220">
        <v>15.65</v>
      </c>
      <c r="U21" s="221">
        <v>67.3</v>
      </c>
      <c r="V21" s="221">
        <v>103.81</v>
      </c>
      <c r="W21" s="221">
        <v>126.13</v>
      </c>
      <c r="X21" s="221">
        <v>106.01</v>
      </c>
      <c r="Y21" s="221">
        <v>99.84</v>
      </c>
      <c r="Z21" s="223"/>
      <c r="AA21" s="223">
        <v>-0.01</v>
      </c>
      <c r="AB21" s="223">
        <v>126.13</v>
      </c>
      <c r="AC21" s="223">
        <v>41.634827523799999</v>
      </c>
      <c r="AN21" s="62">
        <f t="shared" si="0"/>
        <v>126.14</v>
      </c>
      <c r="AQ21" s="119">
        <v>14</v>
      </c>
    </row>
    <row r="22" spans="1:43">
      <c r="A22" s="124" t="s">
        <v>266</v>
      </c>
      <c r="B22" s="221">
        <v>97.03</v>
      </c>
      <c r="C22" s="221">
        <v>94.95</v>
      </c>
      <c r="D22" s="221">
        <v>90</v>
      </c>
      <c r="E22" s="221">
        <v>89</v>
      </c>
      <c r="F22" s="221">
        <v>87.82</v>
      </c>
      <c r="G22" s="221">
        <v>94.17</v>
      </c>
      <c r="H22" s="221">
        <v>97.33</v>
      </c>
      <c r="I22" s="221">
        <v>120.83</v>
      </c>
      <c r="J22" s="221">
        <v>124</v>
      </c>
      <c r="K22" s="221">
        <v>84.2</v>
      </c>
      <c r="L22" s="186">
        <v>35.1</v>
      </c>
      <c r="M22" s="220">
        <v>7.63</v>
      </c>
      <c r="N22" s="220">
        <v>8</v>
      </c>
      <c r="O22" s="220">
        <v>4.5</v>
      </c>
      <c r="P22" s="220">
        <v>2.5</v>
      </c>
      <c r="Q22" s="220">
        <v>3.52</v>
      </c>
      <c r="R22" s="220">
        <v>4.96</v>
      </c>
      <c r="S22" s="220">
        <v>16</v>
      </c>
      <c r="T22" s="186">
        <v>43.99</v>
      </c>
      <c r="U22" s="221">
        <v>94.17</v>
      </c>
      <c r="V22" s="221">
        <v>110</v>
      </c>
      <c r="W22" s="221">
        <v>110.96</v>
      </c>
      <c r="X22" s="221">
        <v>98.5</v>
      </c>
      <c r="Y22" s="221">
        <v>85.97</v>
      </c>
      <c r="Z22" s="223"/>
      <c r="AA22" s="223">
        <v>2.5</v>
      </c>
      <c r="AB22" s="223">
        <v>124</v>
      </c>
      <c r="AC22" s="223">
        <v>56.272224687799998</v>
      </c>
      <c r="AN22" s="62">
        <f t="shared" si="0"/>
        <v>121.5</v>
      </c>
      <c r="AQ22" s="119">
        <v>15</v>
      </c>
    </row>
    <row r="23" spans="1:43">
      <c r="A23" s="124" t="s">
        <v>267</v>
      </c>
      <c r="B23" s="221">
        <v>80.010000000000005</v>
      </c>
      <c r="C23" s="221">
        <v>77.989999999999995</v>
      </c>
      <c r="D23" s="221">
        <v>72.03</v>
      </c>
      <c r="E23" s="221">
        <v>73.349999999999994</v>
      </c>
      <c r="F23" s="221">
        <v>80</v>
      </c>
      <c r="G23" s="221">
        <v>84.2</v>
      </c>
      <c r="H23" s="221">
        <v>99.9</v>
      </c>
      <c r="I23" s="221">
        <v>111.87</v>
      </c>
      <c r="J23" s="221">
        <v>111.84</v>
      </c>
      <c r="K23" s="221">
        <v>93.89</v>
      </c>
      <c r="L23" s="186">
        <v>38.1</v>
      </c>
      <c r="M23" s="220">
        <v>15.2</v>
      </c>
      <c r="N23" s="220">
        <v>9.14</v>
      </c>
      <c r="O23" s="220">
        <v>9.14</v>
      </c>
      <c r="P23" s="220">
        <v>5.76</v>
      </c>
      <c r="Q23" s="220">
        <v>3.52</v>
      </c>
      <c r="R23" s="220">
        <v>9.14</v>
      </c>
      <c r="S23" s="186">
        <v>38.14</v>
      </c>
      <c r="T23" s="221">
        <v>69.290000000000006</v>
      </c>
      <c r="U23" s="221">
        <v>109.03</v>
      </c>
      <c r="V23" s="221">
        <v>134.29</v>
      </c>
      <c r="W23" s="221">
        <v>198.95</v>
      </c>
      <c r="X23" s="221">
        <v>111.84</v>
      </c>
      <c r="Y23" s="221">
        <v>104.5</v>
      </c>
      <c r="Z23" s="223"/>
      <c r="AA23" s="223">
        <v>3.52</v>
      </c>
      <c r="AB23" s="223">
        <v>198.95</v>
      </c>
      <c r="AC23" s="223">
        <v>64.180972776399997</v>
      </c>
      <c r="AN23" s="62">
        <f t="shared" si="0"/>
        <v>195.42999999999998</v>
      </c>
      <c r="AQ23" s="119">
        <v>16</v>
      </c>
    </row>
    <row r="24" spans="1:43">
      <c r="A24" s="124" t="s">
        <v>268</v>
      </c>
      <c r="B24" s="221">
        <v>107.12</v>
      </c>
      <c r="C24" s="221">
        <v>104.78</v>
      </c>
      <c r="D24" s="221">
        <v>102.9</v>
      </c>
      <c r="E24" s="221">
        <v>99.91</v>
      </c>
      <c r="F24" s="221">
        <v>98.5</v>
      </c>
      <c r="G24" s="221">
        <v>102</v>
      </c>
      <c r="H24" s="221">
        <v>104.78</v>
      </c>
      <c r="I24" s="221">
        <v>118.56</v>
      </c>
      <c r="J24" s="221">
        <v>112.08</v>
      </c>
      <c r="K24" s="221">
        <v>95.05</v>
      </c>
      <c r="L24" s="221">
        <v>57.9</v>
      </c>
      <c r="M24" s="186">
        <v>37.6</v>
      </c>
      <c r="N24" s="220">
        <v>19.68</v>
      </c>
      <c r="O24" s="220">
        <v>19.57</v>
      </c>
      <c r="P24" s="220">
        <v>15.1</v>
      </c>
      <c r="Q24" s="220">
        <v>16.399999999999999</v>
      </c>
      <c r="R24" s="220">
        <v>20.329999999999998</v>
      </c>
      <c r="S24" s="221">
        <v>50</v>
      </c>
      <c r="T24" s="221">
        <v>83.12</v>
      </c>
      <c r="U24" s="221">
        <v>111.76</v>
      </c>
      <c r="V24" s="221">
        <v>150</v>
      </c>
      <c r="W24" s="221">
        <v>215</v>
      </c>
      <c r="X24" s="221">
        <v>117.11</v>
      </c>
      <c r="Y24" s="221">
        <v>104.99</v>
      </c>
      <c r="Z24" s="223"/>
      <c r="AA24" s="223">
        <v>15.1</v>
      </c>
      <c r="AB24" s="223">
        <v>215</v>
      </c>
      <c r="AC24" s="223">
        <v>78.707585805600004</v>
      </c>
      <c r="AN24" s="62">
        <f t="shared" si="0"/>
        <v>199.9</v>
      </c>
      <c r="AQ24" s="119">
        <v>17</v>
      </c>
    </row>
    <row r="25" spans="1:43">
      <c r="A25" s="124" t="s">
        <v>269</v>
      </c>
      <c r="B25" s="221">
        <v>109.18</v>
      </c>
      <c r="C25" s="221">
        <v>105.26</v>
      </c>
      <c r="D25" s="221">
        <v>104.54</v>
      </c>
      <c r="E25" s="221">
        <v>104.78</v>
      </c>
      <c r="F25" s="221">
        <v>104.78</v>
      </c>
      <c r="G25" s="221">
        <v>105.26</v>
      </c>
      <c r="H25" s="221">
        <v>107.28</v>
      </c>
      <c r="I25" s="221">
        <v>126.55</v>
      </c>
      <c r="J25" s="221">
        <v>111.4</v>
      </c>
      <c r="K25" s="221">
        <v>104.26</v>
      </c>
      <c r="L25" s="221">
        <v>56.4</v>
      </c>
      <c r="M25" s="221">
        <v>60</v>
      </c>
      <c r="N25" s="221">
        <v>50.08</v>
      </c>
      <c r="O25" s="221">
        <v>50</v>
      </c>
      <c r="P25" s="186">
        <v>44.02</v>
      </c>
      <c r="Q25" s="186">
        <v>44</v>
      </c>
      <c r="R25" s="221">
        <v>55</v>
      </c>
      <c r="S25" s="221">
        <v>66.3</v>
      </c>
      <c r="T25" s="221">
        <v>96.86</v>
      </c>
      <c r="U25" s="221">
        <v>124.7</v>
      </c>
      <c r="V25" s="221">
        <v>160</v>
      </c>
      <c r="W25" s="221">
        <v>200</v>
      </c>
      <c r="X25" s="221">
        <v>130</v>
      </c>
      <c r="Y25" s="221">
        <v>107.65</v>
      </c>
      <c r="Z25" s="223"/>
      <c r="AA25" s="223">
        <v>44</v>
      </c>
      <c r="AB25" s="223">
        <v>200</v>
      </c>
      <c r="AC25" s="223">
        <v>92.328882184799994</v>
      </c>
      <c r="AN25" s="62">
        <f t="shared" si="0"/>
        <v>156</v>
      </c>
      <c r="AQ25" s="119">
        <v>18</v>
      </c>
    </row>
    <row r="26" spans="1:43">
      <c r="A26" s="124" t="s">
        <v>270</v>
      </c>
      <c r="B26" s="221">
        <v>113.07</v>
      </c>
      <c r="C26" s="221">
        <v>110.91</v>
      </c>
      <c r="D26" s="221">
        <v>108.34</v>
      </c>
      <c r="E26" s="221">
        <v>108.26</v>
      </c>
      <c r="F26" s="221">
        <v>107.21</v>
      </c>
      <c r="G26" s="221">
        <v>108.26</v>
      </c>
      <c r="H26" s="221">
        <v>110.78</v>
      </c>
      <c r="I26" s="221">
        <v>120.42</v>
      </c>
      <c r="J26" s="221">
        <v>113.54</v>
      </c>
      <c r="K26" s="221">
        <v>106.68</v>
      </c>
      <c r="L26" s="221">
        <v>66.040000000000006</v>
      </c>
      <c r="M26" s="221">
        <v>52.14</v>
      </c>
      <c r="N26" s="221">
        <v>49</v>
      </c>
      <c r="O26" s="221">
        <v>45.1</v>
      </c>
      <c r="P26" s="186">
        <v>31.25</v>
      </c>
      <c r="Q26" s="186">
        <v>32.61</v>
      </c>
      <c r="R26" s="221">
        <v>55</v>
      </c>
      <c r="S26" s="221">
        <v>65.87</v>
      </c>
      <c r="T26" s="221">
        <v>76</v>
      </c>
      <c r="U26" s="221">
        <v>108.14</v>
      </c>
      <c r="V26" s="221">
        <v>125.2</v>
      </c>
      <c r="W26" s="221">
        <v>125</v>
      </c>
      <c r="X26" s="221">
        <v>105.78</v>
      </c>
      <c r="Y26" s="221">
        <v>104.68</v>
      </c>
      <c r="Z26" s="223"/>
      <c r="AA26" s="223">
        <v>31.25</v>
      </c>
      <c r="AB26" s="223">
        <v>125.2</v>
      </c>
      <c r="AC26" s="223">
        <v>83.946911005299995</v>
      </c>
      <c r="AN26" s="62">
        <f t="shared" si="0"/>
        <v>93.95</v>
      </c>
      <c r="AQ26" s="119">
        <v>19</v>
      </c>
    </row>
    <row r="27" spans="1:43">
      <c r="A27" s="124" t="s">
        <v>271</v>
      </c>
      <c r="B27" s="221">
        <v>104.99</v>
      </c>
      <c r="C27" s="221">
        <v>99.89</v>
      </c>
      <c r="D27" s="221">
        <v>97</v>
      </c>
      <c r="E27" s="221">
        <v>93.8</v>
      </c>
      <c r="F27" s="221">
        <v>95.29</v>
      </c>
      <c r="G27" s="221">
        <v>95.15</v>
      </c>
      <c r="H27" s="221">
        <v>99.89</v>
      </c>
      <c r="I27" s="221">
        <v>101</v>
      </c>
      <c r="J27" s="221">
        <v>99.89</v>
      </c>
      <c r="K27" s="221">
        <v>65.599999999999994</v>
      </c>
      <c r="L27" s="186">
        <v>30</v>
      </c>
      <c r="M27" s="220">
        <v>3.94</v>
      </c>
      <c r="N27" s="220">
        <v>1.72</v>
      </c>
      <c r="O27" s="220">
        <v>0.65</v>
      </c>
      <c r="P27" s="220">
        <v>0.65</v>
      </c>
      <c r="Q27" s="220">
        <v>0.65</v>
      </c>
      <c r="R27" s="220">
        <v>4.3099999999999996</v>
      </c>
      <c r="S27" s="220">
        <v>15.43</v>
      </c>
      <c r="T27" s="221">
        <v>55.08</v>
      </c>
      <c r="U27" s="221">
        <v>93.56</v>
      </c>
      <c r="V27" s="221">
        <v>110.36</v>
      </c>
      <c r="W27" s="221">
        <v>110.91</v>
      </c>
      <c r="X27" s="221">
        <v>104.6</v>
      </c>
      <c r="Y27" s="221">
        <v>101</v>
      </c>
      <c r="Z27" s="223"/>
      <c r="AA27" s="223">
        <v>0.65</v>
      </c>
      <c r="AB27" s="223">
        <v>110.91</v>
      </c>
      <c r="AC27" s="223">
        <v>55.505216195499997</v>
      </c>
      <c r="AN27" s="62">
        <f t="shared" si="0"/>
        <v>110.25999999999999</v>
      </c>
      <c r="AQ27" s="119">
        <v>20</v>
      </c>
    </row>
    <row r="28" spans="1:43">
      <c r="A28" s="124" t="s">
        <v>272</v>
      </c>
      <c r="B28" s="221">
        <v>85.8</v>
      </c>
      <c r="C28" s="221">
        <v>82.85</v>
      </c>
      <c r="D28" s="221">
        <v>75.94</v>
      </c>
      <c r="E28" s="221">
        <v>79</v>
      </c>
      <c r="F28" s="221">
        <v>78.97</v>
      </c>
      <c r="G28" s="221">
        <v>75.349999999999994</v>
      </c>
      <c r="H28" s="221">
        <v>75.94</v>
      </c>
      <c r="I28" s="221">
        <v>85</v>
      </c>
      <c r="J28" s="221">
        <v>69.38</v>
      </c>
      <c r="K28" s="186">
        <v>26.2</v>
      </c>
      <c r="L28" s="220">
        <v>10</v>
      </c>
      <c r="M28" s="220">
        <v>0.65</v>
      </c>
      <c r="N28" s="222">
        <v>0</v>
      </c>
      <c r="O28" s="222">
        <v>0</v>
      </c>
      <c r="P28" s="220">
        <v>-0.01</v>
      </c>
      <c r="Q28" s="220">
        <v>-0.5</v>
      </c>
      <c r="R28" s="220">
        <v>-0.62</v>
      </c>
      <c r="S28" s="220">
        <v>-0.01</v>
      </c>
      <c r="T28" s="220">
        <v>3.52</v>
      </c>
      <c r="U28" s="186">
        <v>43.16</v>
      </c>
      <c r="V28" s="221">
        <v>69.959999999999994</v>
      </c>
      <c r="W28" s="221">
        <v>61.4</v>
      </c>
      <c r="X28" s="221">
        <v>54.8</v>
      </c>
      <c r="Y28" s="186">
        <v>38.090000000000003</v>
      </c>
      <c r="Z28" s="223"/>
      <c r="AA28" s="223">
        <v>-0.62</v>
      </c>
      <c r="AB28" s="223">
        <v>85.8</v>
      </c>
      <c r="AC28" s="223">
        <v>34.145799580999999</v>
      </c>
      <c r="AN28" s="62">
        <f t="shared" si="0"/>
        <v>86.42</v>
      </c>
      <c r="AQ28" s="119">
        <v>21</v>
      </c>
    </row>
    <row r="29" spans="1:43">
      <c r="A29" s="124" t="s">
        <v>273</v>
      </c>
      <c r="B29" s="186">
        <v>30.9</v>
      </c>
      <c r="C29" s="186">
        <v>30.9</v>
      </c>
      <c r="D29" s="186">
        <v>26.2</v>
      </c>
      <c r="E29" s="186">
        <v>26.2</v>
      </c>
      <c r="F29" s="186">
        <v>34.9</v>
      </c>
      <c r="G29" s="186">
        <v>30.14</v>
      </c>
      <c r="H29" s="186">
        <v>30.9</v>
      </c>
      <c r="I29" s="221">
        <v>60.6</v>
      </c>
      <c r="J29" s="221">
        <v>62.03</v>
      </c>
      <c r="K29" s="186">
        <v>29.35</v>
      </c>
      <c r="L29" s="220">
        <v>2</v>
      </c>
      <c r="M29" s="222">
        <v>0</v>
      </c>
      <c r="N29" s="222">
        <v>0</v>
      </c>
      <c r="O29" s="220">
        <v>-0.01</v>
      </c>
      <c r="P29" s="220">
        <v>-0.01</v>
      </c>
      <c r="Q29" s="220">
        <v>-0.01</v>
      </c>
      <c r="R29" s="220">
        <v>-0.01</v>
      </c>
      <c r="S29" s="222">
        <v>0</v>
      </c>
      <c r="T29" s="220">
        <v>15.6</v>
      </c>
      <c r="U29" s="221">
        <v>67.989999999999995</v>
      </c>
      <c r="V29" s="221">
        <v>108.95</v>
      </c>
      <c r="W29" s="221">
        <v>109.38</v>
      </c>
      <c r="X29" s="221">
        <v>82.8</v>
      </c>
      <c r="Y29" s="221">
        <v>80</v>
      </c>
      <c r="Z29" s="223"/>
      <c r="AA29" s="223">
        <v>-0.01</v>
      </c>
      <c r="AB29" s="223">
        <v>109.38</v>
      </c>
      <c r="AC29" s="223">
        <v>30.340687049700001</v>
      </c>
      <c r="AN29" s="62">
        <f t="shared" si="0"/>
        <v>109.39</v>
      </c>
      <c r="AQ29" s="119">
        <v>22</v>
      </c>
    </row>
    <row r="30" spans="1:43">
      <c r="A30" s="124" t="s">
        <v>274</v>
      </c>
      <c r="B30" s="221">
        <v>79.11</v>
      </c>
      <c r="C30" s="221">
        <v>61</v>
      </c>
      <c r="D30" s="221">
        <v>85.28</v>
      </c>
      <c r="E30" s="221">
        <v>76.95</v>
      </c>
      <c r="F30" s="221">
        <v>79.11</v>
      </c>
      <c r="G30" s="221">
        <v>83.7</v>
      </c>
      <c r="H30" s="221">
        <v>85.28</v>
      </c>
      <c r="I30" s="221">
        <v>86.56</v>
      </c>
      <c r="J30" s="221">
        <v>85.8</v>
      </c>
      <c r="K30" s="186">
        <v>39.9</v>
      </c>
      <c r="L30" s="220">
        <v>3.82</v>
      </c>
      <c r="M30" s="220">
        <v>0.65</v>
      </c>
      <c r="N30" s="220">
        <v>0.01</v>
      </c>
      <c r="O30" s="222">
        <v>0</v>
      </c>
      <c r="P30" s="222">
        <v>0</v>
      </c>
      <c r="Q30" s="222">
        <v>0</v>
      </c>
      <c r="R30" s="222">
        <v>0</v>
      </c>
      <c r="S30" s="220">
        <v>2.2000000000000002</v>
      </c>
      <c r="T30" s="186">
        <v>26.47</v>
      </c>
      <c r="U30" s="221">
        <v>86.32</v>
      </c>
      <c r="V30" s="221">
        <v>105.01</v>
      </c>
      <c r="W30" s="221">
        <v>98.5</v>
      </c>
      <c r="X30" s="221">
        <v>76.02</v>
      </c>
      <c r="Y30" s="221">
        <v>75.84</v>
      </c>
      <c r="Z30" s="223"/>
      <c r="AA30" s="223">
        <v>0</v>
      </c>
      <c r="AB30" s="223">
        <v>105.01</v>
      </c>
      <c r="AC30" s="223">
        <v>43.527790036299997</v>
      </c>
      <c r="AN30" s="62">
        <f t="shared" si="0"/>
        <v>105.01</v>
      </c>
      <c r="AQ30" s="119">
        <v>23</v>
      </c>
    </row>
    <row r="31" spans="1:43">
      <c r="A31" s="124" t="s">
        <v>275</v>
      </c>
      <c r="B31" s="221">
        <v>53.51</v>
      </c>
      <c r="C31" s="186">
        <v>39.799999999999997</v>
      </c>
      <c r="D31" s="221">
        <v>48.6</v>
      </c>
      <c r="E31" s="186">
        <v>42</v>
      </c>
      <c r="F31" s="186">
        <v>41.5</v>
      </c>
      <c r="G31" s="221">
        <v>48.6</v>
      </c>
      <c r="H31" s="221">
        <v>48.8</v>
      </c>
      <c r="I31" s="221">
        <v>66.959999999999994</v>
      </c>
      <c r="J31" s="221">
        <v>69.010000000000005</v>
      </c>
      <c r="K31" s="221">
        <v>57.91</v>
      </c>
      <c r="L31" s="220">
        <v>9.52</v>
      </c>
      <c r="M31" s="220">
        <v>1.07</v>
      </c>
      <c r="N31" s="220">
        <v>0.65</v>
      </c>
      <c r="O31" s="220">
        <v>1.55</v>
      </c>
      <c r="P31" s="220">
        <v>0.65</v>
      </c>
      <c r="Q31" s="220">
        <v>0.01</v>
      </c>
      <c r="R31" s="220">
        <v>0.65</v>
      </c>
      <c r="S31" s="220">
        <v>20.100000000000001</v>
      </c>
      <c r="T31" s="221">
        <v>72.72</v>
      </c>
      <c r="U31" s="221">
        <v>95</v>
      </c>
      <c r="V31" s="221">
        <v>116.12</v>
      </c>
      <c r="W31" s="221">
        <v>105.77</v>
      </c>
      <c r="X31" s="221">
        <v>90</v>
      </c>
      <c r="Y31" s="221">
        <v>83.08</v>
      </c>
      <c r="Z31" s="223"/>
      <c r="AA31" s="223">
        <v>0.01</v>
      </c>
      <c r="AB31" s="223">
        <v>116.12</v>
      </c>
      <c r="AC31" s="223">
        <v>41.738986912900003</v>
      </c>
      <c r="AN31" s="62">
        <f t="shared" si="0"/>
        <v>116.11</v>
      </c>
      <c r="AQ31" s="119">
        <v>24</v>
      </c>
    </row>
    <row r="32" spans="1:43">
      <c r="A32" s="124" t="s">
        <v>276</v>
      </c>
      <c r="B32" s="221">
        <v>83.46</v>
      </c>
      <c r="C32" s="221">
        <v>75.94</v>
      </c>
      <c r="D32" s="221">
        <v>75.94</v>
      </c>
      <c r="E32" s="221">
        <v>76.459999999999994</v>
      </c>
      <c r="F32" s="221">
        <v>79.7</v>
      </c>
      <c r="G32" s="221">
        <v>77</v>
      </c>
      <c r="H32" s="221">
        <v>85.85</v>
      </c>
      <c r="I32" s="221">
        <v>112.7</v>
      </c>
      <c r="J32" s="221">
        <v>116.89</v>
      </c>
      <c r="K32" s="221">
        <v>88.57</v>
      </c>
      <c r="L32" s="221">
        <v>55.12</v>
      </c>
      <c r="M32" s="186">
        <v>30.2</v>
      </c>
      <c r="N32" s="186">
        <v>29.99</v>
      </c>
      <c r="O32" s="186">
        <v>25.93</v>
      </c>
      <c r="P32" s="220">
        <v>20.100000000000001</v>
      </c>
      <c r="Q32" s="220">
        <v>22.74</v>
      </c>
      <c r="R32" s="186">
        <v>25.93</v>
      </c>
      <c r="S32" s="221">
        <v>53.13</v>
      </c>
      <c r="T32" s="221">
        <v>76.010000000000005</v>
      </c>
      <c r="U32" s="221">
        <v>114.11</v>
      </c>
      <c r="V32" s="221">
        <v>174.1</v>
      </c>
      <c r="W32" s="221">
        <v>175.01</v>
      </c>
      <c r="X32" s="221">
        <v>128.80000000000001</v>
      </c>
      <c r="Y32" s="221">
        <v>101.9</v>
      </c>
      <c r="Z32" s="223"/>
      <c r="AA32" s="223">
        <v>20.100000000000001</v>
      </c>
      <c r="AB32" s="223">
        <v>175.01</v>
      </c>
      <c r="AC32" s="223">
        <v>74.747091148899997</v>
      </c>
      <c r="AN32" s="62">
        <f t="shared" si="0"/>
        <v>154.91</v>
      </c>
      <c r="AQ32" s="119">
        <v>25</v>
      </c>
    </row>
    <row r="33" spans="1:43">
      <c r="A33" s="124" t="s">
        <v>277</v>
      </c>
      <c r="B33" s="221">
        <v>106.48</v>
      </c>
      <c r="C33" s="221">
        <v>104.52</v>
      </c>
      <c r="D33" s="221">
        <v>100</v>
      </c>
      <c r="E33" s="221">
        <v>98.71</v>
      </c>
      <c r="F33" s="221">
        <v>99</v>
      </c>
      <c r="G33" s="221">
        <v>104.52</v>
      </c>
      <c r="H33" s="221">
        <v>107.96</v>
      </c>
      <c r="I33" s="221">
        <v>123.37</v>
      </c>
      <c r="J33" s="221">
        <v>123.28</v>
      </c>
      <c r="K33" s="221">
        <v>108.8</v>
      </c>
      <c r="L33" s="221">
        <v>88.59</v>
      </c>
      <c r="M33" s="186">
        <v>34.99</v>
      </c>
      <c r="N33" s="186">
        <v>25.76</v>
      </c>
      <c r="O33" s="186">
        <v>29.2</v>
      </c>
      <c r="P33" s="220">
        <v>21.56</v>
      </c>
      <c r="Q33" s="221">
        <v>47.06</v>
      </c>
      <c r="R33" s="221">
        <v>53</v>
      </c>
      <c r="S33" s="221">
        <v>59.28</v>
      </c>
      <c r="T33" s="221">
        <v>94.08</v>
      </c>
      <c r="U33" s="221">
        <v>123.6</v>
      </c>
      <c r="V33" s="221">
        <v>150</v>
      </c>
      <c r="W33" s="221">
        <v>160</v>
      </c>
      <c r="X33" s="221">
        <v>122.01</v>
      </c>
      <c r="Y33" s="221">
        <v>113.92</v>
      </c>
      <c r="Z33" s="223"/>
      <c r="AA33" s="223">
        <v>21.56</v>
      </c>
      <c r="AB33" s="223">
        <v>160</v>
      </c>
      <c r="AC33" s="223">
        <v>87.251876880699996</v>
      </c>
      <c r="AN33" s="62">
        <f t="shared" si="0"/>
        <v>138.44</v>
      </c>
      <c r="AQ33" s="119">
        <v>26</v>
      </c>
    </row>
    <row r="34" spans="1:43">
      <c r="A34" s="124" t="s">
        <v>278</v>
      </c>
      <c r="B34" s="221">
        <v>115.87</v>
      </c>
      <c r="C34" s="221">
        <v>108.83</v>
      </c>
      <c r="D34" s="221">
        <v>105.5</v>
      </c>
      <c r="E34" s="221">
        <v>109</v>
      </c>
      <c r="F34" s="221">
        <v>105.47</v>
      </c>
      <c r="G34" s="221">
        <v>98</v>
      </c>
      <c r="H34" s="221">
        <v>95</v>
      </c>
      <c r="I34" s="221">
        <v>103.5</v>
      </c>
      <c r="J34" s="221">
        <v>106.67</v>
      </c>
      <c r="K34" s="221">
        <v>82.66</v>
      </c>
      <c r="L34" s="186">
        <v>38.799999999999997</v>
      </c>
      <c r="M34" s="220">
        <v>20.25</v>
      </c>
      <c r="N34" s="220">
        <v>16.79</v>
      </c>
      <c r="O34" s="220">
        <v>12.91</v>
      </c>
      <c r="P34" s="220">
        <v>6.51</v>
      </c>
      <c r="Q34" s="220">
        <v>6</v>
      </c>
      <c r="R34" s="220">
        <v>12.27</v>
      </c>
      <c r="S34" s="186">
        <v>29.2</v>
      </c>
      <c r="T34" s="221">
        <v>67</v>
      </c>
      <c r="U34" s="221">
        <v>92.56</v>
      </c>
      <c r="V34" s="221">
        <v>103.11</v>
      </c>
      <c r="W34" s="221">
        <v>100.04</v>
      </c>
      <c r="X34" s="221">
        <v>95.07</v>
      </c>
      <c r="Y34" s="221">
        <v>91.84</v>
      </c>
      <c r="Z34" s="223"/>
      <c r="AA34" s="223">
        <v>6</v>
      </c>
      <c r="AB34" s="223">
        <v>115.87</v>
      </c>
      <c r="AC34" s="223">
        <v>64.440224005100006</v>
      </c>
      <c r="AN34" s="62">
        <f t="shared" si="0"/>
        <v>109.87</v>
      </c>
      <c r="AQ34" s="119">
        <v>27</v>
      </c>
    </row>
    <row r="35" spans="1:43">
      <c r="A35" s="124" t="s">
        <v>279</v>
      </c>
      <c r="B35" s="221">
        <v>63.51</v>
      </c>
      <c r="C35" s="221">
        <v>60.86</v>
      </c>
      <c r="D35" s="221">
        <v>59.83</v>
      </c>
      <c r="E35" s="221">
        <v>58.3</v>
      </c>
      <c r="F35" s="221">
        <v>58.04</v>
      </c>
      <c r="G35" s="221">
        <v>58.04</v>
      </c>
      <c r="H35" s="221">
        <v>57.91</v>
      </c>
      <c r="I35" s="221">
        <v>58.87</v>
      </c>
      <c r="J35" s="221">
        <v>58.87</v>
      </c>
      <c r="K35" s="221">
        <v>57.91</v>
      </c>
      <c r="L35" s="186">
        <v>35</v>
      </c>
      <c r="M35" s="186">
        <v>29.16</v>
      </c>
      <c r="N35" s="220">
        <v>17.11</v>
      </c>
      <c r="O35" s="220">
        <v>8.5299999999999994</v>
      </c>
      <c r="P35" s="220">
        <v>15</v>
      </c>
      <c r="Q35" s="220">
        <v>16.79</v>
      </c>
      <c r="R35" s="220">
        <v>22.97</v>
      </c>
      <c r="S35" s="186">
        <v>37.340000000000003</v>
      </c>
      <c r="T35" s="221">
        <v>61.11</v>
      </c>
      <c r="U35" s="221">
        <v>70.98</v>
      </c>
      <c r="V35" s="221">
        <v>74.14</v>
      </c>
      <c r="W35" s="221">
        <v>61</v>
      </c>
      <c r="X35" s="221">
        <v>69.62</v>
      </c>
      <c r="Y35" s="221">
        <v>60.16</v>
      </c>
      <c r="Z35" s="223"/>
      <c r="AA35" s="223">
        <v>8.5299999999999994</v>
      </c>
      <c r="AB35" s="223">
        <v>74.14</v>
      </c>
      <c r="AC35" s="223">
        <v>45.986542595099998</v>
      </c>
      <c r="AE35" s="62"/>
      <c r="AN35" s="62">
        <f t="shared" si="0"/>
        <v>65.61</v>
      </c>
      <c r="AQ35" s="119">
        <v>28</v>
      </c>
    </row>
    <row r="36" spans="1:43">
      <c r="A36" s="124" t="s">
        <v>280</v>
      </c>
      <c r="B36" s="221">
        <v>51.6</v>
      </c>
      <c r="C36" s="221">
        <v>47.7</v>
      </c>
      <c r="D36" s="221">
        <v>45</v>
      </c>
      <c r="E36" s="186">
        <v>32</v>
      </c>
      <c r="F36" s="186">
        <v>30</v>
      </c>
      <c r="G36" s="186">
        <v>32.5</v>
      </c>
      <c r="H36" s="221">
        <v>50</v>
      </c>
      <c r="I36" s="221">
        <v>74.400000000000006</v>
      </c>
      <c r="J36" s="221">
        <v>77.8</v>
      </c>
      <c r="K36" s="221">
        <v>73.08</v>
      </c>
      <c r="L36" s="221">
        <v>59.33</v>
      </c>
      <c r="M36" s="186">
        <v>40.14</v>
      </c>
      <c r="N36" s="186">
        <v>35</v>
      </c>
      <c r="O36" s="186">
        <v>28.3</v>
      </c>
      <c r="P36" s="220">
        <v>21.99</v>
      </c>
      <c r="Q36" s="186">
        <v>27.94</v>
      </c>
      <c r="R36" s="186">
        <v>35</v>
      </c>
      <c r="S36" s="221">
        <v>52</v>
      </c>
      <c r="T36" s="221">
        <v>85</v>
      </c>
      <c r="U36" s="221">
        <v>101.13</v>
      </c>
      <c r="V36" s="221">
        <v>133.26</v>
      </c>
      <c r="W36" s="221">
        <v>105.68</v>
      </c>
      <c r="X36" s="221">
        <v>90.04</v>
      </c>
      <c r="Y36" s="221">
        <v>88.6</v>
      </c>
      <c r="Z36" s="223"/>
      <c r="AA36" s="223">
        <v>21.99</v>
      </c>
      <c r="AB36" s="223">
        <v>133.26</v>
      </c>
      <c r="AC36" s="223">
        <v>57.479201463599999</v>
      </c>
      <c r="AN36" s="62">
        <f t="shared" si="0"/>
        <v>111.27</v>
      </c>
      <c r="AQ36" s="119">
        <v>29</v>
      </c>
    </row>
    <row r="37" spans="1:43">
      <c r="A37" s="124" t="s">
        <v>281</v>
      </c>
      <c r="B37" s="221">
        <v>95.46</v>
      </c>
      <c r="C37" s="221">
        <v>88.25</v>
      </c>
      <c r="D37" s="221">
        <v>80</v>
      </c>
      <c r="E37" s="221">
        <v>76.430000000000007</v>
      </c>
      <c r="F37" s="221">
        <v>78</v>
      </c>
      <c r="G37" s="221">
        <v>80</v>
      </c>
      <c r="H37" s="221">
        <v>97.11</v>
      </c>
      <c r="I37" s="221">
        <v>105.68</v>
      </c>
      <c r="J37" s="221">
        <v>120</v>
      </c>
      <c r="K37" s="221">
        <v>93.97</v>
      </c>
      <c r="L37" s="221">
        <v>60.1</v>
      </c>
      <c r="M37" s="186">
        <v>31</v>
      </c>
      <c r="N37" s="220">
        <v>24.47</v>
      </c>
      <c r="O37" s="220">
        <v>21.9</v>
      </c>
      <c r="P37" s="220">
        <v>22</v>
      </c>
      <c r="Q37" s="186">
        <v>29.08</v>
      </c>
      <c r="R37" s="186">
        <v>35</v>
      </c>
      <c r="S37" s="221">
        <v>54.94</v>
      </c>
      <c r="T37" s="221">
        <v>84</v>
      </c>
      <c r="U37" s="221">
        <v>117</v>
      </c>
      <c r="V37" s="221">
        <v>199.34</v>
      </c>
      <c r="W37" s="221">
        <v>172.11</v>
      </c>
      <c r="X37" s="221">
        <v>119.9</v>
      </c>
      <c r="Y37" s="221">
        <v>101.5</v>
      </c>
      <c r="Z37" s="223"/>
      <c r="AA37" s="223">
        <v>21.9</v>
      </c>
      <c r="AB37" s="223">
        <v>199.34</v>
      </c>
      <c r="AC37" s="223">
        <v>77.189636417900005</v>
      </c>
      <c r="AN37" s="62">
        <f t="shared" si="0"/>
        <v>177.44</v>
      </c>
      <c r="AQ37" s="119">
        <v>30</v>
      </c>
    </row>
    <row r="38" spans="1:43">
      <c r="AN38" s="62">
        <f>AB38-AA38</f>
        <v>0</v>
      </c>
      <c r="AQ38" s="119">
        <v>31</v>
      </c>
    </row>
    <row r="41" spans="1:43">
      <c r="A41" s="122" t="s">
        <v>27</v>
      </c>
      <c r="B41" s="244" t="s">
        <v>45</v>
      </c>
      <c r="C41" s="245"/>
      <c r="D41" s="245"/>
      <c r="E41" s="245"/>
      <c r="F41" s="245"/>
      <c r="G41" s="245"/>
      <c r="H41" s="245"/>
      <c r="I41" s="245"/>
      <c r="J41" s="245"/>
      <c r="K41" s="245"/>
      <c r="L41" s="245"/>
      <c r="M41" s="245"/>
      <c r="N41" s="245"/>
    </row>
    <row r="42" spans="1:43">
      <c r="A42" s="122" t="s">
        <v>115</v>
      </c>
      <c r="B42" s="143">
        <v>202409</v>
      </c>
      <c r="C42" s="143">
        <v>202410</v>
      </c>
      <c r="D42" s="143">
        <v>202411</v>
      </c>
      <c r="E42" s="143">
        <v>202412</v>
      </c>
      <c r="F42" s="143">
        <v>202501</v>
      </c>
      <c r="G42" s="143">
        <v>202502</v>
      </c>
      <c r="H42" s="143">
        <v>202503</v>
      </c>
      <c r="I42" s="143">
        <v>202504</v>
      </c>
      <c r="J42" s="143">
        <v>202505</v>
      </c>
      <c r="K42" s="143">
        <v>202506</v>
      </c>
      <c r="L42" s="143">
        <v>202507</v>
      </c>
      <c r="M42" s="143">
        <v>202508</v>
      </c>
      <c r="N42" s="143">
        <v>202509</v>
      </c>
    </row>
    <row r="43" spans="1:43">
      <c r="A43" s="122" t="s">
        <v>86</v>
      </c>
      <c r="B43" s="145" t="s">
        <v>210</v>
      </c>
      <c r="C43" s="145" t="s">
        <v>212</v>
      </c>
      <c r="D43" s="145" t="s">
        <v>215</v>
      </c>
      <c r="E43" s="145" t="s">
        <v>217</v>
      </c>
      <c r="F43" s="145" t="s">
        <v>221</v>
      </c>
      <c r="G43" s="145" t="s">
        <v>223</v>
      </c>
      <c r="H43" s="145" t="s">
        <v>226</v>
      </c>
      <c r="I43" s="145" t="s">
        <v>236</v>
      </c>
      <c r="J43" s="145" t="s">
        <v>239</v>
      </c>
      <c r="K43" s="145" t="s">
        <v>241</v>
      </c>
      <c r="L43" s="145" t="s">
        <v>244</v>
      </c>
      <c r="M43" s="145" t="s">
        <v>247</v>
      </c>
      <c r="N43" s="145" t="s">
        <v>282</v>
      </c>
    </row>
    <row r="44" spans="1:43">
      <c r="A44" s="122" t="s">
        <v>116</v>
      </c>
      <c r="B44" s="143"/>
      <c r="C44" s="143"/>
      <c r="D44" s="143"/>
      <c r="E44" s="143"/>
      <c r="F44" s="143"/>
      <c r="G44" s="143"/>
      <c r="H44" s="143"/>
      <c r="I44" s="143"/>
      <c r="J44" s="143"/>
      <c r="K44" s="143"/>
      <c r="L44" s="143"/>
      <c r="M44" s="143"/>
      <c r="N44" s="143"/>
    </row>
    <row r="45" spans="1:43">
      <c r="A45" s="124" t="s">
        <v>46</v>
      </c>
      <c r="B45" s="193">
        <v>18713237.050999999</v>
      </c>
      <c r="C45" s="193">
        <v>19037627.333999999</v>
      </c>
      <c r="D45" s="193">
        <v>18668177.702</v>
      </c>
      <c r="E45" s="193">
        <v>20394640.105</v>
      </c>
      <c r="F45" s="193">
        <v>21682201.73</v>
      </c>
      <c r="G45" s="193">
        <v>19232887.374000002</v>
      </c>
      <c r="H45" s="193">
        <v>20774405.912</v>
      </c>
      <c r="I45" s="193">
        <v>17721496.469000001</v>
      </c>
      <c r="J45" s="193">
        <v>18561646.811999999</v>
      </c>
      <c r="K45" s="199">
        <v>20686961.293000001</v>
      </c>
      <c r="L45" s="228">
        <v>22159345.166000001</v>
      </c>
      <c r="M45" s="200">
        <v>20633368.473999999</v>
      </c>
      <c r="N45" s="228">
        <v>19240425.239</v>
      </c>
      <c r="O45" s="62"/>
      <c r="P45" s="191"/>
      <c r="Q45" s="124"/>
    </row>
    <row r="46" spans="1:43">
      <c r="A46" s="124" t="s">
        <v>47</v>
      </c>
      <c r="B46" s="202">
        <v>100</v>
      </c>
      <c r="C46" s="202">
        <v>100</v>
      </c>
      <c r="D46" s="202">
        <v>100</v>
      </c>
      <c r="E46" s="194">
        <v>100</v>
      </c>
      <c r="F46" s="194">
        <v>100</v>
      </c>
      <c r="G46" s="194">
        <v>100</v>
      </c>
      <c r="H46" s="194">
        <v>100</v>
      </c>
      <c r="I46" s="202">
        <v>100</v>
      </c>
      <c r="J46" s="202">
        <v>100</v>
      </c>
      <c r="K46" s="201">
        <v>100</v>
      </c>
      <c r="L46" s="229">
        <v>100</v>
      </c>
      <c r="M46" s="203">
        <v>100</v>
      </c>
      <c r="N46" s="229">
        <v>100</v>
      </c>
      <c r="Q46" s="124"/>
    </row>
    <row r="47" spans="1:43">
      <c r="A47" s="124" t="s">
        <v>48</v>
      </c>
      <c r="B47" s="186">
        <v>72.87</v>
      </c>
      <c r="C47" s="186">
        <v>70.12</v>
      </c>
      <c r="D47" s="186">
        <v>106.72</v>
      </c>
      <c r="E47" s="186">
        <v>113.97</v>
      </c>
      <c r="F47" s="205">
        <v>100.3</v>
      </c>
      <c r="G47" s="186">
        <v>110.72</v>
      </c>
      <c r="H47" s="186">
        <v>55.56</v>
      </c>
      <c r="I47" s="186">
        <v>27.66</v>
      </c>
      <c r="J47" s="186">
        <v>17.440000000000001</v>
      </c>
      <c r="K47" s="204">
        <v>72.47</v>
      </c>
      <c r="L47" s="230">
        <v>70.474000000000004</v>
      </c>
      <c r="M47" s="206">
        <v>68.709999999999994</v>
      </c>
      <c r="N47" s="230">
        <v>61.46</v>
      </c>
      <c r="Q47" s="181"/>
    </row>
    <row r="48" spans="1:43">
      <c r="A48" s="124" t="s">
        <v>49</v>
      </c>
      <c r="B48" s="186">
        <v>4.46</v>
      </c>
      <c r="C48" s="186">
        <v>4.8499999999999996</v>
      </c>
      <c r="D48" s="186">
        <v>4.97</v>
      </c>
      <c r="E48" s="186">
        <v>4.0999999999999996</v>
      </c>
      <c r="F48" s="205">
        <v>4.21</v>
      </c>
      <c r="G48" s="186">
        <v>4.07</v>
      </c>
      <c r="H48" s="186">
        <v>6.62</v>
      </c>
      <c r="I48" s="186">
        <v>11.07</v>
      </c>
      <c r="J48" s="186">
        <v>21.45</v>
      </c>
      <c r="K48" s="204">
        <v>9.7100000000000009</v>
      </c>
      <c r="L48" s="230">
        <v>8.4420000000000002</v>
      </c>
      <c r="M48" s="206">
        <v>8.4600000000000009</v>
      </c>
      <c r="N48" s="230">
        <v>10.210000000000001</v>
      </c>
      <c r="Q48" s="124"/>
    </row>
    <row r="49" spans="1:17">
      <c r="A49" s="124" t="s">
        <v>50</v>
      </c>
      <c r="B49" s="186">
        <v>3.61</v>
      </c>
      <c r="C49" s="186">
        <v>5.5</v>
      </c>
      <c r="D49" s="186">
        <v>4.03</v>
      </c>
      <c r="E49" s="186">
        <v>3.59</v>
      </c>
      <c r="F49" s="205">
        <v>3.57</v>
      </c>
      <c r="G49" s="186">
        <v>7.09</v>
      </c>
      <c r="H49" s="186">
        <v>5.86</v>
      </c>
      <c r="I49" s="186">
        <v>4.26</v>
      </c>
      <c r="J49" s="186">
        <v>2.86</v>
      </c>
      <c r="K49" s="204">
        <v>4.58</v>
      </c>
      <c r="L49" s="230">
        <v>4.8600000000000003</v>
      </c>
      <c r="M49" s="206">
        <v>3.16</v>
      </c>
      <c r="N49" s="230">
        <v>4.5599999999999996</v>
      </c>
      <c r="Q49" s="181"/>
    </row>
    <row r="50" spans="1:17">
      <c r="A50" s="124" t="s">
        <v>51</v>
      </c>
      <c r="B50" s="186">
        <v>-0.09</v>
      </c>
      <c r="C50" s="186">
        <v>-7.0000000000000007E-2</v>
      </c>
      <c r="D50" s="186">
        <v>-0.09</v>
      </c>
      <c r="E50" s="186">
        <v>-0.08</v>
      </c>
      <c r="F50" s="205">
        <v>-0.1</v>
      </c>
      <c r="G50" s="186">
        <v>-0.1</v>
      </c>
      <c r="H50" s="186">
        <v>-0.1</v>
      </c>
      <c r="I50" s="186">
        <v>-0.01</v>
      </c>
      <c r="J50" s="186">
        <v>-7.0000000000000007E-2</v>
      </c>
      <c r="K50" s="204">
        <v>-0.13</v>
      </c>
      <c r="L50" s="230">
        <v>-0.15</v>
      </c>
      <c r="M50" s="206">
        <v>-0.11</v>
      </c>
      <c r="N50" s="230">
        <v>-0.14000000000000001</v>
      </c>
      <c r="Q50" s="124"/>
    </row>
    <row r="51" spans="1:17">
      <c r="A51" s="124" t="s">
        <v>52</v>
      </c>
      <c r="B51" s="186">
        <v>0</v>
      </c>
      <c r="C51" s="186">
        <v>0</v>
      </c>
      <c r="D51" s="186">
        <v>0</v>
      </c>
      <c r="E51" s="186">
        <v>0</v>
      </c>
      <c r="F51" s="186">
        <v>0</v>
      </c>
      <c r="G51" s="186">
        <v>0</v>
      </c>
      <c r="H51" s="186">
        <v>0</v>
      </c>
      <c r="I51" s="186">
        <v>0</v>
      </c>
      <c r="J51" s="186">
        <v>0</v>
      </c>
      <c r="K51" s="204">
        <v>0</v>
      </c>
      <c r="L51" s="230">
        <v>0</v>
      </c>
      <c r="M51" s="206">
        <v>0</v>
      </c>
      <c r="N51" s="230">
        <v>0</v>
      </c>
      <c r="Q51" s="181"/>
    </row>
    <row r="52" spans="1:17">
      <c r="A52" s="124" t="s">
        <v>53</v>
      </c>
      <c r="B52" s="186">
        <v>0</v>
      </c>
      <c r="C52" s="186">
        <v>0</v>
      </c>
      <c r="D52" s="186">
        <v>0</v>
      </c>
      <c r="E52" s="186">
        <v>0</v>
      </c>
      <c r="F52" s="186">
        <v>0</v>
      </c>
      <c r="G52" s="186">
        <v>0</v>
      </c>
      <c r="H52" s="204">
        <v>0</v>
      </c>
      <c r="I52" s="186">
        <v>0</v>
      </c>
      <c r="J52" s="186">
        <v>0</v>
      </c>
      <c r="K52" s="204">
        <v>0</v>
      </c>
      <c r="L52" s="230">
        <v>0</v>
      </c>
      <c r="M52" s="206">
        <v>0</v>
      </c>
      <c r="N52" s="230">
        <v>0</v>
      </c>
      <c r="Q52" s="124"/>
    </row>
    <row r="53" spans="1:17">
      <c r="A53" s="124" t="s">
        <v>198</v>
      </c>
      <c r="B53" s="186">
        <v>2.09</v>
      </c>
      <c r="C53" s="186">
        <v>3.03</v>
      </c>
      <c r="D53" s="186">
        <v>3.16</v>
      </c>
      <c r="E53" s="186">
        <v>3.62</v>
      </c>
      <c r="F53" s="186">
        <v>3.22</v>
      </c>
      <c r="G53" s="186">
        <v>3.47</v>
      </c>
      <c r="H53" s="204">
        <v>2.524</v>
      </c>
      <c r="I53" s="186">
        <v>1.6659999999999999</v>
      </c>
      <c r="J53" s="186">
        <v>1.29</v>
      </c>
      <c r="K53" s="204">
        <v>1.26</v>
      </c>
      <c r="L53" s="230">
        <v>1.79</v>
      </c>
      <c r="M53" s="206">
        <v>2.15</v>
      </c>
      <c r="N53" s="230">
        <v>2.37</v>
      </c>
      <c r="Q53" s="181"/>
    </row>
    <row r="54" spans="1:17">
      <c r="A54" s="124" t="s">
        <v>196</v>
      </c>
      <c r="B54" s="186">
        <v>0.04</v>
      </c>
      <c r="C54" s="186">
        <v>0.05</v>
      </c>
      <c r="D54" s="186">
        <v>0.06</v>
      </c>
      <c r="E54" s="186">
        <v>0.06</v>
      </c>
      <c r="F54" s="186">
        <v>0.08</v>
      </c>
      <c r="G54" s="186">
        <v>0.05</v>
      </c>
      <c r="H54" s="204">
        <v>0.03</v>
      </c>
      <c r="I54" s="186">
        <v>3.5999999999999997E-2</v>
      </c>
      <c r="J54" s="186">
        <v>0.02</v>
      </c>
      <c r="K54" s="204">
        <v>0.03</v>
      </c>
      <c r="L54" s="230">
        <v>0.04</v>
      </c>
      <c r="M54" s="206">
        <v>0.04</v>
      </c>
      <c r="N54" s="230">
        <v>0.05</v>
      </c>
      <c r="Q54" s="124"/>
    </row>
    <row r="55" spans="1:17">
      <c r="A55" s="124" t="s">
        <v>54</v>
      </c>
      <c r="B55" s="186">
        <v>-0.1</v>
      </c>
      <c r="C55" s="186">
        <v>-0.12</v>
      </c>
      <c r="D55" s="186">
        <v>-0.52</v>
      </c>
      <c r="E55" s="186">
        <v>-0.99</v>
      </c>
      <c r="F55" s="186">
        <v>-0.73</v>
      </c>
      <c r="G55" s="186">
        <v>-0.8</v>
      </c>
      <c r="H55" s="204">
        <v>-0.6</v>
      </c>
      <c r="I55" s="186">
        <v>-0.41</v>
      </c>
      <c r="J55" s="186">
        <v>-0.19</v>
      </c>
      <c r="K55" s="204">
        <v>-0.49</v>
      </c>
      <c r="L55" s="230">
        <v>-0.39</v>
      </c>
      <c r="M55" s="206">
        <v>-0.41</v>
      </c>
      <c r="N55" s="230">
        <v>-0.41</v>
      </c>
      <c r="Q55" s="181"/>
    </row>
    <row r="56" spans="1:17">
      <c r="A56" s="124" t="s">
        <v>55</v>
      </c>
      <c r="B56" s="186">
        <v>0.4</v>
      </c>
      <c r="C56" s="186">
        <v>0.42</v>
      </c>
      <c r="D56" s="186">
        <v>0.3</v>
      </c>
      <c r="E56" s="186">
        <v>0.35</v>
      </c>
      <c r="F56" s="186">
        <v>0.59</v>
      </c>
      <c r="G56" s="186">
        <v>0.46</v>
      </c>
      <c r="H56" s="204">
        <v>0.5</v>
      </c>
      <c r="I56" s="186">
        <v>0.53</v>
      </c>
      <c r="J56" s="186">
        <v>0.28999999999999998</v>
      </c>
      <c r="K56" s="204">
        <v>0.39</v>
      </c>
      <c r="L56" s="230">
        <v>0.51</v>
      </c>
      <c r="M56" s="206">
        <v>0.23</v>
      </c>
      <c r="N56" s="230">
        <v>0.45</v>
      </c>
      <c r="Q56" s="124"/>
    </row>
    <row r="57" spans="1:17">
      <c r="A57" s="124" t="s">
        <v>56</v>
      </c>
      <c r="B57" s="186">
        <v>0.47</v>
      </c>
      <c r="C57" s="186">
        <v>0.67</v>
      </c>
      <c r="D57" s="186">
        <v>0.08</v>
      </c>
      <c r="E57" s="186">
        <v>-0.08</v>
      </c>
      <c r="F57" s="186">
        <v>0.1</v>
      </c>
      <c r="G57" s="186">
        <v>1.58</v>
      </c>
      <c r="H57" s="204">
        <v>0.59</v>
      </c>
      <c r="I57" s="186">
        <v>0.1</v>
      </c>
      <c r="J57" s="186">
        <v>-0.27</v>
      </c>
      <c r="K57" s="204">
        <v>-0.6</v>
      </c>
      <c r="L57" s="230">
        <v>-0.61</v>
      </c>
      <c r="M57" s="206">
        <v>0.08</v>
      </c>
      <c r="N57" s="230">
        <v>-0.16</v>
      </c>
      <c r="Q57" s="181"/>
    </row>
    <row r="58" spans="1:17">
      <c r="A58" s="124" t="s">
        <v>22</v>
      </c>
      <c r="B58" s="186">
        <v>-0.12</v>
      </c>
      <c r="C58" s="186">
        <v>-0.11</v>
      </c>
      <c r="D58" s="186">
        <v>-0.12</v>
      </c>
      <c r="E58" s="186">
        <v>-0.11</v>
      </c>
      <c r="F58" s="186">
        <v>-0.12</v>
      </c>
      <c r="G58" s="186">
        <v>-0.09</v>
      </c>
      <c r="H58" s="204">
        <v>-0.1</v>
      </c>
      <c r="I58" s="186">
        <v>-0.11</v>
      </c>
      <c r="J58" s="186">
        <v>-0.11</v>
      </c>
      <c r="K58" s="204">
        <v>-0.09</v>
      </c>
      <c r="L58" s="230">
        <v>-0.1</v>
      </c>
      <c r="M58" s="206">
        <v>-0.09</v>
      </c>
      <c r="N58" s="230">
        <v>-0.11</v>
      </c>
      <c r="Q58" s="124"/>
    </row>
    <row r="59" spans="1:17">
      <c r="A59" s="124" t="s">
        <v>57</v>
      </c>
      <c r="B59" s="186">
        <v>0.16</v>
      </c>
      <c r="C59" s="186">
        <v>0.16</v>
      </c>
      <c r="D59" s="186">
        <v>0.19</v>
      </c>
      <c r="E59" s="186">
        <v>0.28000000000000003</v>
      </c>
      <c r="F59" s="186">
        <v>0.27</v>
      </c>
      <c r="G59" s="186">
        <v>0.27</v>
      </c>
      <c r="H59" s="204">
        <v>0.18</v>
      </c>
      <c r="I59" s="186">
        <v>0.14000000000000001</v>
      </c>
      <c r="J59" s="186">
        <v>0.13</v>
      </c>
      <c r="K59" s="204">
        <v>0.15</v>
      </c>
      <c r="L59" s="230">
        <v>0.28000000000000003</v>
      </c>
      <c r="M59" s="206">
        <v>0.14000000000000001</v>
      </c>
      <c r="N59" s="230">
        <v>0.15</v>
      </c>
      <c r="Q59" s="181"/>
    </row>
    <row r="60" spans="1:17">
      <c r="A60" s="124" t="s">
        <v>199</v>
      </c>
      <c r="B60" s="186">
        <v>0</v>
      </c>
      <c r="C60" s="186">
        <v>0</v>
      </c>
      <c r="D60" s="186">
        <v>0</v>
      </c>
      <c r="E60" s="186">
        <v>0</v>
      </c>
      <c r="F60" s="186">
        <v>0</v>
      </c>
      <c r="G60" s="186">
        <v>0</v>
      </c>
      <c r="H60" s="204">
        <v>0</v>
      </c>
      <c r="I60" s="186">
        <v>0</v>
      </c>
      <c r="J60" s="186">
        <v>0</v>
      </c>
      <c r="K60" s="204">
        <v>0</v>
      </c>
      <c r="L60" s="230">
        <v>0</v>
      </c>
      <c r="M60" s="206">
        <v>0</v>
      </c>
      <c r="N60" s="230">
        <v>0</v>
      </c>
      <c r="Q60" s="124"/>
    </row>
    <row r="61" spans="1:17">
      <c r="A61" s="124" t="s">
        <v>58</v>
      </c>
      <c r="B61" s="186">
        <v>0.04</v>
      </c>
      <c r="C61" s="186">
        <v>0.06</v>
      </c>
      <c r="D61" s="186">
        <v>0.06</v>
      </c>
      <c r="E61" s="186">
        <v>0.02</v>
      </c>
      <c r="F61" s="186">
        <v>0.05</v>
      </c>
      <c r="G61" s="186">
        <v>0.05</v>
      </c>
      <c r="H61" s="204">
        <v>0.05</v>
      </c>
      <c r="I61" s="186">
        <v>0.04</v>
      </c>
      <c r="J61" s="186">
        <v>0.04</v>
      </c>
      <c r="K61" s="204">
        <v>0.05</v>
      </c>
      <c r="L61" s="230">
        <v>0.04</v>
      </c>
      <c r="M61" s="206">
        <v>0.03</v>
      </c>
      <c r="N61" s="230">
        <v>0.05</v>
      </c>
      <c r="Q61" s="181"/>
    </row>
    <row r="62" spans="1:17">
      <c r="A62" s="124" t="s">
        <v>197</v>
      </c>
      <c r="B62" s="186">
        <v>0</v>
      </c>
      <c r="C62" s="186">
        <v>0</v>
      </c>
      <c r="D62" s="186">
        <v>0</v>
      </c>
      <c r="E62" s="186">
        <v>0</v>
      </c>
      <c r="F62" s="186">
        <v>0</v>
      </c>
      <c r="G62" s="186">
        <v>0</v>
      </c>
      <c r="H62" s="204">
        <v>0</v>
      </c>
      <c r="I62" s="186">
        <v>0</v>
      </c>
      <c r="J62" s="186">
        <v>0</v>
      </c>
      <c r="K62" s="204">
        <v>0</v>
      </c>
      <c r="L62" s="230">
        <v>0</v>
      </c>
      <c r="M62" s="206">
        <v>0</v>
      </c>
      <c r="N62" s="230">
        <v>0</v>
      </c>
      <c r="Q62" s="124"/>
    </row>
    <row r="63" spans="1:17">
      <c r="A63" s="124" t="s">
        <v>183</v>
      </c>
      <c r="B63" s="186">
        <v>0</v>
      </c>
      <c r="C63" s="186">
        <v>0</v>
      </c>
      <c r="D63" s="186">
        <v>0</v>
      </c>
      <c r="E63" s="186">
        <v>0</v>
      </c>
      <c r="F63" s="186">
        <v>0</v>
      </c>
      <c r="G63" s="186">
        <v>0</v>
      </c>
      <c r="H63" s="204">
        <v>0</v>
      </c>
      <c r="I63" s="186">
        <v>0</v>
      </c>
      <c r="J63" s="186">
        <v>0</v>
      </c>
      <c r="K63" s="204">
        <v>0</v>
      </c>
      <c r="L63" s="230">
        <v>0</v>
      </c>
      <c r="M63" s="206">
        <v>0</v>
      </c>
      <c r="N63" s="230">
        <v>0</v>
      </c>
      <c r="Q63" s="181"/>
    </row>
    <row r="64" spans="1:17">
      <c r="A64" s="124" t="s">
        <v>184</v>
      </c>
      <c r="B64" s="186">
        <v>0</v>
      </c>
      <c r="C64" s="186">
        <v>0</v>
      </c>
      <c r="D64" s="186">
        <v>0</v>
      </c>
      <c r="E64" s="186">
        <v>0</v>
      </c>
      <c r="F64" s="186">
        <v>0</v>
      </c>
      <c r="G64" s="186">
        <v>0</v>
      </c>
      <c r="H64" s="204">
        <v>0</v>
      </c>
      <c r="I64" s="186">
        <v>0</v>
      </c>
      <c r="J64" s="186">
        <v>0</v>
      </c>
      <c r="K64" s="204">
        <v>0</v>
      </c>
      <c r="L64" s="230">
        <v>0</v>
      </c>
      <c r="M64" s="206">
        <v>0</v>
      </c>
      <c r="N64" s="230">
        <v>0</v>
      </c>
      <c r="Q64" s="181"/>
    </row>
    <row r="65" spans="1:17">
      <c r="A65" s="124" t="s">
        <v>185</v>
      </c>
      <c r="B65" s="186">
        <v>0</v>
      </c>
      <c r="C65" s="186">
        <v>0</v>
      </c>
      <c r="D65" s="186">
        <v>0</v>
      </c>
      <c r="E65" s="186">
        <v>0</v>
      </c>
      <c r="F65" s="186">
        <v>0</v>
      </c>
      <c r="G65" s="186">
        <v>0</v>
      </c>
      <c r="H65" s="204">
        <v>0</v>
      </c>
      <c r="I65" s="186">
        <v>0</v>
      </c>
      <c r="J65" s="186">
        <v>0</v>
      </c>
      <c r="K65" s="204">
        <v>0</v>
      </c>
      <c r="L65" s="230">
        <v>0</v>
      </c>
      <c r="M65" s="206">
        <v>0</v>
      </c>
      <c r="N65" s="230">
        <v>0</v>
      </c>
      <c r="O65" s="139">
        <f>(N71/M71-1)</f>
        <v>-4.7607481175612976E-2</v>
      </c>
      <c r="P65" s="139">
        <f>(N71/B71-1)</f>
        <v>-6.3753581661891268E-2</v>
      </c>
      <c r="Q65" s="181"/>
    </row>
    <row r="66" spans="1:17">
      <c r="A66" s="124" t="s">
        <v>200</v>
      </c>
      <c r="B66" s="186">
        <v>-0.63</v>
      </c>
      <c r="C66" s="186">
        <v>-0.68</v>
      </c>
      <c r="D66" s="186">
        <v>-0.61</v>
      </c>
      <c r="E66" s="186">
        <v>-0.54</v>
      </c>
      <c r="F66" s="186">
        <v>-1.1000000000000001</v>
      </c>
      <c r="G66" s="186">
        <v>-1.1599999999999999</v>
      </c>
      <c r="H66" s="204">
        <v>-1.1339999999999999</v>
      </c>
      <c r="I66" s="186">
        <v>-1.2</v>
      </c>
      <c r="J66" s="186">
        <v>-1.34</v>
      </c>
      <c r="K66" s="204">
        <v>-1.1299999999999999</v>
      </c>
      <c r="L66" s="230">
        <v>-1.1100000000000001</v>
      </c>
      <c r="M66" s="206">
        <v>-1.1200000000000001</v>
      </c>
      <c r="N66" s="230">
        <v>-1.26</v>
      </c>
      <c r="Q66" s="181"/>
    </row>
    <row r="67" spans="1:17">
      <c r="A67" s="124" t="s">
        <v>201</v>
      </c>
      <c r="B67" s="186">
        <v>0.02</v>
      </c>
      <c r="C67" s="186">
        <v>0.03</v>
      </c>
      <c r="D67" s="186">
        <v>0.02</v>
      </c>
      <c r="E67" s="186">
        <v>0.04</v>
      </c>
      <c r="F67" s="186">
        <v>0.03</v>
      </c>
      <c r="G67" s="186">
        <v>0.01</v>
      </c>
      <c r="H67" s="204">
        <v>0.01</v>
      </c>
      <c r="I67" s="186">
        <v>0.02</v>
      </c>
      <c r="J67" s="186">
        <v>7.0000000000000007E-2</v>
      </c>
      <c r="K67" s="204">
        <v>0.03</v>
      </c>
      <c r="L67" s="230">
        <v>0.03</v>
      </c>
      <c r="M67" s="206">
        <v>7.0000000000000007E-2</v>
      </c>
      <c r="N67" s="230">
        <v>0.03</v>
      </c>
      <c r="Q67" s="181"/>
    </row>
    <row r="68" spans="1:17">
      <c r="A68" s="124" t="s">
        <v>202</v>
      </c>
      <c r="B68" s="186">
        <v>0.54</v>
      </c>
      <c r="C68" s="186">
        <v>0.59</v>
      </c>
      <c r="D68" s="186">
        <v>0.56000000000000005</v>
      </c>
      <c r="E68" s="186">
        <v>0.47</v>
      </c>
      <c r="F68" s="186">
        <v>0.98</v>
      </c>
      <c r="G68" s="186">
        <v>1.0900000000000001</v>
      </c>
      <c r="H68" s="204">
        <v>1.04</v>
      </c>
      <c r="I68" s="186">
        <v>1.0900000000000001</v>
      </c>
      <c r="J68" s="186">
        <v>1.1399999999999999</v>
      </c>
      <c r="K68" s="204">
        <v>1.02</v>
      </c>
      <c r="L68" s="230">
        <v>1.01</v>
      </c>
      <c r="M68" s="206">
        <v>0.99</v>
      </c>
      <c r="N68" s="230">
        <v>1.1499999999999999</v>
      </c>
      <c r="Q68" s="181"/>
    </row>
    <row r="69" spans="1:17">
      <c r="A69" s="124" t="s">
        <v>203</v>
      </c>
      <c r="B69" s="186">
        <v>0.01</v>
      </c>
      <c r="C69" s="186">
        <v>0.01</v>
      </c>
      <c r="D69" s="186">
        <v>0.01</v>
      </c>
      <c r="E69" s="186">
        <v>0.01</v>
      </c>
      <c r="F69" s="186">
        <v>0.02</v>
      </c>
      <c r="G69" s="186">
        <v>0.03</v>
      </c>
      <c r="H69" s="204">
        <v>0.02</v>
      </c>
      <c r="I69" s="186">
        <v>0.02</v>
      </c>
      <c r="J69" s="186">
        <v>0.02</v>
      </c>
      <c r="K69" s="204">
        <v>0.03</v>
      </c>
      <c r="L69" s="230">
        <v>0.02</v>
      </c>
      <c r="M69" s="206">
        <v>0.02</v>
      </c>
      <c r="N69" s="230">
        <v>0.03</v>
      </c>
      <c r="Q69" s="181"/>
    </row>
    <row r="70" spans="1:17">
      <c r="A70" s="124" t="s">
        <v>242</v>
      </c>
      <c r="B70" s="207">
        <v>-0.01</v>
      </c>
      <c r="C70" s="207">
        <v>-0.01</v>
      </c>
      <c r="D70" s="208">
        <v>-0.01</v>
      </c>
      <c r="E70" s="209">
        <v>-0.01</v>
      </c>
      <c r="F70" s="209">
        <v>-0.01</v>
      </c>
      <c r="G70" s="209">
        <v>-0.01</v>
      </c>
      <c r="H70" s="209">
        <v>-0.01</v>
      </c>
      <c r="I70" s="208">
        <v>-0.01</v>
      </c>
      <c r="J70" s="208">
        <v>-0.01</v>
      </c>
      <c r="K70" s="208">
        <v>0</v>
      </c>
      <c r="L70" s="210">
        <v>-0.01</v>
      </c>
      <c r="M70" s="217">
        <v>-0.01</v>
      </c>
      <c r="N70" s="217">
        <v>-0.01</v>
      </c>
      <c r="Q70" s="181"/>
    </row>
    <row r="71" spans="1:17">
      <c r="A71" s="124" t="s">
        <v>59</v>
      </c>
      <c r="B71" s="195">
        <v>83.760000000000019</v>
      </c>
      <c r="C71" s="195">
        <v>84.5</v>
      </c>
      <c r="D71" s="195">
        <v>118.81</v>
      </c>
      <c r="E71" s="195">
        <v>124.7</v>
      </c>
      <c r="F71" s="195">
        <v>111.36</v>
      </c>
      <c r="G71" s="195">
        <v>126.73</v>
      </c>
      <c r="H71" s="195">
        <v>71.040000000000006</v>
      </c>
      <c r="I71" s="195">
        <v>44.89</v>
      </c>
      <c r="J71" s="195">
        <v>42.760000000000005</v>
      </c>
      <c r="K71" s="195">
        <v>87.28</v>
      </c>
      <c r="L71" s="195">
        <v>85.13</v>
      </c>
      <c r="M71" s="195">
        <v>82.339999999999975</v>
      </c>
      <c r="N71" s="227">
        <v>78.42</v>
      </c>
    </row>
    <row r="72" spans="1:17">
      <c r="A72" s="62"/>
      <c r="B72" s="62"/>
      <c r="C72" s="62"/>
      <c r="E72" s="62"/>
      <c r="F72" s="62"/>
      <c r="G72" s="62"/>
      <c r="H72" s="62"/>
      <c r="I72" s="62"/>
      <c r="J72" s="62"/>
      <c r="K72" s="62"/>
      <c r="L72" s="62"/>
      <c r="M72" s="62"/>
      <c r="N72" s="62"/>
    </row>
    <row r="73" spans="1:17">
      <c r="D73" s="62"/>
      <c r="N73" s="139">
        <f>N71/M71-1</f>
        <v>-4.7607481175612976E-2</v>
      </c>
    </row>
    <row r="74" spans="1:17">
      <c r="N74" s="139">
        <f>N71/B71-1</f>
        <v>-6.3753581661891268E-2</v>
      </c>
    </row>
    <row r="75" spans="1:17">
      <c r="M75" s="62"/>
      <c r="N75" s="62"/>
    </row>
    <row r="80" spans="1:17">
      <c r="A80" s="180" t="s">
        <v>18</v>
      </c>
      <c r="B80" s="180"/>
      <c r="C80" s="180"/>
      <c r="D80" s="89"/>
      <c r="E80" s="90"/>
      <c r="F80" s="90"/>
      <c r="G80" s="90"/>
      <c r="H80" s="90"/>
      <c r="I80" s="90"/>
      <c r="J80" s="90"/>
      <c r="K80" s="90"/>
      <c r="L80" s="90"/>
      <c r="M80" s="90"/>
      <c r="N80" s="90"/>
    </row>
    <row r="81" spans="1:16">
      <c r="A81" s="86"/>
      <c r="B81" s="91" t="str">
        <f>MID(B43,6,1)</f>
        <v>S</v>
      </c>
      <c r="C81" s="91" t="str">
        <f t="shared" ref="C81:N81" si="1">MID(C43,6,1)</f>
        <v>O</v>
      </c>
      <c r="D81" s="91" t="str">
        <f t="shared" si="1"/>
        <v>N</v>
      </c>
      <c r="E81" s="91" t="str">
        <f t="shared" si="1"/>
        <v>D</v>
      </c>
      <c r="F81" s="91" t="str">
        <f t="shared" si="1"/>
        <v>E</v>
      </c>
      <c r="G81" s="91" t="str">
        <f t="shared" si="1"/>
        <v>F</v>
      </c>
      <c r="H81" s="91" t="str">
        <f t="shared" si="1"/>
        <v>M</v>
      </c>
      <c r="I81" s="91" t="str">
        <f t="shared" si="1"/>
        <v>A</v>
      </c>
      <c r="J81" s="91"/>
      <c r="K81" s="91" t="str">
        <f t="shared" si="1"/>
        <v>J</v>
      </c>
      <c r="L81" s="91" t="str">
        <f t="shared" si="1"/>
        <v>J</v>
      </c>
      <c r="M81" s="91" t="str">
        <f t="shared" si="1"/>
        <v>A</v>
      </c>
      <c r="N81" s="91" t="str">
        <f t="shared" si="1"/>
        <v>S</v>
      </c>
    </row>
    <row r="82" spans="1:16">
      <c r="A82" s="87" t="s">
        <v>20</v>
      </c>
      <c r="B82" s="92">
        <f>VLOOKUP("Restricciones PBF",$A$45:$N$71,2,FALSE)</f>
        <v>4.46</v>
      </c>
      <c r="C82" s="92">
        <f>VLOOKUP("Restricciones PBF",$A$45:$N$71,3,FALSE)</f>
        <v>4.8499999999999996</v>
      </c>
      <c r="D82" s="92">
        <f>VLOOKUP("Restricciones PBF",$A$45:$N$71,4,FALSE)</f>
        <v>4.97</v>
      </c>
      <c r="E82" s="92">
        <f>VLOOKUP("Restricciones PBF",$A$45:$N$71,5,FALSE)</f>
        <v>4.0999999999999996</v>
      </c>
      <c r="F82" s="92">
        <f>VLOOKUP("Restricciones PBF",$A$45:$N$71,6,FALSE)</f>
        <v>4.21</v>
      </c>
      <c r="G82" s="92">
        <f>VLOOKUP("Restricciones PBF",$A$45:$N$71,7,FALSE)</f>
        <v>4.07</v>
      </c>
      <c r="H82" s="92">
        <f>VLOOKUP("Restricciones PBF",$A$45:$N$71,8,FALSE)</f>
        <v>6.62</v>
      </c>
      <c r="I82" s="92">
        <f>VLOOKUP("Restricciones PBF",$A$45:$N$71,9,FALSE)</f>
        <v>11.07</v>
      </c>
      <c r="J82" s="92">
        <f>VLOOKUP("Restricciones PBF",$A$45:$N$71,10,FALSE)</f>
        <v>21.45</v>
      </c>
      <c r="K82" s="92">
        <f>VLOOKUP("Restricciones PBF",$A$45:$N$71,11,FALSE)</f>
        <v>9.7100000000000009</v>
      </c>
      <c r="L82" s="92">
        <f>VLOOKUP("Restricciones PBF",$A$45:$N$71,12,FALSE)</f>
        <v>8.4420000000000002</v>
      </c>
      <c r="M82" s="92">
        <f>VLOOKUP("Restricciones PBF",$A$45:$N$71,13,FALSE)</f>
        <v>8.4600000000000009</v>
      </c>
      <c r="N82" s="92">
        <f>VLOOKUP("Restricciones PBF",$A$45:$N$71,14,FALSE)</f>
        <v>10.210000000000001</v>
      </c>
    </row>
    <row r="83" spans="1:16">
      <c r="A83" s="87" t="s">
        <v>24</v>
      </c>
      <c r="B83" s="92">
        <f>VLOOKUP("Restricciones TR",$A$45:$N$71,2,FALSE)</f>
        <v>3.61</v>
      </c>
      <c r="C83" s="92">
        <f>VLOOKUP("Restricciones TR",$A$45:$N$71,3,FALSE)</f>
        <v>5.5</v>
      </c>
      <c r="D83" s="92">
        <f>VLOOKUP("Restricciones TR",$A$45:$N$71,4,FALSE)</f>
        <v>4.03</v>
      </c>
      <c r="E83" s="92">
        <f>VLOOKUP("Restricciones TR",$A$45:$N$71,5,FALSE)</f>
        <v>3.59</v>
      </c>
      <c r="F83" s="92">
        <f>VLOOKUP("Restricciones TR",$A$45:$N$71,6,FALSE)</f>
        <v>3.57</v>
      </c>
      <c r="G83" s="92">
        <f>VLOOKUP("Restricciones TR",$A$45:$N$71,7,FALSE)</f>
        <v>7.09</v>
      </c>
      <c r="H83" s="92">
        <f>VLOOKUP("Restricciones TR",$A$45:$N$71,8,FALSE)</f>
        <v>5.86</v>
      </c>
      <c r="I83" s="92">
        <f>VLOOKUP("Restricciones TR",$A$45:$N$71,9,FALSE)</f>
        <v>4.26</v>
      </c>
      <c r="J83" s="92">
        <f>VLOOKUP("Restricciones TR",$A$45:$N$71,10,FALSE)</f>
        <v>2.86</v>
      </c>
      <c r="K83" s="92">
        <f>VLOOKUP("Restricciones TR",$A$45:$N$71,11,FALSE)</f>
        <v>4.58</v>
      </c>
      <c r="L83" s="92">
        <f>VLOOKUP("Restricciones TR",$A$45:$N$71,12,FALSE)</f>
        <v>4.8600000000000003</v>
      </c>
      <c r="M83" s="92">
        <f>VLOOKUP("Restricciones TR",$A$45:$N$71,13,FALSE)</f>
        <v>3.16</v>
      </c>
      <c r="N83" s="92">
        <f>VLOOKUP("Restricciones TR",$A$45:$N$71,14,FALSE)</f>
        <v>4.5599999999999996</v>
      </c>
    </row>
    <row r="84" spans="1:16">
      <c r="A84" s="87" t="s">
        <v>187</v>
      </c>
      <c r="B84" s="92">
        <f>B53+B54+B68+B69</f>
        <v>2.6799999999999997</v>
      </c>
      <c r="C84" s="92">
        <f t="shared" ref="C84:H84" si="2">C53+C54+C68+C69</f>
        <v>3.6799999999999993</v>
      </c>
      <c r="D84" s="92">
        <f t="shared" si="2"/>
        <v>3.79</v>
      </c>
      <c r="E84" s="92">
        <f t="shared" si="2"/>
        <v>4.16</v>
      </c>
      <c r="F84" s="92">
        <f t="shared" si="2"/>
        <v>4.3</v>
      </c>
      <c r="G84" s="92">
        <f>G53+G54+G68+G69</f>
        <v>4.6400000000000006</v>
      </c>
      <c r="H84" s="92">
        <f t="shared" si="2"/>
        <v>3.6139999999999999</v>
      </c>
      <c r="I84" s="92">
        <f t="shared" ref="I84:N84" si="3">I53+I54+I68+I69</f>
        <v>2.8119999999999998</v>
      </c>
      <c r="J84" s="92">
        <f t="shared" si="3"/>
        <v>2.4700000000000002</v>
      </c>
      <c r="K84" s="92">
        <f t="shared" si="3"/>
        <v>2.34</v>
      </c>
      <c r="L84" s="92">
        <f>L53+L54+L68+L69</f>
        <v>2.86</v>
      </c>
      <c r="M84" s="92">
        <f t="shared" si="3"/>
        <v>3.1999999999999997</v>
      </c>
      <c r="N84" s="92">
        <f t="shared" si="3"/>
        <v>3.5999999999999996</v>
      </c>
    </row>
    <row r="85" spans="1:16">
      <c r="A85" s="87" t="s">
        <v>54</v>
      </c>
      <c r="B85" s="92">
        <f>VLOOKUP("Incumplimiento energía balance",$A$45:$N$71,2,FALSE)</f>
        <v>-0.1</v>
      </c>
      <c r="C85" s="92">
        <f>VLOOKUP("Incumplimiento energía balance",$A$45:$N$71,3,FALSE)</f>
        <v>-0.12</v>
      </c>
      <c r="D85" s="92">
        <f>VLOOKUP("Incumplimiento energía balance",$A$45:$N$71,4,FALSE)</f>
        <v>-0.52</v>
      </c>
      <c r="E85" s="92">
        <f>VLOOKUP("Incumplimiento energía balance",$A$45:$N$71,5,FALSE)</f>
        <v>-0.99</v>
      </c>
      <c r="F85" s="92">
        <f>VLOOKUP("Incumplimiento energía balance",$A$45:$N$71,6,FALSE)</f>
        <v>-0.73</v>
      </c>
      <c r="G85" s="92">
        <f>VLOOKUP("Incumplimiento energía balance",$A$45:$N$71,7,FALSE)</f>
        <v>-0.8</v>
      </c>
      <c r="H85" s="92">
        <f>VLOOKUP("Incumplimiento energía balance",$A$45:$N$71,8,FALSE)</f>
        <v>-0.6</v>
      </c>
      <c r="I85" s="92">
        <f>VLOOKUP("Incumplimiento energía balance",$A$45:$N$71,9,FALSE)</f>
        <v>-0.41</v>
      </c>
      <c r="J85" s="92">
        <f>VLOOKUP("Incumplimiento energía balance",$A$45:$N$71,10,FALSE)</f>
        <v>-0.19</v>
      </c>
      <c r="K85" s="92">
        <f>VLOOKUP("Incumplimiento energía balance",$A$45:$N$71,11,FALSE)</f>
        <v>-0.49</v>
      </c>
      <c r="L85" s="92">
        <f>VLOOKUP("Incumplimiento energía balance",$A$45:$N$71,12,FALSE)</f>
        <v>-0.39</v>
      </c>
      <c r="M85" s="92">
        <f>VLOOKUP("Incumplimiento energía balance",$A$45:$N$71,13,FALSE)</f>
        <v>-0.41</v>
      </c>
      <c r="N85" s="92">
        <f>VLOOKUP("Incumplimiento energía balance",$A$45:$N$71,14,FALSE)</f>
        <v>-0.41</v>
      </c>
    </row>
    <row r="86" spans="1:16">
      <c r="A86" s="87" t="s">
        <v>55</v>
      </c>
      <c r="B86" s="92">
        <f>VLOOKUP("Coste desvíos",$A$45:$N$71,2,FALSE)</f>
        <v>0.4</v>
      </c>
      <c r="C86" s="92">
        <f>VLOOKUP("Coste desvíos",$A$45:$N$71,3,FALSE)</f>
        <v>0.42</v>
      </c>
      <c r="D86" s="92">
        <f>VLOOKUP("Coste desvíos",$A$45:$N$71,4,FALSE)</f>
        <v>0.3</v>
      </c>
      <c r="E86" s="92">
        <f>VLOOKUP("Coste desvíos",$A$45:$N$71,5,FALSE)</f>
        <v>0.35</v>
      </c>
      <c r="F86" s="92">
        <f>VLOOKUP("Coste desvíos",$A$45:$N$71,6,FALSE)</f>
        <v>0.59</v>
      </c>
      <c r="G86" s="92">
        <f>VLOOKUP("Coste desvíos",$A$45:$N$71,7,FALSE)</f>
        <v>0.46</v>
      </c>
      <c r="H86" s="92">
        <f>VLOOKUP("Coste desvíos",$A$45:$N$71,8,FALSE)</f>
        <v>0.5</v>
      </c>
      <c r="I86" s="92">
        <f>VLOOKUP("Coste desvíos",$A$45:$N$71,9,FALSE)</f>
        <v>0.53</v>
      </c>
      <c r="J86" s="92">
        <f>VLOOKUP("Coste desvíos",$A$45:$N$71,10,FALSE)</f>
        <v>0.28999999999999998</v>
      </c>
      <c r="K86" s="92">
        <f>VLOOKUP("Coste desvíos",$A$45:$N$71,11,FALSE)</f>
        <v>0.39</v>
      </c>
      <c r="L86" s="92">
        <f>VLOOKUP("Coste desvíos",$A$45:$N$71,12,FALSE)</f>
        <v>0.51</v>
      </c>
      <c r="M86" s="92">
        <f>VLOOKUP("Coste desvíos",$A$45:$N$71,13,FALSE)</f>
        <v>0.23</v>
      </c>
      <c r="N86" s="92">
        <f>VLOOKUP("Coste desvíos",$A$45:$N$71,14,FALSE)</f>
        <v>0.45</v>
      </c>
    </row>
    <row r="87" spans="1:16">
      <c r="A87" s="87" t="s">
        <v>56</v>
      </c>
      <c r="B87" s="92">
        <f>VLOOKUP("Saldo desvíos",$A$45:$N$71,2,FALSE)</f>
        <v>0.47</v>
      </c>
      <c r="C87" s="92">
        <f>VLOOKUP("Saldo desvíos",$A$45:$N$71,3,FALSE)</f>
        <v>0.67</v>
      </c>
      <c r="D87" s="92">
        <f>VLOOKUP("Saldo desvíos",$A$45:$N$71,4,FALSE)</f>
        <v>0.08</v>
      </c>
      <c r="E87" s="92">
        <f>VLOOKUP("Saldo desvíos",$A$45:$N$71,5,FALSE)</f>
        <v>-0.08</v>
      </c>
      <c r="F87" s="92">
        <f>VLOOKUP("Saldo desvíos",$A$45:$N$71,6,FALSE)</f>
        <v>0.1</v>
      </c>
      <c r="G87" s="92">
        <f>VLOOKUP("Saldo desvíos",$A$45:$N$71,7,FALSE)</f>
        <v>1.58</v>
      </c>
      <c r="H87" s="92">
        <f>VLOOKUP("Saldo desvíos",$A$45:$N$71,8,FALSE)</f>
        <v>0.59</v>
      </c>
      <c r="I87" s="92">
        <f>VLOOKUP("Saldo desvíos",$A$45:$N$71,9,FALSE)</f>
        <v>0.1</v>
      </c>
      <c r="J87" s="92">
        <f>VLOOKUP("Saldo desvíos",$A$45:$N$71,10,FALSE)</f>
        <v>-0.27</v>
      </c>
      <c r="K87" s="92">
        <f>VLOOKUP("Saldo desvíos",$A$45:$N$71,11,FALSE)</f>
        <v>-0.6</v>
      </c>
      <c r="L87" s="92">
        <f>VLOOKUP("Saldo desvíos",$A$45:$N$71,12,FALSE)</f>
        <v>-0.61</v>
      </c>
      <c r="M87" s="92">
        <f>VLOOKUP("Saldo desvíos",$A$45:$N$71,13,FALSE)</f>
        <v>0.08</v>
      </c>
      <c r="N87" s="92">
        <f>VLOOKUP("Saldo desvíos",$A$45:$N$71,14,FALSE)</f>
        <v>-0.16</v>
      </c>
    </row>
    <row r="88" spans="1:16">
      <c r="A88" s="87" t="s">
        <v>22</v>
      </c>
      <c r="B88" s="92">
        <f>VLOOKUP("Control del factor de potencia",$A$45:$N$71,2,FALSE)</f>
        <v>-0.12</v>
      </c>
      <c r="C88" s="92">
        <f>VLOOKUP("Control del factor de potencia",$A$45:$N$71,3,FALSE)</f>
        <v>-0.11</v>
      </c>
      <c r="D88" s="92">
        <f>VLOOKUP("Control del factor de potencia",$A$45:$N$71,4,FALSE)</f>
        <v>-0.12</v>
      </c>
      <c r="E88" s="92">
        <f>VLOOKUP("Control del factor de potencia",$A$45:$N$71,5,FALSE)</f>
        <v>-0.11</v>
      </c>
      <c r="F88" s="92">
        <f>VLOOKUP("Control del factor de potencia",$A$45:$N$71,6,FALSE)</f>
        <v>-0.12</v>
      </c>
      <c r="G88" s="92">
        <f>VLOOKUP("Control del factor de potencia",$A$45:$N$71,7,FALSE)</f>
        <v>-0.09</v>
      </c>
      <c r="H88" s="92">
        <f>VLOOKUP("Control del factor de potencia",$A$45:$N$71,8,FALSE)</f>
        <v>-0.1</v>
      </c>
      <c r="I88" s="92">
        <f>VLOOKUP("Control del factor de potencia",$A$45:$N$71,9,FALSE)</f>
        <v>-0.11</v>
      </c>
      <c r="J88" s="92">
        <f>VLOOKUP("Control del factor de potencia",$A$45:$N$71,10,FALSE)</f>
        <v>-0.11</v>
      </c>
      <c r="K88" s="92">
        <f>VLOOKUP("Control del factor de potencia",$A$45:$N$71,11,FALSE)</f>
        <v>-0.09</v>
      </c>
      <c r="L88" s="92">
        <f>VLOOKUP("Control del factor de potencia",$A$45:$N$71,12,FALSE)</f>
        <v>-0.1</v>
      </c>
      <c r="M88" s="92">
        <f>VLOOKUP("Control del factor de potencia",$A$45:$N$71,13,FALSE)</f>
        <v>-0.09</v>
      </c>
      <c r="N88" s="92">
        <f>VLOOKUP("Control del factor de potencia",$A$45:$N$71,14,FALSE)</f>
        <v>-0.11</v>
      </c>
    </row>
    <row r="89" spans="1:16">
      <c r="A89" s="87" t="s">
        <v>206</v>
      </c>
      <c r="B89" s="92">
        <f>VLOOKUP("Servicio respuesta activa (potencia)",$A$45:$N$71,2,FALSE)+VLOOKUP("Servicio respuesta activa (I)",$A$45:$N$71,2,FALSE)+VLOOKUP("Ingreso control de tensión",$A$45:$N$71,2,FALSE)</f>
        <v>-0.62</v>
      </c>
      <c r="C89" s="92">
        <f>VLOOKUP("Servicio respuesta activa (potencia)",$A$45:$N$71,3,FALSE)+VLOOKUP("Servicio respuesta activa (I)",$A$45:$N$71,3,FALSE)+VLOOKUP("Ingreso control de tensión",$A$45:$N$71,3,FALSE)</f>
        <v>-0.66</v>
      </c>
      <c r="D89" s="92">
        <f>VLOOKUP("Servicio respuesta activa (potencia)",$A$45:$N$71,4,FALSE)+VLOOKUP("Servicio respuesta activa (I)",$A$45:$N$71,4,FALSE)+VLOOKUP("Ingreso control de tensión",$A$45:$N$71,4,FALSE)</f>
        <v>-0.6</v>
      </c>
      <c r="E89" s="92">
        <f>VLOOKUP("Servicio respuesta activa (potencia)",$A$45:$N$71,5,FALSE)+VLOOKUP("Servicio respuesta activa (I)",$A$45:$N$71,5,FALSE)+VLOOKUP("Ingreso control de tensión",$A$45:$N$71,5,FALSE)</f>
        <v>-0.51</v>
      </c>
      <c r="F89" s="92">
        <f>VLOOKUP("Servicio respuesta activa (potencia)",$A$45:$N$71,6,FALSE)+VLOOKUP("Servicio respuesta activa (I)",$A$45:$N$71,6,FALSE)+VLOOKUP("Ingreso control de tensión",$A$45:$N$71,6,FALSE)</f>
        <v>-1.08</v>
      </c>
      <c r="G89" s="92">
        <f>VLOOKUP("Servicio respuesta activa (potencia)",$A$45:$N$71,7,FALSE)+VLOOKUP("Servicio respuesta activa (I)",$A$45:$N$71,7,FALSE)+VLOOKUP("Ingreso control de tensión",$A$45:$N$71,7,FALSE)</f>
        <v>-1.1599999999999999</v>
      </c>
      <c r="H89" s="92">
        <f>VLOOKUP("Servicio respuesta activa (potencia)",$A$45:$N$71,8,FALSE)+VLOOKUP("Servicio respuesta activa (I)",$A$45:$N$71,8,FALSE)+VLOOKUP("Ingreso control de tensión",$A$45:$N$71,8,FALSE)</f>
        <v>-1.1339999999999999</v>
      </c>
      <c r="I89" s="92">
        <f>VLOOKUP("Servicio respuesta activa (potencia)",$A$45:$N$71,9,FALSE)+VLOOKUP("Servicio respuesta activa (I)",$A$45:$N$71,9,FALSE)+VLOOKUP("Ingreso control de tensión",$A$45:$N$71,9,FALSE)</f>
        <v>-1.19</v>
      </c>
      <c r="J89" s="92">
        <f>VLOOKUP("Servicio respuesta activa (potencia)",$A$45:$N$71,10,FALSE)+VLOOKUP("Servicio respuesta activa (I)",$A$45:$N$71,10,FALSE)+VLOOKUP("Ingreso control de tensión",$A$45:$N$71,10,FALSE)</f>
        <v>-1.28</v>
      </c>
      <c r="K89" s="92">
        <f>VLOOKUP("Servicio respuesta activa (potencia)",$A$45:$N$71,11,FALSE)+VLOOKUP("Servicio respuesta activa (I)",$A$45:$N$71,11,FALSE)+VLOOKUP("Ingreso control de tensión",$A$45:$N$71,11,FALSE)</f>
        <v>-1.0999999999999999</v>
      </c>
      <c r="L89" s="92">
        <f>VLOOKUP("Servicio respuesta activa (potencia)",$A$45:$N$71,12,FALSE)+VLOOKUP("Ingreso control de tensión",$A$45:$N$71,12,FALSE)+VLOOKUP("Servicio respuesta activa (I)",$A$45:$N$71,12,FALSE)</f>
        <v>-1.0900000000000001</v>
      </c>
      <c r="M89" s="92">
        <f>VLOOKUP("Servicio respuesta activa (potencia)",$A$45:$N$71,13,FALSE)+VLOOKUP("Ingreso control de tensión",$A$45:$N$71,13,FALSE)+VLOOKUP("Servicio respuesta activa (I)",$A$45:$N$71,13,FALSE)</f>
        <v>-1.06</v>
      </c>
      <c r="N89" s="92">
        <f>VLOOKUP("Servicio respuesta activa (potencia)",$A$45:$N$71,14,FALSE)+VLOOKUP("Ingreso control de tensión",$A$45:$N$71,14,FALSE)+VLOOKUP("Servicio respuesta activa (I)",$A$45:$N$71,14,FALSE)</f>
        <v>-1.24</v>
      </c>
    </row>
    <row r="90" spans="1:16" ht="12" customHeight="1">
      <c r="A90" s="88" t="s">
        <v>58</v>
      </c>
      <c r="B90" s="93">
        <f>VLOOKUP("Saldo PO 14.6",$A$45:$N$71,2,FALSE)</f>
        <v>0.04</v>
      </c>
      <c r="C90" s="93">
        <f>VLOOKUP("Saldo PO 14.6",$A$45:$N$71,3,FALSE)</f>
        <v>0.06</v>
      </c>
      <c r="D90" s="93">
        <f>VLOOKUP("Saldo PO 14.6",$A$45:$N$71,4,FALSE)</f>
        <v>0.06</v>
      </c>
      <c r="E90" s="93">
        <f>VLOOKUP("Saldo PO 14.6",$A$45:$N$71,5,FALSE)</f>
        <v>0.02</v>
      </c>
      <c r="F90" s="93">
        <f>VLOOKUP("Saldo PO 14.6",$A$45:$N$71,6,FALSE)</f>
        <v>0.05</v>
      </c>
      <c r="G90" s="93">
        <f>VLOOKUP("Saldo PO 14.6",$A$45:$N$71,7,FALSE)</f>
        <v>0.05</v>
      </c>
      <c r="H90" s="93">
        <f>VLOOKUP("Saldo PO 14.6",$A$45:$N$71,8,FALSE)</f>
        <v>0.05</v>
      </c>
      <c r="I90" s="93">
        <f>VLOOKUP("Saldo PO 14.6",$A$45:$N$71,9,FALSE)</f>
        <v>0.04</v>
      </c>
      <c r="J90" s="93">
        <f>VLOOKUP("Saldo PO 14.6",$A$45:$N$71,10,FALSE)</f>
        <v>0.04</v>
      </c>
      <c r="K90" s="93">
        <f>VLOOKUP("Saldo PO 14.6",$A$45:$N$71,11,FALSE)</f>
        <v>0.05</v>
      </c>
      <c r="L90" s="93">
        <f>VLOOKUP("Saldo PO 14.6",$A$45:$N$71,12,FALSE)</f>
        <v>0.04</v>
      </c>
      <c r="M90" s="93">
        <f>VLOOKUP("Saldo PO 14.6",$A$45:$N$71,13,FALSE)</f>
        <v>0.03</v>
      </c>
      <c r="N90" s="93">
        <f>VLOOKUP("Saldo PO 14.6",$A$45:$N$71,14,FALSE)</f>
        <v>0.05</v>
      </c>
      <c r="O90" s="139">
        <f>(SUM(N82:N90)/SUM(B82:B90)-1)</f>
        <v>0.56654343807763374</v>
      </c>
      <c r="P90" s="151">
        <f>O90*100</f>
        <v>56.654343807763375</v>
      </c>
    </row>
    <row r="91" spans="1:16">
      <c r="L91" s="62"/>
      <c r="M91" s="62"/>
      <c r="N91" s="62">
        <f>SUM(N82:N90)</f>
        <v>16.95</v>
      </c>
    </row>
    <row r="92" spans="1:16">
      <c r="A92" s="106" t="s">
        <v>38</v>
      </c>
      <c r="B92" s="85"/>
      <c r="C92" s="85"/>
      <c r="D92" s="85"/>
      <c r="E92" s="85"/>
      <c r="F92" s="85"/>
      <c r="G92" s="85"/>
      <c r="H92" s="85"/>
      <c r="I92" s="85"/>
      <c r="J92" s="85"/>
      <c r="K92" s="85"/>
      <c r="L92" s="85"/>
      <c r="N92" s="139"/>
    </row>
    <row r="93" spans="1:16" ht="39.6" customHeight="1">
      <c r="A93" s="145"/>
      <c r="B93" s="147" t="s">
        <v>1</v>
      </c>
      <c r="C93" s="147" t="s">
        <v>2</v>
      </c>
      <c r="D93" s="147" t="s">
        <v>39</v>
      </c>
      <c r="E93" s="147" t="s">
        <v>33</v>
      </c>
      <c r="F93" s="147" t="s">
        <v>179</v>
      </c>
      <c r="G93" s="147" t="s">
        <v>16</v>
      </c>
      <c r="H93" s="147" t="s">
        <v>32</v>
      </c>
      <c r="I93" s="145" t="s">
        <v>21</v>
      </c>
      <c r="J93" s="147" t="s">
        <v>36</v>
      </c>
      <c r="K93" s="145" t="s">
        <v>0</v>
      </c>
      <c r="L93" s="145" t="s">
        <v>118</v>
      </c>
    </row>
    <row r="94" spans="1:16">
      <c r="A94" s="83" t="s">
        <v>34</v>
      </c>
      <c r="B94" s="104">
        <f>VLOOKUP("Mercado Diario",$A$45:$N$61,14,FALSE)</f>
        <v>61.46</v>
      </c>
      <c r="C94" s="104">
        <f>VLOOKUP("Mercado Intradiario",$A$45:$N$61,14,FALSE)</f>
        <v>-0.14000000000000001</v>
      </c>
      <c r="D94" s="104">
        <f>SUM(B94:C94)</f>
        <v>61.32</v>
      </c>
      <c r="E94" s="104">
        <f>VLOOKUP("Pago capacidad",$A$45:$N$61,14,FALSE)</f>
        <v>0.15</v>
      </c>
      <c r="F94" s="104">
        <f>VLOOKUP("Mecanismo Ajuste RD-L10/2022 Coste OM",$A$45:$N$71,14,FALSE)+VLOOKUP("Mecanismo Ajuste RD-L10/2022 Coste OS",$A$45:$N$71,14,FALSE)+VLOOKUP("Mecanismo Ajuste RD-L10/2022 Ajuste OS",$A$45:$N$71,14,FALSE)</f>
        <v>0</v>
      </c>
      <c r="G94" s="104">
        <f>E465</f>
        <v>16.95</v>
      </c>
      <c r="H94" s="104">
        <f>VLOOKUP("Restricciones PBF",$A$45:$N$61,14,FALSE)</f>
        <v>10.210000000000001</v>
      </c>
      <c r="I94" s="104">
        <f>N84</f>
        <v>3.5999999999999996</v>
      </c>
      <c r="J94" s="104">
        <f>N83+N85+N86+N87+N88+N89+N90</f>
        <v>3.1399999999999988</v>
      </c>
      <c r="K94" s="104">
        <f>N71</f>
        <v>78.42</v>
      </c>
      <c r="L94" s="110">
        <f>K94-SUM(D94:G94)</f>
        <v>0</v>
      </c>
    </row>
    <row r="95" spans="1:16">
      <c r="A95" s="84"/>
      <c r="B95" s="84"/>
      <c r="C95" s="84"/>
      <c r="D95" s="176">
        <f>D94/$K$94</f>
        <v>0.7819433817903596</v>
      </c>
      <c r="E95" s="176">
        <f>E94/$K$94</f>
        <v>1.9127773527161437E-3</v>
      </c>
      <c r="F95" s="176">
        <f>F94/$K$94</f>
        <v>0</v>
      </c>
      <c r="G95" s="192">
        <f>G94/$K$94</f>
        <v>0.21614384085692423</v>
      </c>
    </row>
    <row r="96" spans="1:16">
      <c r="A96" s="84" t="s">
        <v>124</v>
      </c>
      <c r="B96" s="84"/>
      <c r="C96" s="84"/>
      <c r="D96" s="84"/>
      <c r="E96" s="84"/>
      <c r="F96" s="84"/>
      <c r="G96" s="84"/>
    </row>
    <row r="97" spans="1:7">
      <c r="A97" s="158"/>
      <c r="B97" s="159"/>
      <c r="C97" s="178" t="str">
        <f>N43</f>
        <v>2025 Septiembre</v>
      </c>
      <c r="D97" s="145"/>
      <c r="E97" s="158"/>
      <c r="F97" s="159"/>
      <c r="G97" s="152" t="str">
        <f>B43</f>
        <v>2024 Septiembre</v>
      </c>
    </row>
    <row r="98" spans="1:7">
      <c r="A98" s="121" t="s">
        <v>49</v>
      </c>
      <c r="B98" s="92"/>
      <c r="C98" s="92">
        <f>IF(VLOOKUP(A98,Dat_01!$A$46:$N$71,14,FALSE)=0,"-",VLOOKUP(A98,Dat_01!$A$46:$N$71,14,FALSE)*Dat_01!$N$45)</f>
        <v>196444741.69019002</v>
      </c>
      <c r="D98" s="92"/>
      <c r="E98" s="121" t="s">
        <v>49</v>
      </c>
      <c r="F98" s="92"/>
      <c r="G98" s="92">
        <f>IF(VLOOKUP(E98,Dat_01!$A$45:$N$71,2,FALSE)=0,"-",VLOOKUP(E98,Dat_01!$A$45:$N$71,2,FALSE)*Dat_01!$B$45)</f>
        <v>83461037.247459993</v>
      </c>
    </row>
    <row r="99" spans="1:7">
      <c r="A99" s="121" t="s">
        <v>50</v>
      </c>
      <c r="B99" s="92"/>
      <c r="C99" s="92">
        <f>IF(VLOOKUP(A99,Dat_01!$A$45:$N$71,14,FALSE)=0,"-",VLOOKUP(A99,Dat_01!$A$45:$N$71,14,FALSE)*Dat_01!$N$45)</f>
        <v>87736339.089839995</v>
      </c>
      <c r="D99" s="92"/>
      <c r="E99" s="121" t="s">
        <v>50</v>
      </c>
      <c r="F99" s="92"/>
      <c r="G99" s="92">
        <f>IF(VLOOKUP(E99,Dat_01!$A$45:$N$71,2,FALSE)=0,"-",VLOOKUP(E99,Dat_01!$A$45:$N$71,2,FALSE)*Dat_01!$B$45)</f>
        <v>67554785.754109994</v>
      </c>
    </row>
    <row r="100" spans="1:7">
      <c r="A100" s="121" t="s">
        <v>53</v>
      </c>
      <c r="B100" s="92"/>
      <c r="C100" s="92" t="str">
        <f>IF(VLOOKUP(A100,Dat_01!$A$45:$N$71,14,FALSE)=0,"-",VLOOKUP(A100,Dat_01!$A$45:$N$71,14,FALSE)*Dat_01!$N$45)</f>
        <v>-</v>
      </c>
      <c r="D100" s="92"/>
      <c r="E100" s="121" t="s">
        <v>53</v>
      </c>
      <c r="F100" s="92"/>
      <c r="G100" s="92" t="str">
        <f>IF(VLOOKUP(E100,Dat_01!$A$45:$N$71,2,FALSE)=0,"-",VLOOKUP(E100,Dat_01!$A$45:$N$71,2,FALSE)*Dat_01!$B$45)</f>
        <v>-</v>
      </c>
    </row>
    <row r="101" spans="1:7">
      <c r="A101" s="121" t="s">
        <v>220</v>
      </c>
      <c r="B101" s="92"/>
      <c r="C101" s="92">
        <f>IF(VLOOKUP($A$110,Dat_01!$A$45:$N$71,14,FALSE)+VLOOKUP($A$111,Dat_01!$A$45:$N$71,14,FALSE)+VLOOKUP($A$112,Dat_01!$A$45:$N$71,14,FALSE)+VLOOKUP($A$113,Dat_01!$A$45:$N$71,14,FALSE)=0,"-",(VLOOKUP($A$110,Dat_01!$A$45:$N$71,14,FALSE)+VLOOKUP($A$111,Dat_01!$A$45:$N$71,14,FALSE)+VLOOKUP($A$112,Dat_01!$A$45:$N$71,14,FALSE)+VLOOKUP($A$113,Dat_01!$A$45:$N$71,14,FALSE))*Dat_01!$N$45)</f>
        <v>69265530.860399991</v>
      </c>
      <c r="D101" s="92"/>
      <c r="E101" s="121" t="s">
        <v>186</v>
      </c>
      <c r="F101" s="92"/>
      <c r="G101" s="92">
        <f>IF(VLOOKUP($A$110,Dat_01!$A$45:$N$71,2,FALSE)+VLOOKUP($A$111,Dat_01!$A$45:$N$71,2,FALSE)+VLOOKUP($A$112,Dat_01!$A$45:$N$71,2,FALSE)+VLOOKUP($A$113,Dat_01!$A$45:$N$71,2,FALSE)=0,"-",(VLOOKUP($A$110,Dat_01!$A$45:$N$71,2,FALSE)+VLOOKUP($A$111,Dat_01!$A$45:$N$71,2,FALSE)+VLOOKUP($A$112,Dat_01!$A$45:$N$71,2,FALSE)+VLOOKUP($A$113,Dat_01!$A$45:$N$71,2,FALSE))*Dat_01!$B$45)</f>
        <v>50151475.296679989</v>
      </c>
    </row>
    <row r="102" spans="1:7">
      <c r="A102" s="121" t="s">
        <v>55</v>
      </c>
      <c r="B102" s="92"/>
      <c r="C102" s="92">
        <f>IF(VLOOKUP(A102,Dat_01!$A$45:$N$71,14,FALSE)=0,"-",VLOOKUP(A102,Dat_01!$A$45:$N$71,14,FALSE)*Dat_01!$N$45)</f>
        <v>8658191.3575500008</v>
      </c>
      <c r="D102" s="92"/>
      <c r="E102" s="121" t="s">
        <v>55</v>
      </c>
      <c r="F102" s="92"/>
      <c r="G102" s="92">
        <f>IF(VLOOKUP(E102,Dat_01!$A$45:$N$71,2,FALSE)=0,"-",VLOOKUP(E102,Dat_01!$A$45:$N$71,2,FALSE)*Dat_01!$B$45)</f>
        <v>7485294.8203999996</v>
      </c>
    </row>
    <row r="103" spans="1:7">
      <c r="A103" s="121" t="s">
        <v>54</v>
      </c>
      <c r="B103" s="92"/>
      <c r="C103" s="92">
        <f>IF(VLOOKUP(A103,Dat_01!$A$45:$N$71,14,FALSE)=0,"-",VLOOKUP(A103,Dat_01!$A$45:$N$71,14,FALSE)*Dat_01!$N$45)</f>
        <v>-7888574.3479899997</v>
      </c>
      <c r="D103" s="92"/>
      <c r="E103" s="121" t="s">
        <v>54</v>
      </c>
      <c r="F103" s="92"/>
      <c r="G103" s="92">
        <f>IF(VLOOKUP(E103,Dat_01!$A$45:$N$71,2,FALSE)=0,"-",VLOOKUP(E103,Dat_01!$A$45:$N$71,2,FALSE)*Dat_01!$B$45)</f>
        <v>-1871323.7050999999</v>
      </c>
    </row>
    <row r="104" spans="1:7">
      <c r="A104" s="121" t="s">
        <v>56</v>
      </c>
      <c r="B104" s="92"/>
      <c r="C104" s="92">
        <f>IF(VLOOKUP(A104,Dat_01!$A$45:$N$71,14,FALSE)=0,"-",VLOOKUP(A104,Dat_01!$A$45:$N$71,14,FALSE)*Dat_01!$N$45)</f>
        <v>-3078468.0382400001</v>
      </c>
      <c r="D104" s="92"/>
      <c r="E104" s="121" t="s">
        <v>56</v>
      </c>
      <c r="F104" s="92"/>
      <c r="G104" s="92">
        <f>IF(VLOOKUP(E104,Dat_01!$A$45:$N$71,2,FALSE)=0,"-",VLOOKUP(E104,Dat_01!$A$45:$N$71,2,FALSE)*Dat_01!$B$45)</f>
        <v>8795221.4139699992</v>
      </c>
    </row>
    <row r="105" spans="1:7">
      <c r="A105" s="121" t="s">
        <v>58</v>
      </c>
      <c r="B105" s="92"/>
      <c r="C105" s="92">
        <f>IF(VLOOKUP(A105,Dat_01!$A$45:$N$71,14,FALSE)=0,"-",VLOOKUP(A105,Dat_01!$A$45:$N$71,14,FALSE)*Dat_01!$N$45)</f>
        <v>962021.26195000007</v>
      </c>
      <c r="D105" s="92"/>
      <c r="E105" s="121" t="s">
        <v>58</v>
      </c>
      <c r="F105" s="92"/>
      <c r="G105" s="92">
        <f>IF(VLOOKUP(E105,Dat_01!$A$45:$N$71,2,FALSE)=0,"-",VLOOKUP(E105,Dat_01!$A$45:$N$71,2,FALSE)*Dat_01!$B$45)</f>
        <v>748529.48204000003</v>
      </c>
    </row>
    <row r="106" spans="1:7">
      <c r="A106" s="121" t="s">
        <v>206</v>
      </c>
      <c r="B106" s="92"/>
      <c r="C106" s="92">
        <f>IF(VLOOKUP($A$114,Dat_01!$A$45:$N$71,14,FALSE)+VLOOKUP($A$115,Dat_01!$A$45:$N$71,14,FALSE)+VLOOKUP($A$116,Dat_01!$A$45:$N$71,14,FALSE)=0,"-",(VLOOKUP($A$114,Dat_01!$A$45:$N$71,14,FALSE)+VLOOKUP($A$115,Dat_01!$A$45:$N$71,14,FALSE)+VLOOKUP($A$116,Dat_01!$A$45:$N$71,14,FALSE))*Dat_01!$N$45)</f>
        <v>-23858127.296360001</v>
      </c>
      <c r="D106" s="92"/>
      <c r="E106" s="121" t="s">
        <v>188</v>
      </c>
      <c r="F106" s="92"/>
      <c r="G106" s="92">
        <f>IF(VLOOKUP($A$114,Dat_01!$A$45:$N$71,2,FALSE)+VLOOKUP($A$115,Dat_01!$A$45:$N$71,2,FALSE)+VLOOKUP($A$116,Dat_01!$A$45:$N$71,2,FALSE)=0,"-",(VLOOKUP($A$114,Dat_01!$A$45:$N$71,2,FALSE)+VLOOKUP($A$115,Dat_01!$A$45:$N$71,2,FALSE)+VLOOKUP($A$116,Dat_01!$A$45:$N$71,2,FALSE))*Dat_01!$N$45)</f>
        <v>-11929063.64818</v>
      </c>
    </row>
    <row r="107" spans="1:7">
      <c r="A107" s="88" t="s">
        <v>22</v>
      </c>
      <c r="B107" s="120"/>
      <c r="C107" s="131">
        <f>IF(VLOOKUP(A107,Dat_01!$A$45:$N$71,14,FALSE)=0,"-",VLOOKUP(A107,Dat_01!$A$45:$N$71,14,FALSE)*Dat_01!$N$45)</f>
        <v>-2116446.77629</v>
      </c>
      <c r="D107" s="88"/>
      <c r="E107" s="88" t="s">
        <v>22</v>
      </c>
      <c r="F107" s="88"/>
      <c r="G107" s="131">
        <f>IF(VLOOKUP(E107,Dat_01!$A$45:$N$71,2,FALSE)=0,"-",VLOOKUP(E107,Dat_01!$A$45:$N$71,2,FALSE)*Dat_01!$B$45)</f>
        <v>-2245588.44612</v>
      </c>
    </row>
    <row r="109" spans="1:7" ht="12.6" customHeight="1">
      <c r="A109" s="189"/>
    </row>
    <row r="110" spans="1:7" ht="12.6" customHeight="1">
      <c r="A110" s="190" t="s">
        <v>198</v>
      </c>
    </row>
    <row r="111" spans="1:7" ht="12.6" customHeight="1">
      <c r="A111" s="190" t="s">
        <v>196</v>
      </c>
    </row>
    <row r="112" spans="1:7" ht="12.6" customHeight="1">
      <c r="A112" s="190" t="s">
        <v>202</v>
      </c>
    </row>
    <row r="113" spans="1:9" ht="12.6" customHeight="1">
      <c r="A113" s="190" t="s">
        <v>203</v>
      </c>
    </row>
    <row r="114" spans="1:9" ht="12.6" customHeight="1">
      <c r="A114" s="190" t="s">
        <v>200</v>
      </c>
    </row>
    <row r="115" spans="1:9" ht="12.6" customHeight="1">
      <c r="A115" s="190" t="s">
        <v>201</v>
      </c>
    </row>
    <row r="116" spans="1:9" ht="12.6" customHeight="1">
      <c r="A116" s="190" t="str">
        <f>A70</f>
        <v>ingreso control de tensión</v>
      </c>
    </row>
    <row r="117" spans="1:9">
      <c r="A117" s="84" t="s">
        <v>169</v>
      </c>
      <c r="B117" s="144"/>
      <c r="C117" s="144"/>
    </row>
    <row r="118" spans="1:9">
      <c r="A118" s="122" t="s">
        <v>27</v>
      </c>
      <c r="B118" s="248"/>
      <c r="C118" s="249"/>
    </row>
    <row r="119" spans="1:9">
      <c r="A119" s="123" t="s">
        <v>86</v>
      </c>
      <c r="B119" s="145" t="s">
        <v>210</v>
      </c>
      <c r="C119" s="145" t="s">
        <v>282</v>
      </c>
    </row>
    <row r="120" spans="1:9">
      <c r="A120" s="122" t="s">
        <v>136</v>
      </c>
      <c r="B120" s="143"/>
      <c r="C120" s="143"/>
    </row>
    <row r="121" spans="1:9">
      <c r="A121" s="124" t="s">
        <v>69</v>
      </c>
      <c r="B121" s="126">
        <v>1074.2741000000001</v>
      </c>
      <c r="C121" s="126">
        <v>2238.5587</v>
      </c>
      <c r="D121" t="str">
        <f>A121</f>
        <v>Restricciones Técnicas al PBF</v>
      </c>
      <c r="F121" s="140" t="s">
        <v>153</v>
      </c>
      <c r="H121" s="146">
        <f>SUM(B121:B122)</f>
        <v>1584.192826</v>
      </c>
      <c r="I121" s="146">
        <f>SUM(C121:C122)</f>
        <v>2802.1816640000002</v>
      </c>
    </row>
    <row r="122" spans="1:9">
      <c r="A122" s="124" t="s">
        <v>70</v>
      </c>
      <c r="B122" s="126">
        <v>509.91872599999999</v>
      </c>
      <c r="C122" s="126">
        <v>563.62296400000002</v>
      </c>
      <c r="D122" t="s">
        <v>132</v>
      </c>
      <c r="F122" s="141" t="s">
        <v>154</v>
      </c>
      <c r="H122" s="146">
        <f>SUM(B123:B126)</f>
        <v>1141.191094</v>
      </c>
      <c r="I122" s="146">
        <f>SUM(C123:C126)</f>
        <v>981.664624</v>
      </c>
    </row>
    <row r="123" spans="1:9">
      <c r="A123" s="124" t="s">
        <v>64</v>
      </c>
      <c r="B123" s="126">
        <v>337.61936500000002</v>
      </c>
      <c r="C123" s="126">
        <v>154.59344200000001</v>
      </c>
      <c r="D123" t="str">
        <f>A123</f>
        <v>Regulación secundaria</v>
      </c>
    </row>
    <row r="124" spans="1:9">
      <c r="A124" s="124" t="s">
        <v>3</v>
      </c>
      <c r="B124" s="126">
        <v>390.18229100000002</v>
      </c>
      <c r="C124" s="126">
        <v>459.01722899999999</v>
      </c>
      <c r="D124" t="str">
        <f>A124</f>
        <v>Regulación terciaria</v>
      </c>
    </row>
    <row r="125" spans="1:9">
      <c r="A125" s="124" t="s">
        <v>148</v>
      </c>
      <c r="B125" s="126">
        <f>B317/1000</f>
        <v>337.86324999999999</v>
      </c>
      <c r="C125" s="126">
        <f>N317/1000</f>
        <v>317.66250000000002</v>
      </c>
      <c r="D125" t="s">
        <v>148</v>
      </c>
    </row>
    <row r="126" spans="1:9">
      <c r="A126" s="124" t="s">
        <v>155</v>
      </c>
      <c r="B126" s="126">
        <f>B394/1000</f>
        <v>75.526187999999991</v>
      </c>
      <c r="C126" s="126">
        <f>N394/1000</f>
        <v>50.391452999999991</v>
      </c>
      <c r="D126" t="s">
        <v>157</v>
      </c>
    </row>
    <row r="127" spans="1:9">
      <c r="B127" s="169"/>
      <c r="C127" s="169"/>
    </row>
    <row r="128" spans="1:9">
      <c r="A128" s="84"/>
    </row>
    <row r="130" spans="1:17">
      <c r="A130" s="84" t="s">
        <v>162</v>
      </c>
      <c r="C130" s="142" t="str">
        <f>MID(C132,6,1)</f>
        <v>S</v>
      </c>
      <c r="D130" s="142" t="str">
        <f t="shared" ref="D130:O130" si="4">MID(D132,6,1)</f>
        <v>O</v>
      </c>
      <c r="E130" s="142" t="str">
        <f t="shared" si="4"/>
        <v>N</v>
      </c>
      <c r="F130" s="142" t="str">
        <f t="shared" si="4"/>
        <v>D</v>
      </c>
      <c r="G130" s="142" t="str">
        <f t="shared" si="4"/>
        <v>E</v>
      </c>
      <c r="H130" s="142" t="str">
        <f t="shared" si="4"/>
        <v>F</v>
      </c>
      <c r="I130" s="142" t="str">
        <f t="shared" si="4"/>
        <v>M</v>
      </c>
      <c r="J130" s="142" t="str">
        <f t="shared" si="4"/>
        <v>A</v>
      </c>
      <c r="K130" s="142" t="str">
        <f t="shared" si="4"/>
        <v>M</v>
      </c>
      <c r="L130" s="142" t="str">
        <f t="shared" si="4"/>
        <v>J</v>
      </c>
      <c r="M130" s="142" t="str">
        <f t="shared" si="4"/>
        <v>J</v>
      </c>
      <c r="N130" s="142" t="str">
        <f t="shared" si="4"/>
        <v>A</v>
      </c>
      <c r="O130" s="142" t="str">
        <f t="shared" si="4"/>
        <v>S</v>
      </c>
      <c r="P130" s="119"/>
      <c r="Q130" s="119"/>
    </row>
    <row r="131" spans="1:17">
      <c r="A131" s="122"/>
      <c r="B131" s="122" t="s">
        <v>27</v>
      </c>
      <c r="C131" s="252" t="s">
        <v>121</v>
      </c>
      <c r="D131" s="253"/>
      <c r="E131" s="253"/>
      <c r="F131" s="253"/>
      <c r="G131" s="253"/>
      <c r="H131" s="253"/>
      <c r="I131" s="253"/>
      <c r="J131" s="253"/>
      <c r="K131" s="253"/>
      <c r="L131" s="253"/>
      <c r="M131" s="253"/>
      <c r="N131" s="253"/>
      <c r="O131" s="253"/>
      <c r="P131" s="119"/>
      <c r="Q131" s="119"/>
    </row>
    <row r="132" spans="1:17">
      <c r="A132" s="122"/>
      <c r="B132" s="123" t="s">
        <v>86</v>
      </c>
      <c r="C132" s="145" t="s">
        <v>210</v>
      </c>
      <c r="D132" s="145" t="s">
        <v>212</v>
      </c>
      <c r="E132" s="145" t="s">
        <v>215</v>
      </c>
      <c r="F132" s="145" t="s">
        <v>217</v>
      </c>
      <c r="G132" s="145" t="s">
        <v>221</v>
      </c>
      <c r="H132" s="145" t="s">
        <v>223</v>
      </c>
      <c r="I132" s="145" t="s">
        <v>226</v>
      </c>
      <c r="J132" s="145" t="s">
        <v>236</v>
      </c>
      <c r="K132" s="145" t="s">
        <v>239</v>
      </c>
      <c r="L132" s="145" t="s">
        <v>241</v>
      </c>
      <c r="M132" s="145" t="s">
        <v>244</v>
      </c>
      <c r="N132" s="145" t="s">
        <v>247</v>
      </c>
      <c r="O132" s="145" t="s">
        <v>282</v>
      </c>
      <c r="P132" s="119"/>
      <c r="Q132" s="119"/>
    </row>
    <row r="133" spans="1:17">
      <c r="A133" s="122" t="s">
        <v>119</v>
      </c>
      <c r="B133" s="122" t="s">
        <v>120</v>
      </c>
      <c r="C133" s="143"/>
      <c r="D133" s="143"/>
      <c r="E133" s="143"/>
      <c r="F133" s="143"/>
      <c r="G133" s="143"/>
      <c r="H133" s="143"/>
      <c r="I133" s="143"/>
      <c r="J133" s="143"/>
      <c r="K133" s="143"/>
      <c r="L133" s="143"/>
      <c r="M133" s="143"/>
      <c r="N133" s="143"/>
      <c r="O133" s="143"/>
      <c r="P133" s="182"/>
      <c r="Q133" s="119"/>
    </row>
    <row r="134" spans="1:17">
      <c r="A134" s="258"/>
      <c r="B134" s="124" t="s">
        <v>19</v>
      </c>
      <c r="C134" s="233">
        <v>0</v>
      </c>
      <c r="D134" s="233">
        <v>0</v>
      </c>
      <c r="E134" s="233">
        <v>0</v>
      </c>
      <c r="F134" s="233">
        <v>0</v>
      </c>
      <c r="G134" s="233">
        <v>58.4</v>
      </c>
      <c r="H134" s="233">
        <v>0</v>
      </c>
      <c r="I134" s="233">
        <v>0</v>
      </c>
      <c r="J134" s="233">
        <v>20382.3</v>
      </c>
      <c r="K134" s="233">
        <v>0</v>
      </c>
      <c r="L134" s="233">
        <v>150</v>
      </c>
      <c r="M134" s="233">
        <v>3396</v>
      </c>
      <c r="N134" s="234">
        <v>6200</v>
      </c>
      <c r="O134" s="111">
        <v>0</v>
      </c>
      <c r="P134" s="182"/>
      <c r="Q134" s="183"/>
    </row>
    <row r="135" spans="1:17">
      <c r="A135" s="258"/>
      <c r="B135" s="124" t="s">
        <v>76</v>
      </c>
      <c r="C135" s="233">
        <v>0</v>
      </c>
      <c r="D135" s="233">
        <v>0</v>
      </c>
      <c r="E135" s="233">
        <v>0</v>
      </c>
      <c r="F135" s="233">
        <v>0</v>
      </c>
      <c r="G135" s="233">
        <v>0</v>
      </c>
      <c r="H135" s="233">
        <v>0</v>
      </c>
      <c r="I135" s="233">
        <v>0</v>
      </c>
      <c r="J135" s="233">
        <v>0</v>
      </c>
      <c r="K135" s="233">
        <v>0</v>
      </c>
      <c r="L135" s="233">
        <v>60.7</v>
      </c>
      <c r="M135" s="233">
        <v>700</v>
      </c>
      <c r="N135" s="234">
        <v>0</v>
      </c>
      <c r="O135" s="111">
        <v>0</v>
      </c>
      <c r="P135" s="182"/>
      <c r="Q135" s="183"/>
    </row>
    <row r="136" spans="1:17">
      <c r="A136" s="258"/>
      <c r="B136" s="124" t="s">
        <v>72</v>
      </c>
      <c r="C136" s="233">
        <v>0</v>
      </c>
      <c r="D136" s="233">
        <v>0</v>
      </c>
      <c r="E136" s="233">
        <v>13528</v>
      </c>
      <c r="F136" s="233">
        <v>0</v>
      </c>
      <c r="G136" s="233">
        <v>1486.2</v>
      </c>
      <c r="H136" s="233">
        <v>0</v>
      </c>
      <c r="I136" s="233">
        <v>260114.1</v>
      </c>
      <c r="J136" s="233">
        <v>267559.5</v>
      </c>
      <c r="K136" s="233">
        <v>363944.9</v>
      </c>
      <c r="L136" s="233">
        <v>25407.8</v>
      </c>
      <c r="M136" s="233">
        <v>19303.400000000001</v>
      </c>
      <c r="N136" s="234">
        <v>3428.3</v>
      </c>
      <c r="O136" s="111">
        <v>35476.800000000003</v>
      </c>
      <c r="P136" s="182"/>
      <c r="Q136" s="183"/>
    </row>
    <row r="137" spans="1:17">
      <c r="A137" s="258"/>
      <c r="B137" s="124" t="s">
        <v>73</v>
      </c>
      <c r="C137" s="233">
        <v>252325.6</v>
      </c>
      <c r="D137" s="233">
        <v>216291.20000000001</v>
      </c>
      <c r="E137" s="233">
        <v>128228.3</v>
      </c>
      <c r="F137" s="233">
        <v>113359.5</v>
      </c>
      <c r="G137" s="233">
        <v>136200</v>
      </c>
      <c r="H137" s="233">
        <v>176818</v>
      </c>
      <c r="I137" s="233">
        <v>161347</v>
      </c>
      <c r="J137" s="233">
        <v>128080</v>
      </c>
      <c r="K137" s="233">
        <v>122215</v>
      </c>
      <c r="L137" s="233">
        <v>110098</v>
      </c>
      <c r="M137" s="233">
        <v>71343</v>
      </c>
      <c r="N137" s="234">
        <v>0</v>
      </c>
      <c r="O137" s="111">
        <v>0</v>
      </c>
      <c r="P137" s="182"/>
      <c r="Q137" s="183"/>
    </row>
    <row r="138" spans="1:17">
      <c r="A138" s="258"/>
      <c r="B138" s="124" t="s">
        <v>296</v>
      </c>
      <c r="C138" s="233">
        <v>0</v>
      </c>
      <c r="D138" s="233">
        <v>0</v>
      </c>
      <c r="E138" s="233">
        <v>0</v>
      </c>
      <c r="F138" s="233">
        <v>0</v>
      </c>
      <c r="G138" s="233">
        <v>0</v>
      </c>
      <c r="H138" s="233">
        <v>0</v>
      </c>
      <c r="I138" s="233">
        <v>0</v>
      </c>
      <c r="J138" s="233">
        <v>0</v>
      </c>
      <c r="K138" s="233">
        <v>0</v>
      </c>
      <c r="L138" s="233">
        <v>0</v>
      </c>
      <c r="M138" s="233">
        <v>91146</v>
      </c>
      <c r="N138" s="234">
        <v>121642</v>
      </c>
      <c r="O138" s="111">
        <v>152270</v>
      </c>
      <c r="P138" s="182"/>
      <c r="Q138" s="183"/>
    </row>
    <row r="139" spans="1:17">
      <c r="A139" s="258"/>
      <c r="B139" s="124" t="s">
        <v>23</v>
      </c>
      <c r="C139" s="233">
        <v>690114.2</v>
      </c>
      <c r="D139" s="233">
        <v>768114.9</v>
      </c>
      <c r="E139" s="233">
        <v>887929.3</v>
      </c>
      <c r="F139" s="233">
        <v>742981.5</v>
      </c>
      <c r="G139" s="233">
        <v>683064</v>
      </c>
      <c r="H139" s="233">
        <v>653295.19999999995</v>
      </c>
      <c r="I139" s="233">
        <v>793527.4</v>
      </c>
      <c r="J139" s="233">
        <v>1154419.5</v>
      </c>
      <c r="K139" s="233">
        <v>2188300.1</v>
      </c>
      <c r="L139" s="233">
        <v>1759263.5</v>
      </c>
      <c r="M139" s="233">
        <v>1466909.1</v>
      </c>
      <c r="N139" s="233">
        <v>1579291.4</v>
      </c>
      <c r="O139" s="234">
        <v>1564029</v>
      </c>
      <c r="P139" s="182"/>
      <c r="Q139" s="183"/>
    </row>
    <row r="140" spans="1:17">
      <c r="A140" s="258"/>
      <c r="B140" s="124" t="s">
        <v>77</v>
      </c>
      <c r="C140" s="233">
        <v>0</v>
      </c>
      <c r="D140" s="233">
        <v>0</v>
      </c>
      <c r="E140" s="233">
        <v>0</v>
      </c>
      <c r="F140" s="233">
        <v>0</v>
      </c>
      <c r="G140" s="233">
        <v>0</v>
      </c>
      <c r="H140" s="233">
        <v>0</v>
      </c>
      <c r="I140" s="233">
        <v>31.6</v>
      </c>
      <c r="J140" s="233">
        <v>1.3</v>
      </c>
      <c r="K140" s="233">
        <v>0</v>
      </c>
      <c r="L140" s="233">
        <v>0</v>
      </c>
      <c r="M140" s="233">
        <v>0</v>
      </c>
      <c r="N140" s="233">
        <v>0</v>
      </c>
      <c r="O140" s="234">
        <v>0</v>
      </c>
      <c r="P140" s="182"/>
      <c r="Q140" s="183"/>
    </row>
    <row r="141" spans="1:17">
      <c r="A141" s="258"/>
      <c r="B141" s="124" t="s">
        <v>78</v>
      </c>
      <c r="C141" s="233">
        <v>0</v>
      </c>
      <c r="D141" s="233">
        <v>0</v>
      </c>
      <c r="E141" s="233">
        <v>0</v>
      </c>
      <c r="F141" s="233">
        <v>0</v>
      </c>
      <c r="G141" s="233">
        <v>0</v>
      </c>
      <c r="H141" s="233">
        <v>0</v>
      </c>
      <c r="I141" s="233">
        <v>0</v>
      </c>
      <c r="J141" s="233">
        <v>0</v>
      </c>
      <c r="K141" s="233">
        <v>0</v>
      </c>
      <c r="L141" s="233">
        <v>0</v>
      </c>
      <c r="M141" s="233">
        <v>0</v>
      </c>
      <c r="N141" s="233">
        <v>0</v>
      </c>
      <c r="O141" s="234">
        <v>0</v>
      </c>
      <c r="P141" s="182"/>
      <c r="Q141" s="183"/>
    </row>
    <row r="142" spans="1:17">
      <c r="A142" s="258"/>
      <c r="B142" s="124" t="s">
        <v>79</v>
      </c>
      <c r="C142" s="233">
        <v>0</v>
      </c>
      <c r="D142" s="233">
        <v>0</v>
      </c>
      <c r="E142" s="233">
        <v>0</v>
      </c>
      <c r="F142" s="233">
        <v>0</v>
      </c>
      <c r="G142" s="233">
        <v>0</v>
      </c>
      <c r="H142" s="233">
        <v>0</v>
      </c>
      <c r="I142" s="233">
        <v>0</v>
      </c>
      <c r="J142" s="233">
        <v>0</v>
      </c>
      <c r="K142" s="233">
        <v>0</v>
      </c>
      <c r="L142" s="233">
        <v>0</v>
      </c>
      <c r="M142" s="233">
        <v>229.2</v>
      </c>
      <c r="N142" s="233">
        <v>0</v>
      </c>
      <c r="O142" s="234">
        <v>0</v>
      </c>
      <c r="P142" s="182"/>
      <c r="Q142" s="183"/>
    </row>
    <row r="143" spans="1:17">
      <c r="A143" s="258"/>
      <c r="B143" s="124" t="s">
        <v>80</v>
      </c>
      <c r="C143" s="233">
        <v>0</v>
      </c>
      <c r="D143" s="233">
        <v>3132.9</v>
      </c>
      <c r="E143" s="233">
        <v>987.5</v>
      </c>
      <c r="F143" s="233">
        <v>0</v>
      </c>
      <c r="G143" s="233">
        <v>0</v>
      </c>
      <c r="H143" s="233">
        <v>0</v>
      </c>
      <c r="I143" s="233">
        <v>18750.8</v>
      </c>
      <c r="J143" s="233">
        <v>10370.9</v>
      </c>
      <c r="K143" s="233">
        <v>17487.5</v>
      </c>
      <c r="L143" s="233">
        <v>20621.599999999999</v>
      </c>
      <c r="M143" s="233">
        <v>1904.1</v>
      </c>
      <c r="N143" s="233">
        <v>0</v>
      </c>
      <c r="O143" s="234">
        <v>3926.6</v>
      </c>
      <c r="P143" s="182"/>
      <c r="Q143" s="183"/>
    </row>
    <row r="144" spans="1:17">
      <c r="A144" s="258"/>
      <c r="B144" s="124" t="s">
        <v>81</v>
      </c>
      <c r="C144" s="233">
        <v>0</v>
      </c>
      <c r="D144" s="233">
        <v>767.5</v>
      </c>
      <c r="E144" s="233">
        <v>0</v>
      </c>
      <c r="F144" s="233">
        <v>0</v>
      </c>
      <c r="G144" s="233">
        <v>0</v>
      </c>
      <c r="H144" s="233">
        <v>0</v>
      </c>
      <c r="I144" s="233">
        <v>1176.5999999999999</v>
      </c>
      <c r="J144" s="233">
        <v>2988</v>
      </c>
      <c r="K144" s="233">
        <v>3603.7</v>
      </c>
      <c r="L144" s="233">
        <v>1579.6</v>
      </c>
      <c r="M144" s="233">
        <v>198.7</v>
      </c>
      <c r="N144" s="233">
        <v>0</v>
      </c>
      <c r="O144" s="234">
        <v>0</v>
      </c>
      <c r="P144" s="182"/>
      <c r="Q144" s="183"/>
    </row>
    <row r="145" spans="1:17">
      <c r="A145" s="258"/>
      <c r="B145" s="124" t="s">
        <v>85</v>
      </c>
      <c r="C145" s="233">
        <v>0</v>
      </c>
      <c r="D145" s="233">
        <v>0</v>
      </c>
      <c r="E145" s="233">
        <v>0</v>
      </c>
      <c r="F145" s="233">
        <v>0</v>
      </c>
      <c r="G145" s="233">
        <v>0</v>
      </c>
      <c r="H145" s="233">
        <v>0</v>
      </c>
      <c r="I145" s="233">
        <v>0</v>
      </c>
      <c r="J145" s="233">
        <v>0</v>
      </c>
      <c r="K145" s="233">
        <v>0</v>
      </c>
      <c r="L145" s="233">
        <v>0</v>
      </c>
      <c r="M145" s="233">
        <v>0</v>
      </c>
      <c r="N145" s="233">
        <v>0</v>
      </c>
      <c r="O145" s="234">
        <v>0</v>
      </c>
      <c r="P145" s="182"/>
      <c r="Q145" s="183"/>
    </row>
    <row r="146" spans="1:17">
      <c r="A146" s="258"/>
      <c r="B146" s="124" t="s">
        <v>74</v>
      </c>
      <c r="C146" s="233">
        <v>184</v>
      </c>
      <c r="D146" s="233">
        <v>230</v>
      </c>
      <c r="E146" s="233">
        <v>6140.4</v>
      </c>
      <c r="F146" s="233">
        <v>918</v>
      </c>
      <c r="G146" s="233">
        <v>0</v>
      </c>
      <c r="H146" s="233">
        <v>189</v>
      </c>
      <c r="I146" s="233">
        <v>146</v>
      </c>
      <c r="J146" s="233">
        <v>1600</v>
      </c>
      <c r="K146" s="233">
        <v>1600</v>
      </c>
      <c r="L146" s="233">
        <v>936</v>
      </c>
      <c r="M146" s="233">
        <v>2587.5</v>
      </c>
      <c r="N146" s="233">
        <v>6601</v>
      </c>
      <c r="O146" s="234">
        <v>184</v>
      </c>
      <c r="P146" s="182"/>
      <c r="Q146" s="183"/>
    </row>
    <row r="147" spans="1:17">
      <c r="A147" s="258"/>
      <c r="B147" s="124" t="s">
        <v>82</v>
      </c>
      <c r="C147" s="233">
        <v>0</v>
      </c>
      <c r="D147" s="233">
        <v>0</v>
      </c>
      <c r="E147" s="233">
        <v>0</v>
      </c>
      <c r="F147" s="233">
        <v>0</v>
      </c>
      <c r="G147" s="233">
        <v>0</v>
      </c>
      <c r="H147" s="233">
        <v>0</v>
      </c>
      <c r="I147" s="233">
        <v>0</v>
      </c>
      <c r="J147" s="233">
        <v>0</v>
      </c>
      <c r="K147" s="233">
        <v>0</v>
      </c>
      <c r="L147" s="233">
        <v>0</v>
      </c>
      <c r="M147" s="233">
        <v>0</v>
      </c>
      <c r="N147" s="233">
        <v>0</v>
      </c>
      <c r="O147" s="234">
        <v>0</v>
      </c>
      <c r="P147" s="182"/>
      <c r="Q147" s="183"/>
    </row>
    <row r="148" spans="1:17">
      <c r="A148" s="258"/>
      <c r="B148" s="124" t="s">
        <v>83</v>
      </c>
      <c r="C148" s="233">
        <v>0</v>
      </c>
      <c r="D148" s="233">
        <v>0</v>
      </c>
      <c r="E148" s="233">
        <v>0</v>
      </c>
      <c r="F148" s="233">
        <v>0</v>
      </c>
      <c r="G148" s="233">
        <v>0</v>
      </c>
      <c r="H148" s="233">
        <v>0</v>
      </c>
      <c r="I148" s="233">
        <v>0</v>
      </c>
      <c r="J148" s="233">
        <v>0</v>
      </c>
      <c r="K148" s="233">
        <v>0</v>
      </c>
      <c r="L148" s="233">
        <v>0</v>
      </c>
      <c r="M148" s="233">
        <v>0</v>
      </c>
      <c r="N148" s="233">
        <v>0</v>
      </c>
      <c r="O148" s="234">
        <v>0</v>
      </c>
      <c r="P148" s="182"/>
      <c r="Q148" s="183"/>
    </row>
    <row r="149" spans="1:17">
      <c r="A149" s="258"/>
      <c r="B149" s="124" t="s">
        <v>84</v>
      </c>
      <c r="C149" s="233">
        <v>0</v>
      </c>
      <c r="D149" s="233">
        <v>0</v>
      </c>
      <c r="E149" s="233">
        <v>0</v>
      </c>
      <c r="F149" s="233">
        <v>0</v>
      </c>
      <c r="G149" s="233">
        <v>0</v>
      </c>
      <c r="H149" s="233">
        <v>0</v>
      </c>
      <c r="I149" s="233">
        <v>0</v>
      </c>
      <c r="J149" s="233">
        <v>0</v>
      </c>
      <c r="K149" s="233">
        <v>0</v>
      </c>
      <c r="L149" s="233">
        <v>0</v>
      </c>
      <c r="M149" s="233">
        <v>0</v>
      </c>
      <c r="N149" s="233">
        <v>0</v>
      </c>
      <c r="O149" s="234">
        <v>0</v>
      </c>
      <c r="P149" s="182"/>
      <c r="Q149" s="183"/>
    </row>
    <row r="150" spans="1:17">
      <c r="A150" s="258"/>
      <c r="B150" s="124" t="s">
        <v>170</v>
      </c>
      <c r="C150" s="233">
        <v>0</v>
      </c>
      <c r="D150" s="233">
        <v>0</v>
      </c>
      <c r="E150" s="233">
        <v>0</v>
      </c>
      <c r="F150" s="233">
        <v>0</v>
      </c>
      <c r="G150" s="233">
        <v>0</v>
      </c>
      <c r="H150" s="233">
        <v>0</v>
      </c>
      <c r="I150" s="233">
        <v>0</v>
      </c>
      <c r="J150" s="233">
        <v>0</v>
      </c>
      <c r="K150" s="233">
        <v>0</v>
      </c>
      <c r="L150" s="233">
        <v>0</v>
      </c>
      <c r="M150" s="233">
        <v>0</v>
      </c>
      <c r="N150" s="233">
        <v>0</v>
      </c>
      <c r="O150" s="234">
        <v>0</v>
      </c>
      <c r="P150" s="182"/>
      <c r="Q150" s="183"/>
    </row>
    <row r="151" spans="1:17">
      <c r="A151" s="258"/>
      <c r="B151" s="124" t="s">
        <v>208</v>
      </c>
      <c r="C151" s="233">
        <v>0</v>
      </c>
      <c r="D151" s="233">
        <v>0</v>
      </c>
      <c r="E151" s="233">
        <v>0</v>
      </c>
      <c r="F151" s="233">
        <v>0</v>
      </c>
      <c r="G151" s="233">
        <v>0</v>
      </c>
      <c r="H151" s="233">
        <v>0</v>
      </c>
      <c r="I151" s="233">
        <v>0</v>
      </c>
      <c r="J151" s="233">
        <v>0</v>
      </c>
      <c r="K151" s="233">
        <v>0</v>
      </c>
      <c r="L151" s="233">
        <v>0</v>
      </c>
      <c r="M151" s="233">
        <v>0</v>
      </c>
      <c r="N151" s="233">
        <v>0</v>
      </c>
      <c r="O151" s="234">
        <v>0</v>
      </c>
      <c r="P151" s="155" t="e">
        <f>O152/C152-1</f>
        <v>#DIV/0!</v>
      </c>
      <c r="Q151" s="154"/>
    </row>
    <row r="152" spans="1:17">
      <c r="A152" s="258"/>
      <c r="B152" s="124" t="s">
        <v>209</v>
      </c>
      <c r="C152" s="233">
        <v>0</v>
      </c>
      <c r="D152" s="233">
        <v>0</v>
      </c>
      <c r="E152" s="233">
        <v>0</v>
      </c>
      <c r="F152" s="233">
        <v>0</v>
      </c>
      <c r="G152" s="233">
        <v>0</v>
      </c>
      <c r="H152" s="233">
        <v>0</v>
      </c>
      <c r="I152" s="233">
        <v>0</v>
      </c>
      <c r="J152" s="233">
        <v>0</v>
      </c>
      <c r="K152" s="233">
        <v>0</v>
      </c>
      <c r="L152" s="233">
        <v>0</v>
      </c>
      <c r="M152" s="233">
        <v>0</v>
      </c>
      <c r="N152" s="233">
        <v>0</v>
      </c>
      <c r="O152" s="234">
        <v>0</v>
      </c>
      <c r="P152" s="182"/>
      <c r="Q152" s="155"/>
    </row>
    <row r="153" spans="1:17">
      <c r="A153" s="257"/>
      <c r="B153" s="185" t="s">
        <v>0</v>
      </c>
      <c r="C153" s="235">
        <v>942623.8</v>
      </c>
      <c r="D153" s="235">
        <v>988536.5</v>
      </c>
      <c r="E153" s="235">
        <v>1036813.5</v>
      </c>
      <c r="F153" s="235">
        <v>857259</v>
      </c>
      <c r="G153" s="235">
        <v>820808.6</v>
      </c>
      <c r="H153" s="235">
        <v>830302.2</v>
      </c>
      <c r="I153" s="235">
        <v>1235093.5</v>
      </c>
      <c r="J153" s="235">
        <v>1585401.5</v>
      </c>
      <c r="K153" s="235">
        <v>2697151.2</v>
      </c>
      <c r="L153" s="235">
        <v>1918117.2</v>
      </c>
      <c r="M153" s="235">
        <v>1657717</v>
      </c>
      <c r="N153" s="235">
        <v>1717162.7</v>
      </c>
      <c r="O153" s="236">
        <v>1755886.4</v>
      </c>
      <c r="P153" s="182"/>
      <c r="Q153" s="155"/>
    </row>
    <row r="154" spans="1:17">
      <c r="A154" s="258"/>
      <c r="B154" s="124" t="s">
        <v>19</v>
      </c>
      <c r="C154" s="233">
        <v>2369.3000000000002</v>
      </c>
      <c r="D154" s="233">
        <v>2467.9</v>
      </c>
      <c r="E154" s="233">
        <v>3355.5</v>
      </c>
      <c r="F154" s="233">
        <v>2291.6999999999998</v>
      </c>
      <c r="G154" s="233">
        <v>1202</v>
      </c>
      <c r="H154" s="233">
        <v>143.30000000000001</v>
      </c>
      <c r="I154" s="233">
        <v>655.7</v>
      </c>
      <c r="J154" s="233">
        <v>2348.1</v>
      </c>
      <c r="K154" s="233">
        <v>9496.2999999999993</v>
      </c>
      <c r="L154" s="233">
        <v>8559.4</v>
      </c>
      <c r="M154" s="233">
        <v>5351.7</v>
      </c>
      <c r="N154" s="234">
        <v>5333.8</v>
      </c>
      <c r="O154" s="111">
        <v>590.20000000000005</v>
      </c>
      <c r="P154" s="182"/>
      <c r="Q154" s="155"/>
    </row>
    <row r="155" spans="1:17">
      <c r="A155" s="258"/>
      <c r="B155" s="124" t="s">
        <v>76</v>
      </c>
      <c r="C155" s="233">
        <v>464</v>
      </c>
      <c r="D155" s="233">
        <v>0</v>
      </c>
      <c r="E155" s="233">
        <v>1125.2</v>
      </c>
      <c r="F155" s="233">
        <v>346.9</v>
      </c>
      <c r="G155" s="233">
        <v>0</v>
      </c>
      <c r="H155" s="233">
        <v>0</v>
      </c>
      <c r="I155" s="233">
        <v>0</v>
      </c>
      <c r="J155" s="233">
        <v>0</v>
      </c>
      <c r="K155" s="233">
        <v>0</v>
      </c>
      <c r="L155" s="233">
        <v>0</v>
      </c>
      <c r="M155" s="233">
        <v>809</v>
      </c>
      <c r="N155" s="234">
        <v>2955</v>
      </c>
      <c r="O155" s="111">
        <v>300</v>
      </c>
      <c r="P155" s="182"/>
      <c r="Q155" s="155"/>
    </row>
    <row r="156" spans="1:17">
      <c r="A156" s="258"/>
      <c r="B156" s="124" t="s">
        <v>72</v>
      </c>
      <c r="C156" s="233">
        <v>0</v>
      </c>
      <c r="D156" s="233">
        <v>0</v>
      </c>
      <c r="E156" s="233">
        <v>0</v>
      </c>
      <c r="F156" s="233">
        <v>0</v>
      </c>
      <c r="G156" s="233">
        <v>0</v>
      </c>
      <c r="H156" s="233">
        <v>0</v>
      </c>
      <c r="I156" s="233">
        <v>0</v>
      </c>
      <c r="J156" s="233">
        <v>0</v>
      </c>
      <c r="K156" s="233">
        <v>0</v>
      </c>
      <c r="L156" s="233">
        <v>0</v>
      </c>
      <c r="M156" s="233">
        <v>6512</v>
      </c>
      <c r="N156" s="234">
        <v>0</v>
      </c>
      <c r="O156" s="111">
        <v>0</v>
      </c>
      <c r="P156" s="182"/>
      <c r="Q156" s="155"/>
    </row>
    <row r="157" spans="1:17">
      <c r="A157" s="258"/>
      <c r="B157" s="124" t="s">
        <v>73</v>
      </c>
      <c r="C157" s="233">
        <v>0</v>
      </c>
      <c r="D157" s="233">
        <v>0</v>
      </c>
      <c r="E157" s="233">
        <v>0</v>
      </c>
      <c r="F157" s="233">
        <v>0</v>
      </c>
      <c r="G157" s="233">
        <v>0</v>
      </c>
      <c r="H157" s="233">
        <v>0</v>
      </c>
      <c r="I157" s="233">
        <v>0</v>
      </c>
      <c r="J157" s="233">
        <v>0</v>
      </c>
      <c r="K157" s="233">
        <v>0</v>
      </c>
      <c r="L157" s="233">
        <v>0</v>
      </c>
      <c r="M157" s="233">
        <v>0</v>
      </c>
      <c r="N157" s="234">
        <v>0</v>
      </c>
      <c r="O157" s="111">
        <v>0</v>
      </c>
      <c r="P157" s="182"/>
      <c r="Q157" s="155"/>
    </row>
    <row r="158" spans="1:17">
      <c r="A158" s="258"/>
      <c r="B158" s="124" t="s">
        <v>296</v>
      </c>
      <c r="C158" s="233">
        <v>0</v>
      </c>
      <c r="D158" s="233">
        <v>0</v>
      </c>
      <c r="E158" s="233">
        <v>0</v>
      </c>
      <c r="F158" s="233">
        <v>0</v>
      </c>
      <c r="G158" s="233">
        <v>0</v>
      </c>
      <c r="H158" s="233">
        <v>0</v>
      </c>
      <c r="I158" s="233">
        <v>0</v>
      </c>
      <c r="J158" s="233">
        <v>0</v>
      </c>
      <c r="K158" s="233">
        <v>0</v>
      </c>
      <c r="L158" s="233">
        <v>0</v>
      </c>
      <c r="M158" s="233">
        <v>0</v>
      </c>
      <c r="N158" s="234">
        <v>0</v>
      </c>
      <c r="O158" s="111">
        <v>0</v>
      </c>
      <c r="P158" s="182"/>
      <c r="Q158" s="155"/>
    </row>
    <row r="159" spans="1:17">
      <c r="A159" s="258"/>
      <c r="B159" s="124" t="s">
        <v>23</v>
      </c>
      <c r="C159" s="233">
        <v>1706.2</v>
      </c>
      <c r="D159" s="233">
        <v>2400.8000000000002</v>
      </c>
      <c r="E159" s="233">
        <v>0</v>
      </c>
      <c r="F159" s="233">
        <v>15185.5</v>
      </c>
      <c r="G159" s="233">
        <v>0</v>
      </c>
      <c r="H159" s="233">
        <v>0</v>
      </c>
      <c r="I159" s="233">
        <v>0</v>
      </c>
      <c r="J159" s="233">
        <v>0</v>
      </c>
      <c r="K159" s="233">
        <v>0</v>
      </c>
      <c r="L159" s="233">
        <v>4</v>
      </c>
      <c r="M159" s="233">
        <v>1003.5</v>
      </c>
      <c r="N159" s="234">
        <v>50</v>
      </c>
      <c r="O159" s="111">
        <v>0</v>
      </c>
      <c r="P159" s="182"/>
      <c r="Q159" s="155"/>
    </row>
    <row r="160" spans="1:17">
      <c r="A160" s="258"/>
      <c r="B160" s="124" t="s">
        <v>77</v>
      </c>
      <c r="C160" s="233">
        <v>86223.9</v>
      </c>
      <c r="D160" s="233">
        <v>68222.2</v>
      </c>
      <c r="E160" s="233">
        <v>231610.6</v>
      </c>
      <c r="F160" s="233">
        <v>118243.7</v>
      </c>
      <c r="G160" s="233">
        <v>118105.1</v>
      </c>
      <c r="H160" s="233">
        <v>19851.3</v>
      </c>
      <c r="I160" s="233">
        <v>29282.9</v>
      </c>
      <c r="J160" s="233">
        <v>23186.2</v>
      </c>
      <c r="K160" s="233">
        <v>17699.400000000001</v>
      </c>
      <c r="L160" s="233">
        <v>18495.599999999999</v>
      </c>
      <c r="M160" s="233">
        <v>208879.1</v>
      </c>
      <c r="N160" s="234">
        <v>56148.9</v>
      </c>
      <c r="O160" s="111">
        <v>56799.5</v>
      </c>
      <c r="P160" s="182"/>
      <c r="Q160" s="155"/>
    </row>
    <row r="161" spans="1:20">
      <c r="A161" s="258"/>
      <c r="B161" s="124" t="s">
        <v>78</v>
      </c>
      <c r="C161" s="233">
        <v>19002.7</v>
      </c>
      <c r="D161" s="233">
        <v>16033.9</v>
      </c>
      <c r="E161" s="233">
        <v>28940.6</v>
      </c>
      <c r="F161" s="233">
        <v>9850</v>
      </c>
      <c r="G161" s="233">
        <v>23597.4</v>
      </c>
      <c r="H161" s="233">
        <v>11181.5</v>
      </c>
      <c r="I161" s="233">
        <v>28184.799999999999</v>
      </c>
      <c r="J161" s="233">
        <v>17070.3</v>
      </c>
      <c r="K161" s="233">
        <v>74426.899999999994</v>
      </c>
      <c r="L161" s="233">
        <v>117687.5</v>
      </c>
      <c r="M161" s="233">
        <v>774289.5</v>
      </c>
      <c r="N161" s="234">
        <v>476231.7</v>
      </c>
      <c r="O161" s="111">
        <v>271516.40000000002</v>
      </c>
      <c r="P161" s="182"/>
      <c r="Q161" s="155"/>
      <c r="R161" s="162"/>
      <c r="S161" s="162"/>
      <c r="T161" s="162"/>
    </row>
    <row r="162" spans="1:20">
      <c r="A162" s="258"/>
      <c r="B162" s="124" t="s">
        <v>79</v>
      </c>
      <c r="C162" s="233">
        <v>4378</v>
      </c>
      <c r="D162" s="233">
        <v>4831.1000000000004</v>
      </c>
      <c r="E162" s="233">
        <v>1321.5</v>
      </c>
      <c r="F162" s="233">
        <v>3510.4</v>
      </c>
      <c r="G162" s="233">
        <v>2970.4</v>
      </c>
      <c r="H162" s="233">
        <v>6509.7</v>
      </c>
      <c r="I162" s="233">
        <v>18812.8</v>
      </c>
      <c r="J162" s="233">
        <v>4704.6000000000004</v>
      </c>
      <c r="K162" s="233">
        <v>35576.1</v>
      </c>
      <c r="L162" s="233">
        <v>41536</v>
      </c>
      <c r="M162" s="233">
        <v>120438.3</v>
      </c>
      <c r="N162" s="234">
        <v>162140.4</v>
      </c>
      <c r="O162" s="111">
        <v>141481</v>
      </c>
      <c r="P162" s="182"/>
      <c r="Q162" s="155"/>
      <c r="R162" s="162"/>
      <c r="S162" s="162"/>
      <c r="T162" s="162"/>
    </row>
    <row r="163" spans="1:20">
      <c r="A163" s="258"/>
      <c r="B163" s="124" t="s">
        <v>80</v>
      </c>
      <c r="C163" s="233">
        <v>13252.9</v>
      </c>
      <c r="D163" s="233">
        <v>5966.6</v>
      </c>
      <c r="E163" s="233">
        <v>583</v>
      </c>
      <c r="F163" s="233">
        <v>837.6</v>
      </c>
      <c r="G163" s="233">
        <v>3429</v>
      </c>
      <c r="H163" s="233">
        <v>111.1</v>
      </c>
      <c r="I163" s="233">
        <v>859.2</v>
      </c>
      <c r="J163" s="233">
        <v>4456.8999999999996</v>
      </c>
      <c r="K163" s="233">
        <v>4609.7</v>
      </c>
      <c r="L163" s="233">
        <v>6809.1</v>
      </c>
      <c r="M163" s="233">
        <v>32112.6</v>
      </c>
      <c r="N163" s="234">
        <v>6711.8</v>
      </c>
      <c r="O163" s="111">
        <v>4636.2</v>
      </c>
      <c r="P163" s="182"/>
      <c r="Q163" s="155"/>
      <c r="R163" s="162"/>
      <c r="S163" s="162"/>
      <c r="T163" s="162"/>
    </row>
    <row r="164" spans="1:20">
      <c r="A164" s="258"/>
      <c r="B164" s="124" t="s">
        <v>81</v>
      </c>
      <c r="C164" s="233">
        <v>4253.3</v>
      </c>
      <c r="D164" s="233">
        <v>1216.3</v>
      </c>
      <c r="E164" s="233">
        <v>274.10000000000002</v>
      </c>
      <c r="F164" s="233">
        <v>678.2</v>
      </c>
      <c r="G164" s="233">
        <v>1474.8</v>
      </c>
      <c r="H164" s="233">
        <v>12</v>
      </c>
      <c r="I164" s="233">
        <v>485.5</v>
      </c>
      <c r="J164" s="233">
        <v>2920.3</v>
      </c>
      <c r="K164" s="233">
        <v>3843</v>
      </c>
      <c r="L164" s="233">
        <v>7273.5</v>
      </c>
      <c r="M164" s="233">
        <v>10545</v>
      </c>
      <c r="N164" s="234">
        <v>7511.7</v>
      </c>
      <c r="O164" s="111">
        <v>5732.6</v>
      </c>
      <c r="P164" s="182"/>
      <c r="Q164" s="155"/>
      <c r="R164" s="162"/>
      <c r="S164" s="162"/>
      <c r="T164" s="162"/>
    </row>
    <row r="165" spans="1:20">
      <c r="A165" s="258"/>
      <c r="B165" s="124" t="s">
        <v>85</v>
      </c>
      <c r="C165" s="233">
        <v>0</v>
      </c>
      <c r="D165" s="233">
        <v>0</v>
      </c>
      <c r="E165" s="233">
        <v>0</v>
      </c>
      <c r="F165" s="233">
        <v>0</v>
      </c>
      <c r="G165" s="233">
        <v>0</v>
      </c>
      <c r="H165" s="233">
        <v>0</v>
      </c>
      <c r="I165" s="233">
        <v>0</v>
      </c>
      <c r="J165" s="233">
        <v>0</v>
      </c>
      <c r="K165" s="233">
        <v>0</v>
      </c>
      <c r="L165" s="233">
        <v>0</v>
      </c>
      <c r="M165" s="233">
        <v>3546</v>
      </c>
      <c r="N165" s="234">
        <v>118</v>
      </c>
      <c r="O165" s="111">
        <v>0</v>
      </c>
      <c r="P165" s="182"/>
      <c r="Q165" s="155"/>
      <c r="R165" s="162"/>
      <c r="S165" s="162"/>
      <c r="T165" s="162"/>
    </row>
    <row r="166" spans="1:20">
      <c r="A166" s="258"/>
      <c r="B166" s="124" t="s">
        <v>74</v>
      </c>
      <c r="C166" s="233">
        <v>0</v>
      </c>
      <c r="D166" s="233">
        <v>308</v>
      </c>
      <c r="E166" s="233">
        <v>0</v>
      </c>
      <c r="F166" s="233">
        <v>0</v>
      </c>
      <c r="G166" s="233">
        <v>0</v>
      </c>
      <c r="H166" s="233">
        <v>0</v>
      </c>
      <c r="I166" s="233">
        <v>190</v>
      </c>
      <c r="J166" s="233">
        <v>0</v>
      </c>
      <c r="K166" s="233">
        <v>0</v>
      </c>
      <c r="L166" s="233">
        <v>0</v>
      </c>
      <c r="M166" s="233">
        <v>0</v>
      </c>
      <c r="N166" s="234">
        <v>0</v>
      </c>
      <c r="O166" s="111">
        <v>0</v>
      </c>
      <c r="P166" s="182"/>
      <c r="Q166" s="155"/>
      <c r="R166" s="162"/>
      <c r="S166" s="162"/>
      <c r="T166" s="162"/>
    </row>
    <row r="167" spans="1:20">
      <c r="A167" s="258"/>
      <c r="B167" s="124" t="s">
        <v>82</v>
      </c>
      <c r="C167" s="233">
        <v>0</v>
      </c>
      <c r="D167" s="233">
        <v>0</v>
      </c>
      <c r="E167" s="233">
        <v>0</v>
      </c>
      <c r="F167" s="233">
        <v>0</v>
      </c>
      <c r="G167" s="233">
        <v>0</v>
      </c>
      <c r="H167" s="233">
        <v>0</v>
      </c>
      <c r="I167" s="233">
        <v>0</v>
      </c>
      <c r="J167" s="233">
        <v>0</v>
      </c>
      <c r="K167" s="233">
        <v>0</v>
      </c>
      <c r="L167" s="233">
        <v>0</v>
      </c>
      <c r="M167" s="233">
        <v>0</v>
      </c>
      <c r="N167" s="234">
        <v>0</v>
      </c>
      <c r="O167" s="111">
        <v>0</v>
      </c>
      <c r="P167" s="182"/>
      <c r="Q167" s="155"/>
      <c r="R167" s="162"/>
      <c r="S167" s="162"/>
      <c r="T167" s="162"/>
    </row>
    <row r="168" spans="1:20">
      <c r="A168" s="258"/>
      <c r="B168" s="124" t="s">
        <v>83</v>
      </c>
      <c r="C168" s="233">
        <v>0</v>
      </c>
      <c r="D168" s="233">
        <v>0</v>
      </c>
      <c r="E168" s="233">
        <v>0</v>
      </c>
      <c r="F168" s="233">
        <v>0</v>
      </c>
      <c r="G168" s="233">
        <v>0</v>
      </c>
      <c r="H168" s="233">
        <v>0</v>
      </c>
      <c r="I168" s="233">
        <v>0</v>
      </c>
      <c r="J168" s="233">
        <v>0</v>
      </c>
      <c r="K168" s="233">
        <v>0</v>
      </c>
      <c r="L168" s="233">
        <v>0</v>
      </c>
      <c r="M168" s="233">
        <v>0</v>
      </c>
      <c r="N168" s="234">
        <v>0</v>
      </c>
      <c r="O168" s="111">
        <v>0</v>
      </c>
      <c r="P168" s="182"/>
      <c r="Q168" s="155"/>
      <c r="R168" s="162"/>
      <c r="S168" s="162"/>
      <c r="T168" s="162"/>
    </row>
    <row r="169" spans="1:20">
      <c r="A169" s="258"/>
      <c r="B169" s="124" t="s">
        <v>84</v>
      </c>
      <c r="C169" s="233">
        <v>0</v>
      </c>
      <c r="D169" s="233">
        <v>0</v>
      </c>
      <c r="E169" s="233">
        <v>0</v>
      </c>
      <c r="F169" s="233">
        <v>0</v>
      </c>
      <c r="G169" s="233">
        <v>0</v>
      </c>
      <c r="H169" s="233">
        <v>0</v>
      </c>
      <c r="I169" s="233">
        <v>0</v>
      </c>
      <c r="J169" s="233">
        <v>0</v>
      </c>
      <c r="K169" s="233">
        <v>0</v>
      </c>
      <c r="L169" s="233">
        <v>0</v>
      </c>
      <c r="M169" s="233">
        <v>0</v>
      </c>
      <c r="N169" s="234">
        <v>0</v>
      </c>
      <c r="O169" s="111">
        <v>0</v>
      </c>
      <c r="P169" s="155" t="e">
        <f>O171/C171-1</f>
        <v>#DIV/0!</v>
      </c>
      <c r="Q169" s="155"/>
      <c r="R169" s="162"/>
      <c r="S169" s="162"/>
      <c r="T169" s="162"/>
    </row>
    <row r="170" spans="1:20">
      <c r="A170" s="258"/>
      <c r="B170" s="124" t="s">
        <v>170</v>
      </c>
      <c r="C170" s="233">
        <v>0</v>
      </c>
      <c r="D170" s="233">
        <v>0</v>
      </c>
      <c r="E170" s="233">
        <v>0</v>
      </c>
      <c r="F170" s="233">
        <v>0</v>
      </c>
      <c r="G170" s="233">
        <v>0</v>
      </c>
      <c r="H170" s="233">
        <v>0</v>
      </c>
      <c r="I170" s="233">
        <v>0</v>
      </c>
      <c r="J170" s="233">
        <v>0</v>
      </c>
      <c r="K170" s="233">
        <v>0</v>
      </c>
      <c r="L170" s="233">
        <v>0</v>
      </c>
      <c r="M170" s="233">
        <v>0</v>
      </c>
      <c r="N170" s="234">
        <v>0</v>
      </c>
      <c r="O170" s="111">
        <v>0</v>
      </c>
      <c r="P170" s="168"/>
      <c r="Q170" s="162"/>
      <c r="R170" s="162"/>
      <c r="S170" s="162"/>
      <c r="T170" s="162"/>
    </row>
    <row r="171" spans="1:20">
      <c r="A171" s="258"/>
      <c r="B171" s="124" t="s">
        <v>208</v>
      </c>
      <c r="C171" s="233">
        <v>0</v>
      </c>
      <c r="D171" s="233">
        <v>0</v>
      </c>
      <c r="E171" s="233">
        <v>0</v>
      </c>
      <c r="F171" s="233">
        <v>0</v>
      </c>
      <c r="G171" s="233">
        <v>0</v>
      </c>
      <c r="H171" s="233">
        <v>0</v>
      </c>
      <c r="I171" s="233">
        <v>0</v>
      </c>
      <c r="J171" s="233">
        <v>0</v>
      </c>
      <c r="K171" s="233">
        <v>0</v>
      </c>
      <c r="L171" s="233">
        <v>0</v>
      </c>
      <c r="M171" s="233">
        <v>0</v>
      </c>
      <c r="N171" s="234">
        <v>0</v>
      </c>
      <c r="O171" s="111">
        <v>0</v>
      </c>
      <c r="P171" s="162"/>
      <c r="Q171" s="162"/>
      <c r="R171" s="162"/>
      <c r="S171" s="162"/>
      <c r="T171" s="162"/>
    </row>
    <row r="172" spans="1:20">
      <c r="A172" s="258"/>
      <c r="B172" s="124" t="s">
        <v>209</v>
      </c>
      <c r="C172" s="233">
        <v>0</v>
      </c>
      <c r="D172" s="233">
        <v>242.7</v>
      </c>
      <c r="E172" s="233">
        <v>820.6</v>
      </c>
      <c r="F172" s="233">
        <v>588.70000000000005</v>
      </c>
      <c r="G172" s="233">
        <v>844.6</v>
      </c>
      <c r="H172" s="233">
        <v>129.19999999999999</v>
      </c>
      <c r="I172" s="233">
        <v>1191.4000000000001</v>
      </c>
      <c r="J172" s="233">
        <v>512.9</v>
      </c>
      <c r="K172" s="233">
        <v>3501.6</v>
      </c>
      <c r="L172" s="233">
        <v>9288</v>
      </c>
      <c r="M172" s="233">
        <v>12956.4</v>
      </c>
      <c r="N172" s="234">
        <v>2597.3000000000002</v>
      </c>
      <c r="O172" s="111">
        <v>1616.4</v>
      </c>
      <c r="P172" s="187"/>
      <c r="Q172" s="187"/>
      <c r="R172" s="162"/>
      <c r="S172" s="162"/>
      <c r="T172" s="162"/>
    </row>
    <row r="173" spans="1:20">
      <c r="A173" s="257"/>
      <c r="B173" s="185" t="s">
        <v>0</v>
      </c>
      <c r="C173" s="235">
        <v>131650.29999999999</v>
      </c>
      <c r="D173" s="235">
        <v>101689.5</v>
      </c>
      <c r="E173" s="235">
        <v>268031.09999999998</v>
      </c>
      <c r="F173" s="235">
        <v>151532.70000000001</v>
      </c>
      <c r="G173" s="235">
        <v>151623.29999999999</v>
      </c>
      <c r="H173" s="235">
        <v>37938.1</v>
      </c>
      <c r="I173" s="235">
        <v>79662.3</v>
      </c>
      <c r="J173" s="235">
        <v>55199.3</v>
      </c>
      <c r="K173" s="235">
        <v>149153</v>
      </c>
      <c r="L173" s="235">
        <v>209653.1</v>
      </c>
      <c r="M173" s="235">
        <v>1176443.1000000001</v>
      </c>
      <c r="N173" s="236">
        <v>719798.6</v>
      </c>
      <c r="O173" s="224">
        <v>482672.3</v>
      </c>
      <c r="P173" s="188"/>
      <c r="Q173" s="188"/>
      <c r="R173" s="162"/>
      <c r="S173" s="162"/>
      <c r="T173" s="162"/>
    </row>
    <row r="174" spans="1:20">
      <c r="B174" s="187"/>
      <c r="O174" s="162"/>
      <c r="P174" s="162"/>
      <c r="Q174" s="162"/>
      <c r="R174" s="162"/>
      <c r="S174" s="162"/>
      <c r="T174" s="162"/>
    </row>
    <row r="175" spans="1:20">
      <c r="O175" s="162"/>
      <c r="P175" s="162"/>
      <c r="Q175" s="162"/>
      <c r="R175" s="162"/>
      <c r="S175" s="162"/>
      <c r="T175" s="162"/>
    </row>
    <row r="176" spans="1:20">
      <c r="B176">
        <v>4</v>
      </c>
      <c r="O176" s="162"/>
      <c r="P176" s="162"/>
      <c r="Q176" s="162"/>
      <c r="R176" s="162"/>
      <c r="S176" s="162"/>
      <c r="T176" s="162"/>
    </row>
    <row r="177" spans="1:21">
      <c r="O177" s="162"/>
      <c r="P177" s="162"/>
      <c r="Q177" s="162"/>
      <c r="R177" s="162"/>
      <c r="S177" s="162"/>
      <c r="T177" s="162"/>
    </row>
    <row r="179" spans="1:21">
      <c r="A179" s="84" t="s">
        <v>218</v>
      </c>
      <c r="B179" s="162"/>
    </row>
    <row r="180" spans="1:21">
      <c r="B180" s="165" t="str">
        <f>MID(B181,6,1)</f>
        <v>S</v>
      </c>
      <c r="C180" s="165" t="str">
        <f t="shared" ref="C180:N180" si="5">MID(C181,6,1)</f>
        <v>O</v>
      </c>
      <c r="D180" s="165" t="str">
        <f t="shared" si="5"/>
        <v>N</v>
      </c>
      <c r="E180" s="165" t="str">
        <f t="shared" si="5"/>
        <v>D</v>
      </c>
      <c r="F180" s="165" t="str">
        <f t="shared" si="5"/>
        <v>E</v>
      </c>
      <c r="G180" s="165" t="str">
        <f t="shared" si="5"/>
        <v>F</v>
      </c>
      <c r="H180" s="165" t="str">
        <f t="shared" si="5"/>
        <v>M</v>
      </c>
      <c r="I180" s="165" t="str">
        <f t="shared" si="5"/>
        <v>A</v>
      </c>
      <c r="J180" s="165" t="str">
        <f t="shared" si="5"/>
        <v>M</v>
      </c>
      <c r="K180" s="165" t="str">
        <f t="shared" si="5"/>
        <v>J</v>
      </c>
      <c r="L180" s="165" t="str">
        <f t="shared" si="5"/>
        <v>J</v>
      </c>
      <c r="M180" s="165" t="str">
        <f t="shared" si="5"/>
        <v>A</v>
      </c>
      <c r="N180" s="165" t="str">
        <f t="shared" si="5"/>
        <v>S</v>
      </c>
    </row>
    <row r="181" spans="1:21">
      <c r="A181" s="122" t="s">
        <v>86</v>
      </c>
      <c r="B181" s="145" t="s">
        <v>210</v>
      </c>
      <c r="C181" s="145" t="s">
        <v>212</v>
      </c>
      <c r="D181" s="145" t="s">
        <v>215</v>
      </c>
      <c r="E181" s="145" t="s">
        <v>217</v>
      </c>
      <c r="F181" s="145" t="s">
        <v>221</v>
      </c>
      <c r="G181" s="145" t="s">
        <v>223</v>
      </c>
      <c r="H181" s="145" t="s">
        <v>226</v>
      </c>
      <c r="I181" s="145" t="s">
        <v>236</v>
      </c>
      <c r="J181" s="145" t="s">
        <v>239</v>
      </c>
      <c r="K181" s="145" t="s">
        <v>241</v>
      </c>
      <c r="L181" s="145" t="s">
        <v>244</v>
      </c>
      <c r="M181" s="145" t="s">
        <v>247</v>
      </c>
      <c r="N181" s="145" t="s">
        <v>282</v>
      </c>
      <c r="P181" s="119"/>
    </row>
    <row r="182" spans="1:21">
      <c r="A182" s="122" t="s">
        <v>27</v>
      </c>
      <c r="B182" s="143"/>
      <c r="C182" s="143"/>
      <c r="D182" s="143"/>
      <c r="E182" s="143"/>
      <c r="F182" s="143"/>
      <c r="G182" s="143"/>
      <c r="H182" s="143"/>
      <c r="I182" s="143"/>
      <c r="J182" s="143"/>
      <c r="K182" s="143"/>
      <c r="L182" s="143"/>
      <c r="M182" s="143"/>
      <c r="N182" s="143"/>
      <c r="P182" s="119"/>
    </row>
    <row r="183" spans="1:21">
      <c r="A183" s="124" t="s">
        <v>60</v>
      </c>
      <c r="B183" s="126">
        <v>904.94791666667504</v>
      </c>
      <c r="C183" s="126">
        <v>1016.8244966443</v>
      </c>
      <c r="D183" s="126">
        <v>1105.60625</v>
      </c>
      <c r="E183" s="126">
        <v>1182.3212365591501</v>
      </c>
      <c r="F183" s="126">
        <v>1150.9126344086001</v>
      </c>
      <c r="G183" s="126">
        <v>1147.5163690476249</v>
      </c>
      <c r="H183" s="126">
        <v>1173.7688425302749</v>
      </c>
      <c r="I183" s="126">
        <v>1181.7873427673001</v>
      </c>
      <c r="J183" s="126">
        <v>1193.7315188171999</v>
      </c>
      <c r="K183" s="126">
        <v>1196.727083333325</v>
      </c>
      <c r="L183" s="126">
        <v>1194.8914650537749</v>
      </c>
      <c r="M183" s="126">
        <v>1193.3899305555501</v>
      </c>
      <c r="N183" s="126">
        <v>1186.784375</v>
      </c>
      <c r="O183" s="156">
        <f>N183/B183-1</f>
        <v>0.3114394244604195</v>
      </c>
      <c r="P183" s="119"/>
    </row>
    <row r="184" spans="1:21">
      <c r="A184" s="124" t="s">
        <v>61</v>
      </c>
      <c r="B184" s="126">
        <v>906.32291666667504</v>
      </c>
      <c r="C184" s="126">
        <v>1012.71845637585</v>
      </c>
      <c r="D184" s="126">
        <v>1105.96319444445</v>
      </c>
      <c r="E184" s="126">
        <v>1174.3723118279499</v>
      </c>
      <c r="F184" s="126">
        <v>1129.192204301075</v>
      </c>
      <c r="G184" s="126">
        <v>1128.565476190475</v>
      </c>
      <c r="H184" s="126">
        <v>1181.15376850605</v>
      </c>
      <c r="I184" s="126">
        <v>1185.1831761006249</v>
      </c>
      <c r="J184" s="126">
        <v>1194.9334677419249</v>
      </c>
      <c r="K184" s="126">
        <v>1196.13055555555</v>
      </c>
      <c r="L184" s="126">
        <v>1196.6243279570001</v>
      </c>
      <c r="M184" s="126">
        <v>1193.9107638889</v>
      </c>
      <c r="N184" s="126">
        <v>1186.19756944445</v>
      </c>
      <c r="O184" s="156"/>
      <c r="P184" s="119"/>
    </row>
    <row r="185" spans="1:21">
      <c r="C185" s="111"/>
      <c r="P185" s="119"/>
    </row>
    <row r="186" spans="1:21">
      <c r="C186" s="111"/>
      <c r="P186" s="119"/>
    </row>
    <row r="187" spans="1:21">
      <c r="A187" s="84" t="s">
        <v>172</v>
      </c>
      <c r="B187" s="165" t="str">
        <f>MID(B189,6,1)</f>
        <v>S</v>
      </c>
      <c r="C187" s="165" t="str">
        <f t="shared" ref="C187:N187" si="6">MID(C189,6,1)</f>
        <v>O</v>
      </c>
      <c r="D187" s="165" t="str">
        <f t="shared" si="6"/>
        <v>N</v>
      </c>
      <c r="E187" s="165" t="str">
        <f t="shared" si="6"/>
        <v>D</v>
      </c>
      <c r="F187" s="165" t="str">
        <f t="shared" si="6"/>
        <v>E</v>
      </c>
      <c r="G187" s="165" t="str">
        <f t="shared" si="6"/>
        <v>F</v>
      </c>
      <c r="H187" s="165" t="str">
        <f t="shared" si="6"/>
        <v>M</v>
      </c>
      <c r="I187" s="165" t="str">
        <f t="shared" si="6"/>
        <v>A</v>
      </c>
      <c r="J187" s="165" t="str">
        <f t="shared" si="6"/>
        <v>M</v>
      </c>
      <c r="K187" s="165" t="str">
        <f t="shared" si="6"/>
        <v>J</v>
      </c>
      <c r="L187" s="165" t="str">
        <f t="shared" si="6"/>
        <v>J</v>
      </c>
      <c r="M187" s="165" t="str">
        <f t="shared" si="6"/>
        <v>A</v>
      </c>
      <c r="N187" s="165" t="str">
        <f t="shared" si="6"/>
        <v>S</v>
      </c>
      <c r="P187" s="154"/>
      <c r="Q187" s="154"/>
    </row>
    <row r="188" spans="1:21">
      <c r="A188" s="122" t="s">
        <v>27</v>
      </c>
      <c r="B188" s="252" t="s">
        <v>191</v>
      </c>
      <c r="C188" s="253"/>
      <c r="D188" s="253"/>
      <c r="E188" s="253"/>
      <c r="F188" s="253"/>
      <c r="G188" s="253"/>
      <c r="H188" s="253"/>
      <c r="I188" s="253"/>
      <c r="J188" s="253"/>
      <c r="K188" s="253"/>
      <c r="L188" s="253"/>
      <c r="M188" s="253"/>
      <c r="N188" s="253"/>
      <c r="P188" s="154"/>
      <c r="Q188" s="154"/>
    </row>
    <row r="189" spans="1:21">
      <c r="A189" s="122" t="s">
        <v>86</v>
      </c>
      <c r="B189" s="145" t="s">
        <v>210</v>
      </c>
      <c r="C189" s="145" t="s">
        <v>212</v>
      </c>
      <c r="D189" s="145" t="s">
        <v>215</v>
      </c>
      <c r="E189" s="145" t="s">
        <v>217</v>
      </c>
      <c r="F189" s="145" t="s">
        <v>221</v>
      </c>
      <c r="G189" s="145" t="s">
        <v>223</v>
      </c>
      <c r="H189" s="145" t="s">
        <v>226</v>
      </c>
      <c r="I189" s="145" t="s">
        <v>236</v>
      </c>
      <c r="J189" s="145" t="s">
        <v>239</v>
      </c>
      <c r="K189" s="145" t="s">
        <v>241</v>
      </c>
      <c r="L189" s="145" t="s">
        <v>244</v>
      </c>
      <c r="M189" s="145" t="s">
        <v>247</v>
      </c>
      <c r="N189" s="145" t="s">
        <v>282</v>
      </c>
      <c r="P189" s="154"/>
      <c r="Q189" s="154"/>
    </row>
    <row r="190" spans="1:21">
      <c r="A190" s="122" t="s">
        <v>119</v>
      </c>
      <c r="B190" s="143"/>
      <c r="C190" s="143"/>
      <c r="D190" s="143"/>
      <c r="E190" s="143"/>
      <c r="F190" s="143"/>
      <c r="G190" s="143"/>
      <c r="H190" s="143"/>
      <c r="I190" s="143"/>
      <c r="J190" s="143"/>
      <c r="K190" s="143"/>
      <c r="L190" s="143"/>
      <c r="M190" s="143"/>
      <c r="N190" s="143"/>
      <c r="O190" s="156"/>
      <c r="P190" s="154"/>
      <c r="Q190" s="154"/>
    </row>
    <row r="191" spans="1:21">
      <c r="A191" s="124" t="s">
        <v>75</v>
      </c>
      <c r="B191" s="111">
        <v>165.537925</v>
      </c>
      <c r="C191" s="111">
        <v>131.49952500000001</v>
      </c>
      <c r="D191" s="111">
        <v>89.587146000000004</v>
      </c>
      <c r="E191" s="111">
        <v>52.364378000000002</v>
      </c>
      <c r="F191" s="111">
        <v>77.682462000000001</v>
      </c>
      <c r="G191" s="111">
        <v>82.307884999999999</v>
      </c>
      <c r="H191" s="111">
        <v>105.459892</v>
      </c>
      <c r="I191" s="111">
        <v>92.657791000000003</v>
      </c>
      <c r="J191" s="111">
        <v>95.844481999999999</v>
      </c>
      <c r="K191" s="111">
        <v>72.700210999999996</v>
      </c>
      <c r="L191" s="111">
        <v>80.985911000000002</v>
      </c>
      <c r="M191" s="111">
        <v>71.164877000000004</v>
      </c>
      <c r="N191" s="111">
        <v>86.294443000000001</v>
      </c>
      <c r="O191" s="156">
        <f>N191/B191-1</f>
        <v>-0.4787028833422915</v>
      </c>
      <c r="P191" s="154"/>
      <c r="Q191" s="154"/>
      <c r="S191" s="111"/>
      <c r="T191" s="111"/>
      <c r="U191" s="111"/>
    </row>
    <row r="192" spans="1:21">
      <c r="A192" s="124" t="s">
        <v>71</v>
      </c>
      <c r="B192" s="111">
        <v>172.08167499999999</v>
      </c>
      <c r="C192" s="111">
        <v>201.38062500000001</v>
      </c>
      <c r="D192" s="111">
        <v>132.36967799999999</v>
      </c>
      <c r="E192" s="111">
        <v>78.121196999999995</v>
      </c>
      <c r="F192" s="111">
        <v>73.119370000000004</v>
      </c>
      <c r="G192" s="111">
        <v>58.008048000000002</v>
      </c>
      <c r="H192" s="111">
        <v>81.554850999999999</v>
      </c>
      <c r="I192" s="111">
        <v>85.516738000000004</v>
      </c>
      <c r="J192" s="111">
        <v>100.845438</v>
      </c>
      <c r="K192" s="111">
        <v>88.146169</v>
      </c>
      <c r="L192" s="111">
        <v>58.699295999999997</v>
      </c>
      <c r="M192" s="111">
        <v>71.704355000000007</v>
      </c>
      <c r="N192" s="111">
        <v>66.969218999999995</v>
      </c>
      <c r="O192" s="156">
        <f>N192/B192-1</f>
        <v>-0.61082887530005736</v>
      </c>
      <c r="P192" s="156">
        <f>(N191+N192)/(B191+B192)-1</f>
        <v>-0.5460463136618845</v>
      </c>
      <c r="Q192" s="154"/>
      <c r="S192" s="111"/>
      <c r="T192" s="111"/>
      <c r="U192" s="111"/>
    </row>
    <row r="193" spans="1:17">
      <c r="B193" s="169"/>
      <c r="M193" s="169"/>
      <c r="N193" s="169"/>
    </row>
    <row r="194" spans="1:17">
      <c r="A194" s="84" t="s">
        <v>173</v>
      </c>
      <c r="C194" s="142" t="str">
        <f t="shared" ref="C194:O194" si="7">MID(C196,6,1)</f>
        <v>S</v>
      </c>
      <c r="D194" s="142" t="str">
        <f t="shared" si="7"/>
        <v>O</v>
      </c>
      <c r="E194" s="142" t="str">
        <f t="shared" si="7"/>
        <v>N</v>
      </c>
      <c r="F194" s="142" t="str">
        <f t="shared" si="7"/>
        <v>D</v>
      </c>
      <c r="G194" s="142" t="str">
        <f t="shared" si="7"/>
        <v>E</v>
      </c>
      <c r="H194" s="142" t="str">
        <f t="shared" si="7"/>
        <v>F</v>
      </c>
      <c r="I194" s="142" t="str">
        <f t="shared" si="7"/>
        <v>M</v>
      </c>
      <c r="J194" s="142" t="str">
        <f t="shared" si="7"/>
        <v>A</v>
      </c>
      <c r="K194" s="142" t="str">
        <f t="shared" si="7"/>
        <v>M</v>
      </c>
      <c r="L194" s="142" t="str">
        <f t="shared" si="7"/>
        <v>J</v>
      </c>
      <c r="M194" s="142" t="str">
        <f t="shared" si="7"/>
        <v>J</v>
      </c>
      <c r="N194" s="142" t="str">
        <f t="shared" si="7"/>
        <v>A</v>
      </c>
      <c r="O194" s="142" t="str">
        <f t="shared" si="7"/>
        <v>S</v>
      </c>
    </row>
    <row r="195" spans="1:17">
      <c r="A195" s="122"/>
      <c r="B195" s="122" t="s">
        <v>27</v>
      </c>
      <c r="C195" s="250" t="s">
        <v>156</v>
      </c>
      <c r="D195" s="251"/>
      <c r="E195" s="251"/>
      <c r="F195" s="251"/>
      <c r="G195" s="251"/>
      <c r="H195" s="251"/>
      <c r="I195" s="251"/>
      <c r="J195" s="251"/>
      <c r="K195" s="251"/>
      <c r="L195" s="251"/>
      <c r="M195" s="251"/>
      <c r="N195" s="251"/>
      <c r="O195" s="251"/>
      <c r="P195" s="154"/>
      <c r="Q195" s="154"/>
    </row>
    <row r="196" spans="1:17">
      <c r="A196" s="122"/>
      <c r="B196" s="123" t="s">
        <v>86</v>
      </c>
      <c r="C196" s="212" t="s">
        <v>210</v>
      </c>
      <c r="D196" s="212" t="s">
        <v>212</v>
      </c>
      <c r="E196" s="212" t="s">
        <v>215</v>
      </c>
      <c r="F196" s="212" t="s">
        <v>217</v>
      </c>
      <c r="G196" s="212" t="s">
        <v>221</v>
      </c>
      <c r="H196" s="212" t="s">
        <v>223</v>
      </c>
      <c r="I196" s="212" t="s">
        <v>226</v>
      </c>
      <c r="J196" s="212" t="s">
        <v>236</v>
      </c>
      <c r="K196" s="212" t="s">
        <v>239</v>
      </c>
      <c r="L196" s="212" t="s">
        <v>241</v>
      </c>
      <c r="M196" s="212" t="s">
        <v>244</v>
      </c>
      <c r="N196" s="212" t="s">
        <v>247</v>
      </c>
      <c r="O196" s="211" t="s">
        <v>282</v>
      </c>
      <c r="P196" s="154"/>
      <c r="Q196" s="154"/>
    </row>
    <row r="197" spans="1:17">
      <c r="A197" s="122" t="s">
        <v>119</v>
      </c>
      <c r="B197" s="122" t="s">
        <v>120</v>
      </c>
      <c r="C197" s="212"/>
      <c r="D197" s="212"/>
      <c r="E197" s="212"/>
      <c r="F197" s="212"/>
      <c r="G197" s="212"/>
      <c r="H197" s="212"/>
      <c r="I197" s="212"/>
      <c r="J197" s="212"/>
      <c r="K197" s="212"/>
      <c r="L197" s="212"/>
      <c r="M197" s="212"/>
      <c r="N197" s="212"/>
      <c r="O197" s="211"/>
      <c r="P197" s="154"/>
      <c r="Q197" s="154"/>
    </row>
    <row r="198" spans="1:17">
      <c r="A198" s="256" t="s">
        <v>71</v>
      </c>
      <c r="B198" s="124" t="s">
        <v>82</v>
      </c>
      <c r="C198" s="213">
        <v>0</v>
      </c>
      <c r="D198" s="213">
        <v>0</v>
      </c>
      <c r="E198" s="213">
        <v>0</v>
      </c>
      <c r="F198" s="213">
        <v>0</v>
      </c>
      <c r="G198" s="213">
        <v>0</v>
      </c>
      <c r="H198" s="213">
        <v>0</v>
      </c>
      <c r="I198" s="213">
        <v>0</v>
      </c>
      <c r="J198" s="213">
        <v>0</v>
      </c>
      <c r="K198" s="213">
        <v>0</v>
      </c>
      <c r="L198" s="213">
        <v>0</v>
      </c>
      <c r="M198" s="213">
        <v>0</v>
      </c>
      <c r="N198" s="213">
        <v>0</v>
      </c>
      <c r="O198" s="214">
        <v>0</v>
      </c>
      <c r="P198" s="154"/>
      <c r="Q198" s="154"/>
    </row>
    <row r="199" spans="1:17">
      <c r="A199" s="258"/>
      <c r="B199" s="124" t="s">
        <v>73</v>
      </c>
      <c r="C199" s="213">
        <v>275.2</v>
      </c>
      <c r="D199" s="213">
        <v>379.41399999999999</v>
      </c>
      <c r="E199" s="213">
        <v>960.09100000000001</v>
      </c>
      <c r="F199" s="213">
        <v>1807.4749999999999</v>
      </c>
      <c r="G199" s="213">
        <v>485.25</v>
      </c>
      <c r="H199" s="213">
        <v>155.25</v>
      </c>
      <c r="I199" s="213">
        <v>34.450000000000003</v>
      </c>
      <c r="J199" s="213">
        <v>30.05</v>
      </c>
      <c r="K199" s="213">
        <v>0</v>
      </c>
      <c r="L199" s="213">
        <v>83.15</v>
      </c>
      <c r="M199" s="213">
        <v>422.25</v>
      </c>
      <c r="N199" s="213">
        <v>0</v>
      </c>
      <c r="O199" s="214">
        <v>90</v>
      </c>
      <c r="P199" s="154"/>
      <c r="Q199" s="154"/>
    </row>
    <row r="200" spans="1:17">
      <c r="A200" s="258"/>
      <c r="B200" s="124" t="s">
        <v>23</v>
      </c>
      <c r="C200" s="213">
        <v>71329.876000000004</v>
      </c>
      <c r="D200" s="213">
        <v>55707.942999999999</v>
      </c>
      <c r="E200" s="213">
        <v>92005.611000000004</v>
      </c>
      <c r="F200" s="213">
        <v>149676.72500000001</v>
      </c>
      <c r="G200" s="213">
        <v>75138.25</v>
      </c>
      <c r="H200" s="213">
        <v>41086.735000000001</v>
      </c>
      <c r="I200" s="213">
        <v>42628.800000000003</v>
      </c>
      <c r="J200" s="213">
        <v>21334.2</v>
      </c>
      <c r="K200" s="213">
        <v>43474.65</v>
      </c>
      <c r="L200" s="213">
        <v>226890.22500000001</v>
      </c>
      <c r="M200" s="213">
        <v>209561.22500000001</v>
      </c>
      <c r="N200" s="213">
        <v>179282</v>
      </c>
      <c r="O200" s="214">
        <v>112488.129</v>
      </c>
      <c r="P200" s="154"/>
      <c r="Q200" s="154"/>
    </row>
    <row r="201" spans="1:17">
      <c r="A201" s="258"/>
      <c r="B201" s="124" t="s">
        <v>80</v>
      </c>
      <c r="C201" s="213">
        <v>8.4250000000000007</v>
      </c>
      <c r="D201" s="213">
        <v>4.7</v>
      </c>
      <c r="E201" s="213">
        <v>15.625</v>
      </c>
      <c r="F201" s="213">
        <v>16.25</v>
      </c>
      <c r="G201" s="213">
        <v>3</v>
      </c>
      <c r="H201" s="213">
        <v>0</v>
      </c>
      <c r="I201" s="213">
        <v>140</v>
      </c>
      <c r="J201" s="213">
        <v>52.5</v>
      </c>
      <c r="K201" s="213">
        <v>92.75</v>
      </c>
      <c r="L201" s="213">
        <v>209.25</v>
      </c>
      <c r="M201" s="213">
        <v>318.75</v>
      </c>
      <c r="N201" s="213">
        <v>173.25</v>
      </c>
      <c r="O201" s="214">
        <v>239.75</v>
      </c>
      <c r="P201" s="154"/>
      <c r="Q201" s="154"/>
    </row>
    <row r="202" spans="1:17">
      <c r="A202" s="258"/>
      <c r="B202" s="124" t="s">
        <v>74</v>
      </c>
      <c r="C202" s="213">
        <v>25004.131000000001</v>
      </c>
      <c r="D202" s="213">
        <v>19519.491000000002</v>
      </c>
      <c r="E202" s="213">
        <v>14910.407999999999</v>
      </c>
      <c r="F202" s="213">
        <v>17618.241999999998</v>
      </c>
      <c r="G202" s="213">
        <v>30294.2</v>
      </c>
      <c r="H202" s="213">
        <v>10732.416999999999</v>
      </c>
      <c r="I202" s="213">
        <v>30167.8</v>
      </c>
      <c r="J202" s="213">
        <v>25127.55</v>
      </c>
      <c r="K202" s="213">
        <v>28512.400000000001</v>
      </c>
      <c r="L202" s="213">
        <v>19186.8</v>
      </c>
      <c r="M202" s="213">
        <v>17123.95</v>
      </c>
      <c r="N202" s="213">
        <v>17965.3</v>
      </c>
      <c r="O202" s="214">
        <v>19717.983</v>
      </c>
      <c r="P202" s="154"/>
      <c r="Q202" s="154"/>
    </row>
    <row r="203" spans="1:17">
      <c r="A203" s="258"/>
      <c r="B203" s="124" t="s">
        <v>83</v>
      </c>
      <c r="C203" s="213">
        <v>0</v>
      </c>
      <c r="D203" s="213">
        <v>0</v>
      </c>
      <c r="E203" s="213">
        <v>0</v>
      </c>
      <c r="F203" s="213">
        <v>0</v>
      </c>
      <c r="G203" s="213">
        <v>0</v>
      </c>
      <c r="H203" s="213">
        <v>0</v>
      </c>
      <c r="I203" s="213">
        <v>0</v>
      </c>
      <c r="J203" s="213">
        <v>0</v>
      </c>
      <c r="K203" s="213">
        <v>0</v>
      </c>
      <c r="L203" s="213">
        <v>0</v>
      </c>
      <c r="M203" s="213">
        <v>0</v>
      </c>
      <c r="N203" s="213">
        <v>0</v>
      </c>
      <c r="O203" s="214">
        <v>0</v>
      </c>
      <c r="P203" s="154"/>
      <c r="Q203" s="154"/>
    </row>
    <row r="204" spans="1:17">
      <c r="A204" s="258"/>
      <c r="B204" s="124" t="s">
        <v>77</v>
      </c>
      <c r="C204" s="213">
        <v>14389.375</v>
      </c>
      <c r="D204" s="213">
        <v>24306.028999999999</v>
      </c>
      <c r="E204" s="213">
        <v>13826.055</v>
      </c>
      <c r="F204" s="213">
        <v>22650.025000000001</v>
      </c>
      <c r="G204" s="213">
        <v>24907.05</v>
      </c>
      <c r="H204" s="213">
        <v>9668.9809999999998</v>
      </c>
      <c r="I204" s="213">
        <v>31429.5</v>
      </c>
      <c r="J204" s="213">
        <v>27130.85</v>
      </c>
      <c r="K204" s="213">
        <v>43167.925000000003</v>
      </c>
      <c r="L204" s="213">
        <v>27497.7</v>
      </c>
      <c r="M204" s="213">
        <v>13989.3</v>
      </c>
      <c r="N204" s="213">
        <v>16005.75</v>
      </c>
      <c r="O204" s="214">
        <v>16576.755000000001</v>
      </c>
      <c r="P204" s="154"/>
      <c r="Q204" s="154"/>
    </row>
    <row r="205" spans="1:17">
      <c r="A205" s="258"/>
      <c r="B205" s="124" t="s">
        <v>246</v>
      </c>
      <c r="C205" s="213">
        <v>0</v>
      </c>
      <c r="D205" s="213">
        <v>0</v>
      </c>
      <c r="E205" s="213">
        <v>0</v>
      </c>
      <c r="F205" s="213">
        <v>0</v>
      </c>
      <c r="G205" s="213">
        <v>0</v>
      </c>
      <c r="H205" s="213">
        <v>0</v>
      </c>
      <c r="I205" s="213">
        <v>0</v>
      </c>
      <c r="J205" s="213">
        <v>0</v>
      </c>
      <c r="K205" s="213">
        <v>0</v>
      </c>
      <c r="L205" s="213">
        <v>0</v>
      </c>
      <c r="M205" s="213">
        <v>0</v>
      </c>
      <c r="N205" s="213">
        <v>0</v>
      </c>
      <c r="O205" s="214">
        <v>0</v>
      </c>
      <c r="P205" s="154"/>
      <c r="Q205" s="154"/>
    </row>
    <row r="206" spans="1:17">
      <c r="A206" s="258"/>
      <c r="B206" s="124" t="s">
        <v>209</v>
      </c>
      <c r="C206" s="213">
        <v>0</v>
      </c>
      <c r="D206" s="213">
        <v>0</v>
      </c>
      <c r="E206" s="213">
        <v>0</v>
      </c>
      <c r="F206" s="213">
        <v>0</v>
      </c>
      <c r="G206" s="213">
        <v>0</v>
      </c>
      <c r="H206" s="213">
        <v>0</v>
      </c>
      <c r="I206" s="213">
        <v>0</v>
      </c>
      <c r="J206" s="213">
        <v>0</v>
      </c>
      <c r="K206" s="213">
        <v>0</v>
      </c>
      <c r="L206" s="213">
        <v>0</v>
      </c>
      <c r="M206" s="213">
        <v>0</v>
      </c>
      <c r="N206" s="213">
        <v>0</v>
      </c>
      <c r="O206" s="214">
        <v>29.75</v>
      </c>
      <c r="P206" s="154"/>
      <c r="Q206" s="154"/>
    </row>
    <row r="207" spans="1:17">
      <c r="A207" s="258"/>
      <c r="B207" s="124" t="s">
        <v>19</v>
      </c>
      <c r="C207" s="213">
        <v>21337.156999999999</v>
      </c>
      <c r="D207" s="213">
        <v>36443.067999999999</v>
      </c>
      <c r="E207" s="213">
        <v>25115.334999999999</v>
      </c>
      <c r="F207" s="213">
        <v>46447.163</v>
      </c>
      <c r="G207" s="213">
        <v>30091.7</v>
      </c>
      <c r="H207" s="213">
        <v>17178.798999999999</v>
      </c>
      <c r="I207" s="213">
        <v>34297.5</v>
      </c>
      <c r="J207" s="213">
        <v>36079.15</v>
      </c>
      <c r="K207" s="213">
        <v>30711.75</v>
      </c>
      <c r="L207" s="213">
        <v>31774.95</v>
      </c>
      <c r="M207" s="213">
        <v>85316.175000000003</v>
      </c>
      <c r="N207" s="213">
        <v>54636.866999999998</v>
      </c>
      <c r="O207" s="214">
        <v>20999.040000000001</v>
      </c>
      <c r="P207" s="154"/>
      <c r="Q207" s="154"/>
    </row>
    <row r="208" spans="1:17">
      <c r="A208" s="258"/>
      <c r="B208" s="124" t="s">
        <v>170</v>
      </c>
      <c r="C208" s="213">
        <v>0</v>
      </c>
      <c r="D208" s="213">
        <v>0</v>
      </c>
      <c r="E208" s="213">
        <v>0</v>
      </c>
      <c r="F208" s="213">
        <v>0</v>
      </c>
      <c r="G208" s="213">
        <v>0</v>
      </c>
      <c r="H208" s="213">
        <v>0</v>
      </c>
      <c r="I208" s="213">
        <v>0</v>
      </c>
      <c r="J208" s="213">
        <v>0</v>
      </c>
      <c r="K208" s="213">
        <v>0</v>
      </c>
      <c r="L208" s="213">
        <v>0</v>
      </c>
      <c r="M208" s="213">
        <v>0</v>
      </c>
      <c r="N208" s="213">
        <v>0</v>
      </c>
      <c r="O208" s="214">
        <v>0</v>
      </c>
      <c r="P208" s="154"/>
      <c r="Q208" s="154"/>
    </row>
    <row r="209" spans="1:17">
      <c r="A209" s="258"/>
      <c r="B209" s="124" t="s">
        <v>84</v>
      </c>
      <c r="C209" s="213">
        <v>0</v>
      </c>
      <c r="D209" s="213">
        <v>0</v>
      </c>
      <c r="E209" s="213">
        <v>0</v>
      </c>
      <c r="F209" s="213">
        <v>8416.4750000000004</v>
      </c>
      <c r="G209" s="213">
        <v>34556.9</v>
      </c>
      <c r="H209" s="213">
        <v>28098.799999999999</v>
      </c>
      <c r="I209" s="213">
        <v>34080.6</v>
      </c>
      <c r="J209" s="213">
        <v>26275.474999999999</v>
      </c>
      <c r="K209" s="213">
        <v>35039.25</v>
      </c>
      <c r="L209" s="213">
        <v>33961.75</v>
      </c>
      <c r="M209" s="213">
        <v>27631.25</v>
      </c>
      <c r="N209" s="213">
        <v>39299.75</v>
      </c>
      <c r="O209" s="214">
        <v>29569.5</v>
      </c>
      <c r="P209" s="154"/>
      <c r="Q209" s="154"/>
    </row>
    <row r="210" spans="1:17">
      <c r="A210" s="258"/>
      <c r="B210" s="124" t="s">
        <v>72</v>
      </c>
      <c r="C210" s="213">
        <v>0</v>
      </c>
      <c r="D210" s="213">
        <v>0</v>
      </c>
      <c r="E210" s="213">
        <v>100.05</v>
      </c>
      <c r="F210" s="213">
        <v>30</v>
      </c>
      <c r="G210" s="213">
        <v>139.15</v>
      </c>
      <c r="H210" s="213">
        <v>0</v>
      </c>
      <c r="I210" s="213">
        <v>359.05</v>
      </c>
      <c r="J210" s="213">
        <v>364</v>
      </c>
      <c r="K210" s="213">
        <v>1965.25</v>
      </c>
      <c r="L210" s="213">
        <v>659</v>
      </c>
      <c r="M210" s="213">
        <v>742</v>
      </c>
      <c r="N210" s="213">
        <v>632.15</v>
      </c>
      <c r="O210" s="214">
        <v>153.69999999999999</v>
      </c>
      <c r="P210" s="154"/>
      <c r="Q210" s="154"/>
    </row>
    <row r="211" spans="1:17">
      <c r="A211" s="258"/>
      <c r="B211" s="124" t="s">
        <v>81</v>
      </c>
      <c r="C211" s="213">
        <v>284.55</v>
      </c>
      <c r="D211" s="213">
        <v>361.459</v>
      </c>
      <c r="E211" s="213">
        <v>76.349999999999994</v>
      </c>
      <c r="F211" s="213">
        <v>47.25</v>
      </c>
      <c r="G211" s="213">
        <v>85</v>
      </c>
      <c r="H211" s="213">
        <v>17.25</v>
      </c>
      <c r="I211" s="213">
        <v>304.89999999999998</v>
      </c>
      <c r="J211" s="213">
        <v>299.3</v>
      </c>
      <c r="K211" s="213">
        <v>1099.6500000000001</v>
      </c>
      <c r="L211" s="213">
        <v>445.65</v>
      </c>
      <c r="M211" s="213">
        <v>454.7</v>
      </c>
      <c r="N211" s="213">
        <v>547.04999999999995</v>
      </c>
      <c r="O211" s="214">
        <v>388.13299999999998</v>
      </c>
      <c r="P211" s="154"/>
      <c r="Q211" s="154"/>
    </row>
    <row r="212" spans="1:17">
      <c r="A212" s="258"/>
      <c r="B212" s="124" t="s">
        <v>85</v>
      </c>
      <c r="C212" s="213">
        <v>0</v>
      </c>
      <c r="D212" s="213">
        <v>0</v>
      </c>
      <c r="E212" s="213">
        <v>0</v>
      </c>
      <c r="F212" s="213">
        <v>0</v>
      </c>
      <c r="G212" s="213">
        <v>0</v>
      </c>
      <c r="H212" s="213">
        <v>0</v>
      </c>
      <c r="I212" s="213">
        <v>0</v>
      </c>
      <c r="J212" s="213">
        <v>0</v>
      </c>
      <c r="K212" s="213">
        <v>0</v>
      </c>
      <c r="L212" s="213">
        <v>0</v>
      </c>
      <c r="M212" s="213">
        <v>0</v>
      </c>
      <c r="N212" s="213">
        <v>0</v>
      </c>
      <c r="O212" s="214">
        <v>0</v>
      </c>
      <c r="P212" s="154"/>
      <c r="Q212" s="154"/>
    </row>
    <row r="213" spans="1:17">
      <c r="A213" s="258"/>
      <c r="B213" s="124" t="s">
        <v>78</v>
      </c>
      <c r="C213" s="213">
        <v>3037.88</v>
      </c>
      <c r="D213" s="213">
        <v>4937.223</v>
      </c>
      <c r="E213" s="213">
        <v>2907.0349999999999</v>
      </c>
      <c r="F213" s="213">
        <v>3403.0250000000001</v>
      </c>
      <c r="G213" s="213">
        <v>3800</v>
      </c>
      <c r="H213" s="213">
        <v>2360.9009999999998</v>
      </c>
      <c r="I213" s="213">
        <v>6670.45</v>
      </c>
      <c r="J213" s="213">
        <v>9781.15</v>
      </c>
      <c r="K213" s="213">
        <v>14137.575000000001</v>
      </c>
      <c r="L213" s="213">
        <v>20985.474999999999</v>
      </c>
      <c r="M213" s="213">
        <v>14673.875</v>
      </c>
      <c r="N213" s="213">
        <v>22896.5</v>
      </c>
      <c r="O213" s="214">
        <v>14205.386</v>
      </c>
      <c r="P213" s="154"/>
      <c r="Q213" s="154"/>
    </row>
    <row r="214" spans="1:17">
      <c r="A214" s="258"/>
      <c r="B214" s="124" t="s">
        <v>79</v>
      </c>
      <c r="C214" s="213">
        <v>35.475000000000001</v>
      </c>
      <c r="D214" s="213">
        <v>19.399999999999999</v>
      </c>
      <c r="E214" s="213">
        <v>6.7</v>
      </c>
      <c r="F214" s="213">
        <v>9.25</v>
      </c>
      <c r="G214" s="213">
        <v>15.25</v>
      </c>
      <c r="H214" s="213">
        <v>4.75</v>
      </c>
      <c r="I214" s="213">
        <v>62.75</v>
      </c>
      <c r="J214" s="213">
        <v>157.75</v>
      </c>
      <c r="K214" s="213">
        <v>300.5</v>
      </c>
      <c r="L214" s="213">
        <v>170.25</v>
      </c>
      <c r="M214" s="213">
        <v>455.92500000000001</v>
      </c>
      <c r="N214" s="213">
        <v>301.75</v>
      </c>
      <c r="O214" s="214">
        <v>325.25</v>
      </c>
      <c r="P214" s="154"/>
      <c r="Q214" s="154"/>
    </row>
    <row r="215" spans="1:17">
      <c r="A215" s="258"/>
      <c r="B215" s="124" t="s">
        <v>76</v>
      </c>
      <c r="C215" s="213">
        <v>23246.357</v>
      </c>
      <c r="D215" s="213">
        <v>14903.813</v>
      </c>
      <c r="E215" s="213">
        <v>9228.6530000000002</v>
      </c>
      <c r="F215" s="213">
        <v>13417.55</v>
      </c>
      <c r="G215" s="213">
        <v>19331.099999999999</v>
      </c>
      <c r="H215" s="213">
        <v>5627</v>
      </c>
      <c r="I215" s="213">
        <v>14804.75</v>
      </c>
      <c r="J215" s="213">
        <v>16764.75</v>
      </c>
      <c r="K215" s="213">
        <v>23021.55</v>
      </c>
      <c r="L215" s="213">
        <v>17574.599999999999</v>
      </c>
      <c r="M215" s="213">
        <v>21808.125</v>
      </c>
      <c r="N215" s="213">
        <v>20287.816999999999</v>
      </c>
      <c r="O215" s="214">
        <v>18414.18</v>
      </c>
      <c r="P215" s="155"/>
      <c r="Q215" s="154"/>
    </row>
    <row r="216" spans="1:17">
      <c r="A216" s="257"/>
      <c r="B216" s="185" t="s">
        <v>0</v>
      </c>
      <c r="C216" s="215">
        <v>158948.42600000001</v>
      </c>
      <c r="D216" s="215">
        <v>156582.54</v>
      </c>
      <c r="E216" s="215">
        <v>159151.913</v>
      </c>
      <c r="F216" s="215">
        <v>263539.43</v>
      </c>
      <c r="G216" s="215">
        <v>218846.85</v>
      </c>
      <c r="H216" s="215">
        <v>114930.883</v>
      </c>
      <c r="I216" s="215">
        <v>194980.55</v>
      </c>
      <c r="J216" s="215">
        <v>163396.72500000001</v>
      </c>
      <c r="K216" s="215">
        <v>221523.25</v>
      </c>
      <c r="L216" s="215">
        <v>379438.8</v>
      </c>
      <c r="M216" s="215">
        <v>392497.52500000002</v>
      </c>
      <c r="N216" s="215">
        <v>352028.18400000001</v>
      </c>
      <c r="O216" s="216">
        <v>233197.55600000001</v>
      </c>
      <c r="P216" s="155">
        <f>O216/C216-1</f>
        <v>0.46712717998226672</v>
      </c>
      <c r="Q216" s="154"/>
    </row>
    <row r="217" spans="1:17">
      <c r="A217" s="260" t="s">
        <v>75</v>
      </c>
      <c r="B217" s="124" t="s">
        <v>82</v>
      </c>
      <c r="C217" s="213">
        <v>0</v>
      </c>
      <c r="D217" s="213">
        <v>0</v>
      </c>
      <c r="E217" s="213">
        <v>0</v>
      </c>
      <c r="F217" s="213">
        <v>0</v>
      </c>
      <c r="G217" s="213">
        <v>0</v>
      </c>
      <c r="H217" s="213">
        <v>0</v>
      </c>
      <c r="I217" s="213">
        <v>0</v>
      </c>
      <c r="J217" s="213">
        <v>0</v>
      </c>
      <c r="K217" s="213">
        <v>0</v>
      </c>
      <c r="L217" s="213">
        <v>0</v>
      </c>
      <c r="M217" s="213">
        <v>0</v>
      </c>
      <c r="N217" s="213">
        <v>0</v>
      </c>
      <c r="O217" s="214">
        <v>0</v>
      </c>
      <c r="P217" s="156"/>
      <c r="Q217" s="154"/>
    </row>
    <row r="218" spans="1:17">
      <c r="A218" s="258"/>
      <c r="B218" s="124" t="s">
        <v>73</v>
      </c>
      <c r="C218" s="125">
        <v>50.225000000000001</v>
      </c>
      <c r="D218" s="125">
        <v>78.75</v>
      </c>
      <c r="E218" s="125">
        <v>484.8</v>
      </c>
      <c r="F218" s="125">
        <v>289.85000000000002</v>
      </c>
      <c r="G218" s="125">
        <v>938.7</v>
      </c>
      <c r="H218" s="125">
        <v>339</v>
      </c>
      <c r="I218" s="125">
        <v>85</v>
      </c>
      <c r="J218" s="125">
        <v>105</v>
      </c>
      <c r="K218" s="125">
        <v>0</v>
      </c>
      <c r="L218" s="125">
        <v>83.75</v>
      </c>
      <c r="M218" s="125">
        <v>10</v>
      </c>
      <c r="N218" s="125">
        <v>0</v>
      </c>
      <c r="O218" s="125">
        <v>0</v>
      </c>
      <c r="P218" s="154"/>
      <c r="Q218" s="154"/>
    </row>
    <row r="219" spans="1:17">
      <c r="A219" s="258"/>
      <c r="B219" s="124" t="s">
        <v>23</v>
      </c>
      <c r="C219" s="125">
        <v>26552.251</v>
      </c>
      <c r="D219" s="125">
        <v>33915.699999999997</v>
      </c>
      <c r="E219" s="125">
        <v>38070.457999999999</v>
      </c>
      <c r="F219" s="125">
        <v>42667.476000000002</v>
      </c>
      <c r="G219" s="125">
        <v>78421.95</v>
      </c>
      <c r="H219" s="125">
        <v>87805.447</v>
      </c>
      <c r="I219" s="125">
        <v>30848.534</v>
      </c>
      <c r="J219" s="125">
        <v>16612.3</v>
      </c>
      <c r="K219" s="125">
        <v>9449.5499999999993</v>
      </c>
      <c r="L219" s="125">
        <v>34376.15</v>
      </c>
      <c r="M219" s="125">
        <v>27134.55</v>
      </c>
      <c r="N219" s="125">
        <v>23693.05</v>
      </c>
      <c r="O219" s="125">
        <v>36576.124000000003</v>
      </c>
      <c r="P219" s="154"/>
      <c r="Q219" s="154"/>
    </row>
    <row r="220" spans="1:17">
      <c r="A220" s="258"/>
      <c r="B220" s="124" t="s">
        <v>80</v>
      </c>
      <c r="C220" s="125">
        <v>423.447</v>
      </c>
      <c r="D220" s="125">
        <v>758.50800000000004</v>
      </c>
      <c r="E220" s="125">
        <v>689.47500000000002</v>
      </c>
      <c r="F220" s="125">
        <v>935.173</v>
      </c>
      <c r="G220" s="125">
        <v>668.6</v>
      </c>
      <c r="H220" s="125">
        <v>993.53399999999999</v>
      </c>
      <c r="I220" s="125">
        <v>1360.5</v>
      </c>
      <c r="J220" s="125">
        <v>1568.95</v>
      </c>
      <c r="K220" s="125">
        <v>863.15</v>
      </c>
      <c r="L220" s="125">
        <v>366.5</v>
      </c>
      <c r="M220" s="125">
        <v>941.3</v>
      </c>
      <c r="N220" s="125">
        <v>409.5</v>
      </c>
      <c r="O220" s="125">
        <v>383.58300000000003</v>
      </c>
      <c r="P220" s="154"/>
      <c r="Q220" s="154"/>
    </row>
    <row r="221" spans="1:17">
      <c r="A221" s="258"/>
      <c r="B221" s="124" t="s">
        <v>74</v>
      </c>
      <c r="C221" s="125">
        <v>45577.822999999997</v>
      </c>
      <c r="D221" s="125">
        <v>54566.771000000001</v>
      </c>
      <c r="E221" s="125">
        <v>41349.216999999997</v>
      </c>
      <c r="F221" s="125">
        <v>35243.148999999998</v>
      </c>
      <c r="G221" s="125">
        <v>53314.275000000001</v>
      </c>
      <c r="H221" s="125">
        <v>76705.798999999999</v>
      </c>
      <c r="I221" s="125">
        <v>53970.15</v>
      </c>
      <c r="J221" s="125">
        <v>44515.75</v>
      </c>
      <c r="K221" s="125">
        <v>21756.775000000001</v>
      </c>
      <c r="L221" s="125">
        <v>9671.85</v>
      </c>
      <c r="M221" s="125">
        <v>22367.341</v>
      </c>
      <c r="N221" s="125">
        <v>22439.35</v>
      </c>
      <c r="O221" s="125">
        <v>24097.200000000001</v>
      </c>
      <c r="P221" s="154"/>
      <c r="Q221" s="154"/>
    </row>
    <row r="222" spans="1:17">
      <c r="A222" s="258"/>
      <c r="B222" s="124" t="s">
        <v>83</v>
      </c>
      <c r="C222" s="125">
        <v>0</v>
      </c>
      <c r="D222" s="125">
        <v>0</v>
      </c>
      <c r="E222" s="125">
        <v>0</v>
      </c>
      <c r="F222" s="125">
        <v>0</v>
      </c>
      <c r="G222" s="125">
        <v>0</v>
      </c>
      <c r="H222" s="125">
        <v>0</v>
      </c>
      <c r="I222" s="125">
        <v>0</v>
      </c>
      <c r="J222" s="125">
        <v>0</v>
      </c>
      <c r="K222" s="125">
        <v>0</v>
      </c>
      <c r="L222" s="125">
        <v>0</v>
      </c>
      <c r="M222" s="125">
        <v>0</v>
      </c>
      <c r="N222" s="125">
        <v>0</v>
      </c>
      <c r="O222" s="125">
        <v>0</v>
      </c>
      <c r="P222" s="154"/>
      <c r="Q222" s="154"/>
    </row>
    <row r="223" spans="1:17">
      <c r="A223" s="258"/>
      <c r="B223" s="124" t="s">
        <v>77</v>
      </c>
      <c r="C223" s="125">
        <v>73676.551000000007</v>
      </c>
      <c r="D223" s="125">
        <v>80386.748999999996</v>
      </c>
      <c r="E223" s="125">
        <v>42290.15</v>
      </c>
      <c r="F223" s="125">
        <v>50300.607000000004</v>
      </c>
      <c r="G223" s="125">
        <v>95848.875</v>
      </c>
      <c r="H223" s="125">
        <v>82469.11</v>
      </c>
      <c r="I223" s="125">
        <v>172995.63699999999</v>
      </c>
      <c r="J223" s="125">
        <v>130290.417</v>
      </c>
      <c r="K223" s="125">
        <v>60074.966999999997</v>
      </c>
      <c r="L223" s="125">
        <v>26082.375</v>
      </c>
      <c r="M223" s="125">
        <v>69061.966</v>
      </c>
      <c r="N223" s="125">
        <v>52735.925999999999</v>
      </c>
      <c r="O223" s="125">
        <v>63325.637000000002</v>
      </c>
      <c r="P223" s="154"/>
      <c r="Q223" s="154"/>
    </row>
    <row r="224" spans="1:17">
      <c r="A224" s="258"/>
      <c r="B224" s="124" t="s">
        <v>246</v>
      </c>
      <c r="C224" s="213">
        <v>0</v>
      </c>
      <c r="D224" s="213">
        <v>0</v>
      </c>
      <c r="E224" s="213">
        <v>0</v>
      </c>
      <c r="F224" s="213">
        <v>0</v>
      </c>
      <c r="G224" s="213">
        <v>0</v>
      </c>
      <c r="H224" s="213">
        <v>0</v>
      </c>
      <c r="I224" s="213">
        <v>0</v>
      </c>
      <c r="J224" s="213">
        <v>0</v>
      </c>
      <c r="K224" s="213">
        <v>0</v>
      </c>
      <c r="L224" s="213">
        <v>0</v>
      </c>
      <c r="M224" s="213">
        <v>0</v>
      </c>
      <c r="N224" s="213">
        <v>0</v>
      </c>
      <c r="O224" s="214">
        <v>0</v>
      </c>
      <c r="P224" s="154"/>
      <c r="Q224" s="154"/>
    </row>
    <row r="225" spans="1:28">
      <c r="A225" s="258"/>
      <c r="B225" s="124" t="s">
        <v>209</v>
      </c>
      <c r="C225" s="125">
        <v>0</v>
      </c>
      <c r="D225" s="125">
        <v>0</v>
      </c>
      <c r="E225" s="125">
        <v>0</v>
      </c>
      <c r="F225" s="125">
        <v>0</v>
      </c>
      <c r="G225" s="125">
        <v>0</v>
      </c>
      <c r="H225" s="125">
        <v>0</v>
      </c>
      <c r="I225" s="125">
        <v>0</v>
      </c>
      <c r="J225" s="125">
        <v>22.75</v>
      </c>
      <c r="K225" s="125">
        <v>22</v>
      </c>
      <c r="L225" s="125">
        <v>0</v>
      </c>
      <c r="M225" s="125">
        <v>0</v>
      </c>
      <c r="N225" s="125">
        <v>0</v>
      </c>
      <c r="O225" s="125">
        <v>211.4</v>
      </c>
      <c r="P225" s="154"/>
      <c r="Q225" s="154"/>
    </row>
    <row r="226" spans="1:28">
      <c r="A226" s="258"/>
      <c r="B226" s="124" t="s">
        <v>19</v>
      </c>
      <c r="C226" s="125">
        <v>23009.672999999999</v>
      </c>
      <c r="D226" s="125">
        <v>45128.546000000002</v>
      </c>
      <c r="E226" s="125">
        <v>28604.075000000001</v>
      </c>
      <c r="F226" s="125">
        <v>51705.65</v>
      </c>
      <c r="G226" s="125">
        <v>50536.925000000003</v>
      </c>
      <c r="H226" s="125">
        <v>84995.438999999998</v>
      </c>
      <c r="I226" s="125">
        <v>62327.576000000001</v>
      </c>
      <c r="J226" s="125">
        <v>66805.399999999994</v>
      </c>
      <c r="K226" s="125">
        <v>38696.474999999999</v>
      </c>
      <c r="L226" s="125">
        <v>56107.25</v>
      </c>
      <c r="M226" s="125">
        <v>28608.517</v>
      </c>
      <c r="N226" s="125">
        <v>11833.25</v>
      </c>
      <c r="O226" s="125">
        <v>35547.775999999998</v>
      </c>
      <c r="P226" s="154"/>
      <c r="Q226" s="154"/>
    </row>
    <row r="227" spans="1:28">
      <c r="A227" s="258"/>
      <c r="B227" s="124" t="s">
        <v>170</v>
      </c>
      <c r="C227" s="125">
        <v>0</v>
      </c>
      <c r="D227" s="125">
        <v>0</v>
      </c>
      <c r="E227" s="125">
        <v>0</v>
      </c>
      <c r="F227" s="125">
        <v>0</v>
      </c>
      <c r="G227" s="125">
        <v>0</v>
      </c>
      <c r="H227" s="125">
        <v>0</v>
      </c>
      <c r="I227" s="125">
        <v>0</v>
      </c>
      <c r="J227" s="125">
        <v>0</v>
      </c>
      <c r="K227" s="125">
        <v>0</v>
      </c>
      <c r="L227" s="125">
        <v>0</v>
      </c>
      <c r="M227" s="125">
        <v>0</v>
      </c>
      <c r="N227" s="125">
        <v>0</v>
      </c>
      <c r="O227" s="125">
        <v>0</v>
      </c>
      <c r="P227" s="154"/>
      <c r="Q227" s="154"/>
    </row>
    <row r="228" spans="1:28">
      <c r="A228" s="258"/>
      <c r="B228" s="124" t="s">
        <v>84</v>
      </c>
      <c r="C228" s="125">
        <v>0</v>
      </c>
      <c r="D228" s="125">
        <v>0</v>
      </c>
      <c r="E228" s="125">
        <v>0</v>
      </c>
      <c r="F228" s="125">
        <v>6955.3249999999998</v>
      </c>
      <c r="G228" s="125">
        <v>26087.775000000001</v>
      </c>
      <c r="H228" s="125">
        <v>33505.375</v>
      </c>
      <c r="I228" s="125">
        <v>36555.050000000003</v>
      </c>
      <c r="J228" s="125">
        <v>42367.775000000001</v>
      </c>
      <c r="K228" s="125">
        <v>23024.25</v>
      </c>
      <c r="L228" s="125">
        <v>44160.5</v>
      </c>
      <c r="M228" s="125">
        <v>32261.5</v>
      </c>
      <c r="N228" s="125">
        <v>35004.25</v>
      </c>
      <c r="O228" s="125">
        <v>45108.25</v>
      </c>
      <c r="P228" s="154"/>
      <c r="Q228" s="154"/>
    </row>
    <row r="229" spans="1:28">
      <c r="A229" s="258"/>
      <c r="B229" s="124" t="s">
        <v>72</v>
      </c>
      <c r="C229" s="125">
        <v>140</v>
      </c>
      <c r="D229" s="125">
        <v>0</v>
      </c>
      <c r="E229" s="125">
        <v>176.42500000000001</v>
      </c>
      <c r="F229" s="125">
        <v>415</v>
      </c>
      <c r="G229" s="125">
        <v>798.25</v>
      </c>
      <c r="H229" s="125">
        <v>703.5</v>
      </c>
      <c r="I229" s="125">
        <v>479.5</v>
      </c>
      <c r="J229" s="125">
        <v>203.75</v>
      </c>
      <c r="K229" s="125">
        <v>2702</v>
      </c>
      <c r="L229" s="125">
        <v>200.75</v>
      </c>
      <c r="M229" s="125">
        <v>0.5</v>
      </c>
      <c r="N229" s="125">
        <v>8</v>
      </c>
      <c r="O229" s="125">
        <v>350.21699999999998</v>
      </c>
      <c r="P229" s="154"/>
      <c r="Q229" s="154"/>
    </row>
    <row r="230" spans="1:28">
      <c r="A230" s="258"/>
      <c r="B230" s="124" t="s">
        <v>81</v>
      </c>
      <c r="C230" s="125">
        <v>266.00099999999998</v>
      </c>
      <c r="D230" s="125">
        <v>214.92400000000001</v>
      </c>
      <c r="E230" s="125">
        <v>268.07499999999999</v>
      </c>
      <c r="F230" s="125">
        <v>35.75</v>
      </c>
      <c r="G230" s="125">
        <v>234</v>
      </c>
      <c r="H230" s="125">
        <v>980.66600000000005</v>
      </c>
      <c r="I230" s="125">
        <v>1739.683</v>
      </c>
      <c r="J230" s="125">
        <v>3896.5160000000001</v>
      </c>
      <c r="K230" s="125">
        <v>4437.6490000000003</v>
      </c>
      <c r="L230" s="125">
        <v>3327.3</v>
      </c>
      <c r="M230" s="125">
        <v>2881.4830000000002</v>
      </c>
      <c r="N230" s="125">
        <v>2162.366</v>
      </c>
      <c r="O230" s="125">
        <v>1952.1</v>
      </c>
      <c r="P230" s="154"/>
      <c r="Q230" s="154"/>
    </row>
    <row r="231" spans="1:28">
      <c r="A231" s="258"/>
      <c r="B231" s="124" t="s">
        <v>85</v>
      </c>
      <c r="C231" s="125">
        <v>0</v>
      </c>
      <c r="D231" s="125">
        <v>0</v>
      </c>
      <c r="E231" s="125">
        <v>0</v>
      </c>
      <c r="F231" s="125">
        <v>0</v>
      </c>
      <c r="G231" s="125">
        <v>0</v>
      </c>
      <c r="H231" s="125">
        <v>0</v>
      </c>
      <c r="I231" s="125">
        <v>0</v>
      </c>
      <c r="J231" s="125">
        <v>0</v>
      </c>
      <c r="K231" s="125">
        <v>0</v>
      </c>
      <c r="L231" s="125">
        <v>0</v>
      </c>
      <c r="M231" s="125">
        <v>0</v>
      </c>
      <c r="N231" s="125">
        <v>0</v>
      </c>
      <c r="O231" s="125">
        <v>0</v>
      </c>
      <c r="P231" s="154"/>
      <c r="Q231" s="154"/>
    </row>
    <row r="232" spans="1:28">
      <c r="A232" s="258"/>
      <c r="B232" s="124" t="s">
        <v>78</v>
      </c>
      <c r="C232" s="213">
        <v>44275.593999999997</v>
      </c>
      <c r="D232" s="213">
        <v>20296.477999999999</v>
      </c>
      <c r="E232" s="213">
        <v>10034.625</v>
      </c>
      <c r="F232" s="213">
        <v>11185.225</v>
      </c>
      <c r="G232" s="213">
        <v>23892.075000000001</v>
      </c>
      <c r="H232" s="213">
        <v>63591.995999999999</v>
      </c>
      <c r="I232" s="213">
        <v>87722.982999999993</v>
      </c>
      <c r="J232" s="213">
        <v>104779.283</v>
      </c>
      <c r="K232" s="213">
        <v>99194.45</v>
      </c>
      <c r="L232" s="213">
        <v>21212.375</v>
      </c>
      <c r="M232" s="213">
        <v>83232.362999999998</v>
      </c>
      <c r="N232" s="213">
        <v>66270.042000000001</v>
      </c>
      <c r="O232" s="214">
        <v>79062.11</v>
      </c>
      <c r="P232" s="154"/>
      <c r="Q232" s="154"/>
    </row>
    <row r="233" spans="1:28">
      <c r="A233" s="258"/>
      <c r="B233" s="124" t="s">
        <v>79</v>
      </c>
      <c r="C233" s="213">
        <v>851.55</v>
      </c>
      <c r="D233" s="213">
        <v>1234.2249999999999</v>
      </c>
      <c r="E233" s="213">
        <v>817.65</v>
      </c>
      <c r="F233" s="213">
        <v>1436.25</v>
      </c>
      <c r="G233" s="213">
        <v>2461.75</v>
      </c>
      <c r="H233" s="213">
        <v>2296.4499999999998</v>
      </c>
      <c r="I233" s="213">
        <v>2136.5</v>
      </c>
      <c r="J233" s="213">
        <v>679</v>
      </c>
      <c r="K233" s="213">
        <v>1243.3</v>
      </c>
      <c r="L233" s="213">
        <v>979.75</v>
      </c>
      <c r="M233" s="213">
        <v>771.75</v>
      </c>
      <c r="N233" s="213">
        <v>1365</v>
      </c>
      <c r="O233" s="214">
        <v>807.75</v>
      </c>
      <c r="P233" s="155"/>
      <c r="Q233" s="155"/>
    </row>
    <row r="234" spans="1:28">
      <c r="A234" s="258"/>
      <c r="B234" s="124" t="s">
        <v>76</v>
      </c>
      <c r="C234" s="213">
        <v>17383.25</v>
      </c>
      <c r="D234" s="213">
        <v>19175.525000000001</v>
      </c>
      <c r="E234" s="213">
        <v>10980.45</v>
      </c>
      <c r="F234" s="213">
        <v>9205.7000000000007</v>
      </c>
      <c r="G234" s="213">
        <v>28796.799999999999</v>
      </c>
      <c r="H234" s="213">
        <v>30971.184000000001</v>
      </c>
      <c r="I234" s="213">
        <v>23083.05</v>
      </c>
      <c r="J234" s="213">
        <v>24323</v>
      </c>
      <c r="K234" s="213">
        <v>15956.517</v>
      </c>
      <c r="L234" s="213">
        <v>10532.25</v>
      </c>
      <c r="M234" s="213">
        <v>10383.450000000001</v>
      </c>
      <c r="N234" s="213">
        <v>10664.65</v>
      </c>
      <c r="O234" s="214">
        <v>13546.782999999999</v>
      </c>
      <c r="P234" s="119"/>
      <c r="Q234" s="119"/>
    </row>
    <row r="235" spans="1:28">
      <c r="A235" s="257"/>
      <c r="B235" s="185" t="s">
        <v>0</v>
      </c>
      <c r="C235" s="215">
        <v>232206.36499999999</v>
      </c>
      <c r="D235" s="215">
        <v>255756.17600000001</v>
      </c>
      <c r="E235" s="215">
        <v>173765.4</v>
      </c>
      <c r="F235" s="215">
        <v>210375.155</v>
      </c>
      <c r="G235" s="215">
        <v>361999.97499999998</v>
      </c>
      <c r="H235" s="215">
        <v>465357.5</v>
      </c>
      <c r="I235" s="215">
        <v>473304.163</v>
      </c>
      <c r="J235" s="215">
        <v>436169.891</v>
      </c>
      <c r="K235" s="215">
        <v>277421.08299999998</v>
      </c>
      <c r="L235" s="215">
        <v>207100.79999999999</v>
      </c>
      <c r="M235" s="215">
        <v>277654.71999999997</v>
      </c>
      <c r="N235" s="215">
        <v>226585.38399999999</v>
      </c>
      <c r="O235" s="216">
        <v>300968.93</v>
      </c>
      <c r="P235" s="155">
        <f>O235/C235-1</f>
        <v>0.29612696017182816</v>
      </c>
      <c r="Q235" s="155">
        <f>(O216+O235)/(C235+C216)-1</f>
        <v>0.36561406964845311</v>
      </c>
    </row>
    <row r="236" spans="1:28">
      <c r="C236" s="170"/>
      <c r="O236" s="170"/>
      <c r="P236" s="163"/>
      <c r="Q236" s="163"/>
      <c r="R236" s="163"/>
      <c r="S236" s="163"/>
      <c r="T236" s="163"/>
      <c r="U236" s="163"/>
      <c r="V236" s="163"/>
      <c r="W236" s="163"/>
      <c r="X236" s="163"/>
      <c r="Y236" s="163"/>
      <c r="Z236" s="163"/>
      <c r="AA236" s="163"/>
      <c r="AB236" s="163"/>
    </row>
    <row r="237" spans="1:28">
      <c r="O237" s="170"/>
      <c r="P237" s="163"/>
      <c r="Q237" s="163"/>
      <c r="R237" s="163"/>
      <c r="S237" s="163"/>
      <c r="T237" s="163"/>
      <c r="U237" s="163"/>
      <c r="V237" s="163"/>
      <c r="W237" s="163"/>
      <c r="X237" s="163"/>
      <c r="Y237" s="163"/>
      <c r="Z237" s="163"/>
      <c r="AA237" s="163"/>
      <c r="AB237" s="163"/>
    </row>
    <row r="238" spans="1:28">
      <c r="P238" s="163"/>
      <c r="Q238" s="163"/>
      <c r="R238" s="163"/>
      <c r="S238" s="163"/>
      <c r="T238" s="163"/>
      <c r="U238" s="163"/>
      <c r="V238" s="163"/>
      <c r="W238" s="163"/>
      <c r="X238" s="163"/>
      <c r="Y238" s="163"/>
      <c r="Z238" s="163"/>
      <c r="AA238" s="163"/>
      <c r="AB238" s="163"/>
    </row>
    <row r="239" spans="1:28">
      <c r="P239" s="163"/>
      <c r="Q239" s="163"/>
      <c r="R239" s="163"/>
      <c r="S239" s="163"/>
      <c r="T239" s="163"/>
      <c r="U239" s="163"/>
      <c r="V239" s="163"/>
      <c r="W239" s="163"/>
      <c r="X239" s="163"/>
      <c r="Y239" s="163"/>
      <c r="Z239" s="163"/>
      <c r="AA239" s="163"/>
      <c r="AB239" s="163"/>
    </row>
    <row r="240" spans="1:28">
      <c r="P240" s="163"/>
      <c r="Q240" s="163"/>
      <c r="R240" s="163"/>
      <c r="S240" s="163"/>
      <c r="T240" s="163"/>
      <c r="U240" s="163"/>
      <c r="V240" s="163"/>
      <c r="W240" s="163"/>
      <c r="X240" s="163"/>
      <c r="Y240" s="163"/>
      <c r="Z240" s="163"/>
      <c r="AA240" s="163"/>
      <c r="AB240" s="163"/>
    </row>
    <row r="241" spans="1:28">
      <c r="P241" s="163"/>
      <c r="Q241" s="163"/>
      <c r="R241" s="163"/>
      <c r="S241" s="163"/>
      <c r="T241" s="163"/>
      <c r="U241" s="163"/>
      <c r="V241" s="163"/>
      <c r="W241" s="163"/>
      <c r="X241" s="163"/>
      <c r="Y241" s="163"/>
      <c r="Z241" s="163"/>
      <c r="AA241" s="163"/>
      <c r="AB241" s="163"/>
    </row>
    <row r="242" spans="1:28">
      <c r="O242" s="170"/>
      <c r="P242" s="163"/>
      <c r="Q242" s="163"/>
      <c r="R242" s="163"/>
      <c r="S242" s="163"/>
      <c r="T242" s="163"/>
      <c r="U242" s="163"/>
      <c r="V242" s="163"/>
      <c r="W242" s="163"/>
      <c r="X242" s="163"/>
      <c r="Y242" s="163"/>
      <c r="Z242" s="163"/>
      <c r="AA242" s="163"/>
      <c r="AB242" s="163"/>
    </row>
    <row r="243" spans="1:28">
      <c r="O243" s="170"/>
      <c r="P243" s="163"/>
      <c r="Q243" s="163"/>
      <c r="R243" s="163"/>
      <c r="S243" s="163"/>
      <c r="T243" s="163"/>
      <c r="U243" s="163"/>
      <c r="V243" s="163"/>
      <c r="W243" s="163"/>
      <c r="X243" s="163"/>
      <c r="Y243" s="163"/>
      <c r="Z243" s="163"/>
      <c r="AA243" s="163"/>
      <c r="AB243" s="163"/>
    </row>
    <row r="244" spans="1:28">
      <c r="O244" s="170"/>
      <c r="P244" s="163"/>
      <c r="Q244" s="163"/>
      <c r="R244" s="163"/>
      <c r="S244" s="163"/>
      <c r="T244" s="163"/>
      <c r="U244" s="163"/>
      <c r="V244" s="163"/>
      <c r="W244" s="163"/>
      <c r="X244" s="163"/>
      <c r="Y244" s="163"/>
      <c r="Z244" s="163"/>
      <c r="AA244" s="163"/>
      <c r="AB244" s="163"/>
    </row>
    <row r="245" spans="1:28">
      <c r="P245" s="163"/>
      <c r="Q245" s="163"/>
      <c r="R245" s="163"/>
      <c r="S245" s="163"/>
      <c r="T245" s="163"/>
      <c r="U245" s="163"/>
      <c r="V245" s="163"/>
      <c r="W245" s="163"/>
      <c r="X245" s="163"/>
      <c r="Y245" s="163"/>
      <c r="Z245" s="163"/>
      <c r="AA245" s="163"/>
      <c r="AB245" s="163"/>
    </row>
    <row r="246" spans="1:28">
      <c r="P246" s="163"/>
      <c r="Q246" s="163"/>
      <c r="R246" s="163"/>
      <c r="S246" s="163"/>
      <c r="T246" s="163"/>
      <c r="U246" s="163"/>
      <c r="V246" s="163"/>
      <c r="W246" s="163"/>
      <c r="X246" s="163"/>
      <c r="Y246" s="163"/>
      <c r="Z246" s="163"/>
      <c r="AA246" s="163"/>
      <c r="AB246" s="163"/>
    </row>
    <row r="247" spans="1:28">
      <c r="O247" s="163"/>
      <c r="P247" s="163"/>
      <c r="Q247" s="163"/>
      <c r="R247" s="163"/>
      <c r="S247" s="163"/>
      <c r="T247" s="163"/>
      <c r="U247" s="163"/>
      <c r="V247" s="163"/>
      <c r="W247" s="163"/>
      <c r="X247" s="163"/>
      <c r="Y247" s="163"/>
      <c r="Z247" s="163"/>
      <c r="AA247" s="163"/>
      <c r="AB247" s="163"/>
    </row>
    <row r="248" spans="1:28">
      <c r="O248" s="163"/>
      <c r="P248" s="163"/>
      <c r="Q248" s="163"/>
      <c r="R248" s="163"/>
      <c r="S248" s="163"/>
      <c r="T248" s="163"/>
      <c r="U248" s="163"/>
      <c r="V248" s="163"/>
      <c r="W248" s="163"/>
      <c r="X248" s="163"/>
      <c r="Y248" s="163"/>
      <c r="Z248" s="163"/>
      <c r="AA248" s="163"/>
      <c r="AB248" s="163"/>
    </row>
    <row r="249" spans="1:28">
      <c r="A249" s="164"/>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row>
    <row r="250" spans="1:28">
      <c r="P250" s="163"/>
      <c r="Q250" s="163"/>
      <c r="R250" s="163"/>
      <c r="S250" s="163"/>
      <c r="T250" s="163"/>
      <c r="U250" s="163"/>
      <c r="V250" s="163"/>
      <c r="W250" s="163"/>
      <c r="X250" s="163"/>
      <c r="Y250" s="163"/>
      <c r="Z250" s="163"/>
      <c r="AA250" s="163"/>
      <c r="AB250" s="163"/>
    </row>
    <row r="251" spans="1:28">
      <c r="P251" s="163"/>
      <c r="Q251" s="163"/>
      <c r="R251" s="163"/>
      <c r="S251" s="163"/>
      <c r="T251" s="163"/>
      <c r="U251" s="163"/>
      <c r="V251" s="163"/>
      <c r="W251" s="163"/>
      <c r="X251" s="163"/>
      <c r="Y251" s="163"/>
      <c r="Z251" s="163"/>
      <c r="AA251" s="163"/>
      <c r="AB251" s="163"/>
    </row>
    <row r="252" spans="1:28">
      <c r="Q252" s="163"/>
      <c r="R252" s="163"/>
      <c r="S252" s="163"/>
      <c r="T252" s="163"/>
      <c r="U252" s="163"/>
      <c r="V252" s="163"/>
      <c r="W252" s="163"/>
      <c r="X252" s="163"/>
      <c r="Y252" s="163"/>
      <c r="Z252" s="163"/>
      <c r="AA252" s="163"/>
      <c r="AB252" s="163"/>
    </row>
    <row r="253" spans="1:28">
      <c r="Q253" s="154"/>
    </row>
    <row r="254" spans="1:28">
      <c r="Q254" s="154"/>
    </row>
    <row r="255" spans="1:28">
      <c r="Q255" s="154"/>
    </row>
    <row r="256" spans="1:28">
      <c r="A256" s="84" t="s">
        <v>174</v>
      </c>
      <c r="C256" s="166" t="str">
        <f>MID(C258,6,1)</f>
        <v>S</v>
      </c>
      <c r="D256" s="166" t="str">
        <f t="shared" ref="D256:O256" si="8">MID(D258,6,1)</f>
        <v>O</v>
      </c>
      <c r="E256" s="166" t="str">
        <f t="shared" si="8"/>
        <v>N</v>
      </c>
      <c r="F256" s="166" t="str">
        <f t="shared" si="8"/>
        <v>D</v>
      </c>
      <c r="G256" s="166" t="str">
        <f t="shared" si="8"/>
        <v>E</v>
      </c>
      <c r="H256" s="166" t="str">
        <f t="shared" si="8"/>
        <v>F</v>
      </c>
      <c r="I256" s="166" t="str">
        <f t="shared" si="8"/>
        <v>M</v>
      </c>
      <c r="J256" s="166" t="str">
        <f t="shared" si="8"/>
        <v>A</v>
      </c>
      <c r="K256" s="166" t="str">
        <f t="shared" si="8"/>
        <v>M</v>
      </c>
      <c r="L256" s="166" t="str">
        <f t="shared" si="8"/>
        <v>J</v>
      </c>
      <c r="M256" s="166" t="str">
        <f t="shared" si="8"/>
        <v>J</v>
      </c>
      <c r="N256" s="166" t="str">
        <f t="shared" si="8"/>
        <v>A</v>
      </c>
      <c r="O256" s="166" t="str">
        <f t="shared" si="8"/>
        <v>S</v>
      </c>
      <c r="Q256" s="154"/>
    </row>
    <row r="257" spans="1:17">
      <c r="A257" s="122"/>
      <c r="B257" s="122" t="s">
        <v>27</v>
      </c>
      <c r="C257" s="254" t="s">
        <v>171</v>
      </c>
      <c r="D257" s="255"/>
      <c r="E257" s="255"/>
      <c r="F257" s="255"/>
      <c r="G257" s="255"/>
      <c r="H257" s="255"/>
      <c r="I257" s="255"/>
      <c r="J257" s="255"/>
      <c r="K257" s="255"/>
      <c r="L257" s="255"/>
      <c r="M257" s="255"/>
      <c r="N257" s="255"/>
      <c r="O257" s="255"/>
      <c r="Q257" s="154"/>
    </row>
    <row r="258" spans="1:17">
      <c r="A258" s="122"/>
      <c r="B258" s="122" t="s">
        <v>86</v>
      </c>
      <c r="C258" s="212" t="s">
        <v>210</v>
      </c>
      <c r="D258" s="212" t="s">
        <v>212</v>
      </c>
      <c r="E258" s="212" t="s">
        <v>215</v>
      </c>
      <c r="F258" s="212" t="s">
        <v>217</v>
      </c>
      <c r="G258" s="212" t="s">
        <v>221</v>
      </c>
      <c r="H258" s="212" t="s">
        <v>223</v>
      </c>
      <c r="I258" s="212" t="s">
        <v>226</v>
      </c>
      <c r="J258" s="212" t="s">
        <v>236</v>
      </c>
      <c r="K258" s="212" t="s">
        <v>239</v>
      </c>
      <c r="L258" s="212" t="s">
        <v>241</v>
      </c>
      <c r="M258" s="212" t="s">
        <v>244</v>
      </c>
      <c r="N258" s="212" t="s">
        <v>247</v>
      </c>
      <c r="O258" s="211" t="s">
        <v>282</v>
      </c>
      <c r="Q258" s="154"/>
    </row>
    <row r="259" spans="1:17">
      <c r="A259" s="122" t="s">
        <v>119</v>
      </c>
      <c r="B259" s="122" t="s">
        <v>120</v>
      </c>
      <c r="C259" s="212"/>
      <c r="D259" s="212"/>
      <c r="E259" s="212"/>
      <c r="F259" s="212"/>
      <c r="G259" s="212"/>
      <c r="H259" s="212"/>
      <c r="I259" s="212"/>
      <c r="J259" s="212"/>
      <c r="K259" s="212"/>
      <c r="L259" s="212"/>
      <c r="M259" s="212"/>
      <c r="N259" s="212"/>
      <c r="O259" s="211"/>
      <c r="Q259" s="154"/>
    </row>
    <row r="260" spans="1:17">
      <c r="A260" s="256" t="s">
        <v>71</v>
      </c>
      <c r="B260" s="124" t="s">
        <v>82</v>
      </c>
      <c r="C260" s="213">
        <v>0</v>
      </c>
      <c r="D260" s="213">
        <v>0</v>
      </c>
      <c r="E260" s="213">
        <v>0</v>
      </c>
      <c r="F260" s="213">
        <v>0</v>
      </c>
      <c r="G260" s="213">
        <v>0</v>
      </c>
      <c r="H260" s="213">
        <v>0</v>
      </c>
      <c r="I260" s="213">
        <v>0</v>
      </c>
      <c r="J260" s="213">
        <v>0</v>
      </c>
      <c r="K260" s="213">
        <v>0</v>
      </c>
      <c r="L260" s="213">
        <v>0</v>
      </c>
      <c r="M260" s="213">
        <v>0</v>
      </c>
      <c r="N260" s="213">
        <v>0</v>
      </c>
      <c r="O260" s="214">
        <v>0</v>
      </c>
      <c r="Q260" s="154"/>
    </row>
    <row r="261" spans="1:17">
      <c r="A261" s="258"/>
      <c r="B261" s="124" t="s">
        <v>73</v>
      </c>
      <c r="C261" s="125">
        <v>127.5</v>
      </c>
      <c r="D261" s="125">
        <v>362</v>
      </c>
      <c r="E261" s="125">
        <v>1633</v>
      </c>
      <c r="F261" s="125">
        <v>2088.5</v>
      </c>
      <c r="G261" s="125">
        <v>693</v>
      </c>
      <c r="H261" s="125">
        <v>260</v>
      </c>
      <c r="I261" s="125">
        <v>897.77499999999998</v>
      </c>
      <c r="J261" s="125">
        <v>298.75</v>
      </c>
      <c r="K261" s="125">
        <v>0</v>
      </c>
      <c r="L261" s="125">
        <v>45</v>
      </c>
      <c r="M261" s="125">
        <v>75.974999999999994</v>
      </c>
      <c r="N261" s="125">
        <v>0</v>
      </c>
      <c r="O261" s="125">
        <v>140</v>
      </c>
      <c r="Q261" s="154"/>
    </row>
    <row r="262" spans="1:17">
      <c r="A262" s="258"/>
      <c r="B262" s="124" t="s">
        <v>23</v>
      </c>
      <c r="C262" s="125">
        <v>125756.45</v>
      </c>
      <c r="D262" s="125">
        <v>89216.125</v>
      </c>
      <c r="E262" s="125">
        <v>197862.55</v>
      </c>
      <c r="F262" s="125">
        <v>213803.25</v>
      </c>
      <c r="G262" s="125">
        <v>129121.52499999999</v>
      </c>
      <c r="H262" s="125">
        <v>119835.95</v>
      </c>
      <c r="I262" s="125">
        <v>65766.524999999994</v>
      </c>
      <c r="J262" s="125">
        <v>18888.825000000001</v>
      </c>
      <c r="K262" s="125">
        <v>20152.424999999999</v>
      </c>
      <c r="L262" s="125">
        <v>150562.97500000001</v>
      </c>
      <c r="M262" s="125">
        <v>111394.65</v>
      </c>
      <c r="N262" s="125">
        <v>161963.32500000001</v>
      </c>
      <c r="O262" s="125">
        <v>74319.425000000003</v>
      </c>
      <c r="P262" s="154"/>
      <c r="Q262" s="154"/>
    </row>
    <row r="263" spans="1:17">
      <c r="A263" s="258"/>
      <c r="B263" s="124" t="s">
        <v>80</v>
      </c>
      <c r="C263" s="125">
        <v>14.25</v>
      </c>
      <c r="D263" s="125">
        <v>24.5</v>
      </c>
      <c r="E263" s="125">
        <v>6</v>
      </c>
      <c r="F263" s="125">
        <v>2.75</v>
      </c>
      <c r="G263" s="125">
        <v>0</v>
      </c>
      <c r="H263" s="125">
        <v>0</v>
      </c>
      <c r="I263" s="125">
        <v>99.275000000000006</v>
      </c>
      <c r="J263" s="125">
        <v>7.25</v>
      </c>
      <c r="K263" s="125">
        <v>35.174999999999997</v>
      </c>
      <c r="L263" s="125">
        <v>74.724999999999994</v>
      </c>
      <c r="M263" s="125">
        <v>111</v>
      </c>
      <c r="N263" s="125">
        <v>60.625</v>
      </c>
      <c r="O263" s="125">
        <v>75.25</v>
      </c>
      <c r="P263" s="154"/>
      <c r="Q263" s="154"/>
    </row>
    <row r="264" spans="1:17">
      <c r="A264" s="258"/>
      <c r="B264" s="124" t="s">
        <v>74</v>
      </c>
      <c r="C264" s="125">
        <v>7439.25</v>
      </c>
      <c r="D264" s="125">
        <v>12368</v>
      </c>
      <c r="E264" s="125">
        <v>6237.75</v>
      </c>
      <c r="F264" s="125">
        <v>7032</v>
      </c>
      <c r="G264" s="125">
        <v>12204.95</v>
      </c>
      <c r="H264" s="125">
        <v>6649.75</v>
      </c>
      <c r="I264" s="125">
        <v>13922</v>
      </c>
      <c r="J264" s="125">
        <v>7157.5749999999998</v>
      </c>
      <c r="K264" s="125">
        <v>13771.375</v>
      </c>
      <c r="L264" s="125">
        <v>10233.450000000001</v>
      </c>
      <c r="M264" s="125">
        <v>3364.5</v>
      </c>
      <c r="N264" s="125">
        <v>4842.1000000000004</v>
      </c>
      <c r="O264" s="125">
        <v>4681.25</v>
      </c>
      <c r="P264" s="154"/>
      <c r="Q264" s="154"/>
    </row>
    <row r="265" spans="1:17">
      <c r="A265" s="258"/>
      <c r="B265" s="124" t="s">
        <v>83</v>
      </c>
      <c r="C265" s="125">
        <v>0</v>
      </c>
      <c r="D265" s="125">
        <v>0</v>
      </c>
      <c r="E265" s="125">
        <v>0</v>
      </c>
      <c r="F265" s="125">
        <v>0</v>
      </c>
      <c r="G265" s="125">
        <v>0</v>
      </c>
      <c r="H265" s="125">
        <v>0</v>
      </c>
      <c r="I265" s="125">
        <v>0</v>
      </c>
      <c r="J265" s="125">
        <v>0</v>
      </c>
      <c r="K265" s="125">
        <v>0</v>
      </c>
      <c r="L265" s="125">
        <v>0</v>
      </c>
      <c r="M265" s="125">
        <v>0</v>
      </c>
      <c r="N265" s="125">
        <v>0</v>
      </c>
      <c r="O265" s="125">
        <v>0</v>
      </c>
      <c r="P265" s="155"/>
      <c r="Q265" s="154"/>
    </row>
    <row r="266" spans="1:17">
      <c r="A266" s="258"/>
      <c r="B266" s="124" t="s">
        <v>77</v>
      </c>
      <c r="C266" s="125">
        <v>10297.075000000001</v>
      </c>
      <c r="D266" s="125">
        <v>17407.400000000001</v>
      </c>
      <c r="E266" s="125">
        <v>18914.650000000001</v>
      </c>
      <c r="F266" s="125">
        <v>19104.8</v>
      </c>
      <c r="G266" s="125">
        <v>19423.2</v>
      </c>
      <c r="H266" s="125">
        <v>12835.85</v>
      </c>
      <c r="I266" s="125">
        <v>17127.724999999999</v>
      </c>
      <c r="J266" s="125">
        <v>14921.8</v>
      </c>
      <c r="K266" s="125">
        <v>16516.95</v>
      </c>
      <c r="L266" s="125">
        <v>18618.8</v>
      </c>
      <c r="M266" s="125">
        <v>14987.65</v>
      </c>
      <c r="N266" s="125">
        <v>13106.95</v>
      </c>
      <c r="O266" s="125">
        <v>8238.0249999999996</v>
      </c>
      <c r="P266" s="154"/>
      <c r="Q266" s="154"/>
    </row>
    <row r="267" spans="1:17">
      <c r="A267" s="258"/>
      <c r="B267" s="124" t="s">
        <v>246</v>
      </c>
      <c r="C267" s="125">
        <v>0</v>
      </c>
      <c r="D267" s="125">
        <v>0</v>
      </c>
      <c r="E267" s="125">
        <v>0</v>
      </c>
      <c r="F267" s="125">
        <v>0</v>
      </c>
      <c r="G267" s="125">
        <v>0</v>
      </c>
      <c r="H267" s="125">
        <v>0</v>
      </c>
      <c r="I267" s="125">
        <v>0</v>
      </c>
      <c r="J267" s="125">
        <v>0</v>
      </c>
      <c r="K267" s="125">
        <v>0</v>
      </c>
      <c r="L267" s="125">
        <v>0</v>
      </c>
      <c r="M267" s="125">
        <v>0</v>
      </c>
      <c r="N267" s="125">
        <v>0</v>
      </c>
      <c r="O267" s="125">
        <v>0</v>
      </c>
      <c r="P267" s="154"/>
      <c r="Q267" s="154"/>
    </row>
    <row r="268" spans="1:17">
      <c r="A268" s="258"/>
      <c r="B268" s="124" t="s">
        <v>209</v>
      </c>
      <c r="C268" s="125">
        <v>0</v>
      </c>
      <c r="D268" s="125">
        <v>0</v>
      </c>
      <c r="E268" s="125">
        <v>0</v>
      </c>
      <c r="F268" s="125">
        <v>0</v>
      </c>
      <c r="G268" s="125">
        <v>0</v>
      </c>
      <c r="H268" s="125">
        <v>0</v>
      </c>
      <c r="I268" s="125">
        <v>0</v>
      </c>
      <c r="J268" s="125">
        <v>0</v>
      </c>
      <c r="K268" s="125">
        <v>0</v>
      </c>
      <c r="L268" s="125">
        <v>0</v>
      </c>
      <c r="M268" s="125">
        <v>0</v>
      </c>
      <c r="N268" s="125">
        <v>0</v>
      </c>
      <c r="O268" s="125">
        <v>0.57499999999999996</v>
      </c>
      <c r="P268" s="154"/>
      <c r="Q268" s="154"/>
    </row>
    <row r="269" spans="1:17">
      <c r="A269" s="258"/>
      <c r="B269" s="124" t="s">
        <v>19</v>
      </c>
      <c r="C269" s="125">
        <v>15957.25</v>
      </c>
      <c r="D269" s="125">
        <v>25102.724999999999</v>
      </c>
      <c r="E269" s="125">
        <v>20039.8</v>
      </c>
      <c r="F269" s="125">
        <v>26686.775000000001</v>
      </c>
      <c r="G269" s="125">
        <v>30557.85</v>
      </c>
      <c r="H269" s="125">
        <v>23615.575000000001</v>
      </c>
      <c r="I269" s="125">
        <v>26903.4</v>
      </c>
      <c r="J269" s="125">
        <v>24686.325000000001</v>
      </c>
      <c r="K269" s="125">
        <v>20361.7</v>
      </c>
      <c r="L269" s="125">
        <v>15819.9</v>
      </c>
      <c r="M269" s="125">
        <v>27721.9</v>
      </c>
      <c r="N269" s="125">
        <v>27274.55</v>
      </c>
      <c r="O269" s="125">
        <v>9782.4750000000004</v>
      </c>
      <c r="P269" s="154"/>
      <c r="Q269" s="154"/>
    </row>
    <row r="270" spans="1:17">
      <c r="A270" s="258"/>
      <c r="B270" s="124" t="s">
        <v>170</v>
      </c>
      <c r="C270" s="125">
        <v>0</v>
      </c>
      <c r="D270" s="125">
        <v>0</v>
      </c>
      <c r="E270" s="125">
        <v>0</v>
      </c>
      <c r="F270" s="125">
        <v>0</v>
      </c>
      <c r="G270" s="125">
        <v>0</v>
      </c>
      <c r="H270" s="125">
        <v>0</v>
      </c>
      <c r="I270" s="125">
        <v>0</v>
      </c>
      <c r="J270" s="125">
        <v>0</v>
      </c>
      <c r="K270" s="125">
        <v>0</v>
      </c>
      <c r="L270" s="125">
        <v>0</v>
      </c>
      <c r="M270" s="125">
        <v>0</v>
      </c>
      <c r="N270" s="125">
        <v>0</v>
      </c>
      <c r="O270" s="125">
        <v>0</v>
      </c>
      <c r="P270" s="154"/>
      <c r="Q270" s="154"/>
    </row>
    <row r="271" spans="1:17">
      <c r="A271" s="258"/>
      <c r="B271" s="124" t="s">
        <v>84</v>
      </c>
      <c r="C271" s="125">
        <v>0</v>
      </c>
      <c r="D271" s="125">
        <v>0</v>
      </c>
      <c r="E271" s="125">
        <v>0</v>
      </c>
      <c r="F271" s="125">
        <v>0</v>
      </c>
      <c r="G271" s="125">
        <v>0</v>
      </c>
      <c r="H271" s="125">
        <v>0</v>
      </c>
      <c r="I271" s="125">
        <v>0</v>
      </c>
      <c r="J271" s="125">
        <v>0</v>
      </c>
      <c r="K271" s="125">
        <v>0</v>
      </c>
      <c r="L271" s="125">
        <v>0</v>
      </c>
      <c r="M271" s="125">
        <v>0</v>
      </c>
      <c r="N271" s="125">
        <v>0</v>
      </c>
      <c r="O271" s="125">
        <v>0</v>
      </c>
      <c r="P271" s="154"/>
      <c r="Q271" s="154"/>
    </row>
    <row r="272" spans="1:17">
      <c r="A272" s="258"/>
      <c r="B272" s="124" t="s">
        <v>72</v>
      </c>
      <c r="C272" s="125">
        <v>0</v>
      </c>
      <c r="D272" s="125">
        <v>0</v>
      </c>
      <c r="E272" s="125">
        <v>119.52500000000001</v>
      </c>
      <c r="F272" s="125">
        <v>15.75</v>
      </c>
      <c r="G272" s="125">
        <v>369.95</v>
      </c>
      <c r="H272" s="125">
        <v>0</v>
      </c>
      <c r="I272" s="125">
        <v>384.25</v>
      </c>
      <c r="J272" s="125">
        <v>324.5</v>
      </c>
      <c r="K272" s="125">
        <v>1562.875</v>
      </c>
      <c r="L272" s="125">
        <v>1112.175</v>
      </c>
      <c r="M272" s="125">
        <v>171.25</v>
      </c>
      <c r="N272" s="125">
        <v>85</v>
      </c>
      <c r="O272" s="125">
        <v>0.25</v>
      </c>
      <c r="P272" s="154"/>
      <c r="Q272" s="154"/>
    </row>
    <row r="273" spans="1:18">
      <c r="A273" s="258"/>
      <c r="B273" s="124" t="s">
        <v>81</v>
      </c>
      <c r="C273" s="125">
        <v>2</v>
      </c>
      <c r="D273" s="125">
        <v>10</v>
      </c>
      <c r="E273" s="125">
        <v>0</v>
      </c>
      <c r="F273" s="125">
        <v>0</v>
      </c>
      <c r="G273" s="125">
        <v>0</v>
      </c>
      <c r="H273" s="125">
        <v>28</v>
      </c>
      <c r="I273" s="125">
        <v>266.25</v>
      </c>
      <c r="J273" s="125">
        <v>44.25</v>
      </c>
      <c r="K273" s="125">
        <v>17.75</v>
      </c>
      <c r="L273" s="125">
        <v>4</v>
      </c>
      <c r="M273" s="125">
        <v>3</v>
      </c>
      <c r="N273" s="125">
        <v>46.25</v>
      </c>
      <c r="O273" s="125">
        <v>10.75</v>
      </c>
      <c r="P273" s="154"/>
      <c r="Q273" s="154"/>
    </row>
    <row r="274" spans="1:18">
      <c r="A274" s="258"/>
      <c r="B274" s="124" t="s">
        <v>85</v>
      </c>
      <c r="C274" s="125">
        <v>0</v>
      </c>
      <c r="D274" s="125">
        <v>0</v>
      </c>
      <c r="E274" s="125">
        <v>0</v>
      </c>
      <c r="F274" s="125">
        <v>0</v>
      </c>
      <c r="G274" s="125">
        <v>0</v>
      </c>
      <c r="H274" s="125">
        <v>0</v>
      </c>
      <c r="I274" s="125">
        <v>0</v>
      </c>
      <c r="J274" s="125">
        <v>0</v>
      </c>
      <c r="K274" s="125">
        <v>0</v>
      </c>
      <c r="L274" s="125">
        <v>0</v>
      </c>
      <c r="M274" s="125">
        <v>0</v>
      </c>
      <c r="N274" s="125">
        <v>0</v>
      </c>
      <c r="O274" s="125">
        <v>0</v>
      </c>
      <c r="P274" s="154"/>
      <c r="Q274" s="154"/>
    </row>
    <row r="275" spans="1:18">
      <c r="A275" s="258"/>
      <c r="B275" s="124" t="s">
        <v>78</v>
      </c>
      <c r="C275" s="125">
        <v>3986.1750000000002</v>
      </c>
      <c r="D275" s="125">
        <v>5834.9250000000002</v>
      </c>
      <c r="E275" s="125">
        <v>8104.85</v>
      </c>
      <c r="F275" s="125">
        <v>5803.45</v>
      </c>
      <c r="G275" s="125">
        <v>4828.8</v>
      </c>
      <c r="H275" s="125">
        <v>5984.15</v>
      </c>
      <c r="I275" s="125">
        <v>6692.5249999999996</v>
      </c>
      <c r="J275" s="125">
        <v>4274.6750000000002</v>
      </c>
      <c r="K275" s="125">
        <v>6754.4</v>
      </c>
      <c r="L275" s="125">
        <v>14755.35</v>
      </c>
      <c r="M275" s="125">
        <v>7808.2749999999996</v>
      </c>
      <c r="N275" s="125">
        <v>13868.125</v>
      </c>
      <c r="O275" s="125">
        <v>5893.8</v>
      </c>
      <c r="P275" s="154"/>
      <c r="Q275" s="154"/>
    </row>
    <row r="276" spans="1:18">
      <c r="A276" s="258"/>
      <c r="B276" s="124" t="s">
        <v>79</v>
      </c>
      <c r="C276" s="125">
        <v>100.75</v>
      </c>
      <c r="D276" s="125">
        <v>79.5</v>
      </c>
      <c r="E276" s="125">
        <v>169</v>
      </c>
      <c r="F276" s="125">
        <v>76.75</v>
      </c>
      <c r="G276" s="125">
        <v>103.5</v>
      </c>
      <c r="H276" s="125">
        <v>86</v>
      </c>
      <c r="I276" s="125">
        <v>265.75</v>
      </c>
      <c r="J276" s="125">
        <v>984</v>
      </c>
      <c r="K276" s="125">
        <v>815.25</v>
      </c>
      <c r="L276" s="125">
        <v>770.25</v>
      </c>
      <c r="M276" s="125">
        <v>864.57500000000005</v>
      </c>
      <c r="N276" s="125">
        <v>907.3</v>
      </c>
      <c r="O276" s="125">
        <v>575.5</v>
      </c>
      <c r="P276" s="154"/>
      <c r="Q276" s="154"/>
    </row>
    <row r="277" spans="1:18">
      <c r="A277" s="258"/>
      <c r="B277" s="124" t="s">
        <v>76</v>
      </c>
      <c r="C277" s="125">
        <v>25155.45</v>
      </c>
      <c r="D277" s="125">
        <v>19543.974999999999</v>
      </c>
      <c r="E277" s="125">
        <v>11408.825000000001</v>
      </c>
      <c r="F277" s="125">
        <v>14501.075000000001</v>
      </c>
      <c r="G277" s="125">
        <v>15439.674999999999</v>
      </c>
      <c r="H277" s="125">
        <v>8457.2749999999996</v>
      </c>
      <c r="I277" s="125">
        <v>13758.475</v>
      </c>
      <c r="J277" s="125">
        <v>13137.825000000001</v>
      </c>
      <c r="K277" s="125">
        <v>16514.55</v>
      </c>
      <c r="L277" s="125">
        <v>15115.8</v>
      </c>
      <c r="M277" s="125">
        <v>6738.7</v>
      </c>
      <c r="N277" s="125">
        <v>19303.125</v>
      </c>
      <c r="O277" s="125">
        <v>6517.85</v>
      </c>
      <c r="P277" s="155"/>
      <c r="Q277" s="155"/>
    </row>
    <row r="278" spans="1:18">
      <c r="A278" s="257"/>
      <c r="B278" s="185" t="s">
        <v>0</v>
      </c>
      <c r="C278" s="225">
        <v>188836.15</v>
      </c>
      <c r="D278" s="225">
        <v>169949.15</v>
      </c>
      <c r="E278" s="225">
        <v>264495.95</v>
      </c>
      <c r="F278" s="225">
        <v>289115.09999999998</v>
      </c>
      <c r="G278" s="225">
        <v>212742.45</v>
      </c>
      <c r="H278" s="225">
        <v>177752.55</v>
      </c>
      <c r="I278" s="225">
        <v>146083.95000000001</v>
      </c>
      <c r="J278" s="225">
        <v>84725.774999999994</v>
      </c>
      <c r="K278" s="225">
        <v>96502.45</v>
      </c>
      <c r="L278" s="225">
        <v>227112.42499999999</v>
      </c>
      <c r="M278" s="225">
        <v>173241.47500000001</v>
      </c>
      <c r="N278" s="225">
        <v>241457.35</v>
      </c>
      <c r="O278" s="225">
        <v>110235.15</v>
      </c>
      <c r="P278" s="155">
        <f>O278/C278-1</f>
        <v>-0.41623915759773755</v>
      </c>
      <c r="Q278" s="155"/>
    </row>
    <row r="279" spans="1:18">
      <c r="A279" s="260" t="s">
        <v>75</v>
      </c>
      <c r="B279" s="124" t="s">
        <v>82</v>
      </c>
      <c r="C279" s="213">
        <v>0</v>
      </c>
      <c r="D279" s="213">
        <v>0</v>
      </c>
      <c r="E279" s="213">
        <v>0</v>
      </c>
      <c r="F279" s="213">
        <v>0</v>
      </c>
      <c r="G279" s="213">
        <v>0</v>
      </c>
      <c r="H279" s="213">
        <v>0</v>
      </c>
      <c r="I279" s="213">
        <v>0</v>
      </c>
      <c r="J279" s="213">
        <v>0</v>
      </c>
      <c r="K279" s="213">
        <v>0</v>
      </c>
      <c r="L279" s="213">
        <v>0</v>
      </c>
      <c r="M279" s="213">
        <v>0</v>
      </c>
      <c r="N279" s="213">
        <v>0</v>
      </c>
      <c r="O279" s="214">
        <v>0</v>
      </c>
    </row>
    <row r="280" spans="1:18">
      <c r="A280" s="258"/>
      <c r="B280" s="124" t="s">
        <v>73</v>
      </c>
      <c r="C280" s="125">
        <v>406</v>
      </c>
      <c r="D280" s="125">
        <v>833.8</v>
      </c>
      <c r="E280" s="125">
        <v>128.25</v>
      </c>
      <c r="F280" s="125">
        <v>200.75</v>
      </c>
      <c r="G280" s="125">
        <v>810</v>
      </c>
      <c r="H280" s="125">
        <v>132</v>
      </c>
      <c r="I280" s="125">
        <v>28.75</v>
      </c>
      <c r="J280" s="125">
        <v>155.75</v>
      </c>
      <c r="K280" s="125">
        <v>0</v>
      </c>
      <c r="L280" s="125">
        <v>11.5</v>
      </c>
      <c r="M280" s="125">
        <v>0</v>
      </c>
      <c r="N280" s="125">
        <v>0</v>
      </c>
      <c r="O280" s="125">
        <v>0</v>
      </c>
    </row>
    <row r="281" spans="1:18">
      <c r="A281" s="258"/>
      <c r="B281" s="124" t="s">
        <v>23</v>
      </c>
      <c r="C281" s="125">
        <v>23707.275000000001</v>
      </c>
      <c r="D281" s="125">
        <v>20838.625</v>
      </c>
      <c r="E281" s="125">
        <v>20258.349999999999</v>
      </c>
      <c r="F281" s="125">
        <v>23259.55</v>
      </c>
      <c r="G281" s="125">
        <v>40918.074999999997</v>
      </c>
      <c r="H281" s="125">
        <v>55261.525000000001</v>
      </c>
      <c r="I281" s="125">
        <v>35693.599999999999</v>
      </c>
      <c r="J281" s="125">
        <v>15588.025</v>
      </c>
      <c r="K281" s="125">
        <v>9638.65</v>
      </c>
      <c r="L281" s="125">
        <v>14278.375</v>
      </c>
      <c r="M281" s="125">
        <v>13517.6</v>
      </c>
      <c r="N281" s="125">
        <v>17210.974999999999</v>
      </c>
      <c r="O281" s="125">
        <v>26083.525000000001</v>
      </c>
      <c r="P281" s="163"/>
      <c r="Q281" s="163"/>
      <c r="R281" s="163"/>
    </row>
    <row r="282" spans="1:18">
      <c r="A282" s="258"/>
      <c r="B282" s="124" t="s">
        <v>80</v>
      </c>
      <c r="C282" s="125">
        <v>336.55</v>
      </c>
      <c r="D282" s="125">
        <v>485.85</v>
      </c>
      <c r="E282" s="125">
        <v>367.02499999999998</v>
      </c>
      <c r="F282" s="125">
        <v>136.5</v>
      </c>
      <c r="G282" s="125">
        <v>765.1</v>
      </c>
      <c r="H282" s="125">
        <v>17</v>
      </c>
      <c r="I282" s="125">
        <v>461.27499999999998</v>
      </c>
      <c r="J282" s="125">
        <v>424</v>
      </c>
      <c r="K282" s="125">
        <v>44.6</v>
      </c>
      <c r="L282" s="125">
        <v>142.15</v>
      </c>
      <c r="M282" s="125">
        <v>382.25</v>
      </c>
      <c r="N282" s="125">
        <v>334.7</v>
      </c>
      <c r="O282" s="125">
        <v>675.3</v>
      </c>
      <c r="P282" s="163"/>
      <c r="Q282" s="163"/>
      <c r="R282" s="163"/>
    </row>
    <row r="283" spans="1:18">
      <c r="A283" s="258"/>
      <c r="B283" s="124" t="s">
        <v>74</v>
      </c>
      <c r="C283" s="125">
        <v>57096.4</v>
      </c>
      <c r="D283" s="125">
        <v>57520.25</v>
      </c>
      <c r="E283" s="125">
        <v>40508.199999999997</v>
      </c>
      <c r="F283" s="125">
        <v>40637.15</v>
      </c>
      <c r="G283" s="125">
        <v>50389.4</v>
      </c>
      <c r="H283" s="125">
        <v>53214.7</v>
      </c>
      <c r="I283" s="125">
        <v>66433.399999999994</v>
      </c>
      <c r="J283" s="125">
        <v>60650.9</v>
      </c>
      <c r="K283" s="125">
        <v>30223.3</v>
      </c>
      <c r="L283" s="125">
        <v>10803.025</v>
      </c>
      <c r="M283" s="125">
        <v>29063.4</v>
      </c>
      <c r="N283" s="125">
        <v>33584.800000000003</v>
      </c>
      <c r="O283" s="125">
        <v>50212.175000000003</v>
      </c>
      <c r="P283" s="163"/>
      <c r="Q283" s="163"/>
      <c r="R283" s="163"/>
    </row>
    <row r="284" spans="1:18">
      <c r="A284" s="258"/>
      <c r="B284" s="124" t="s">
        <v>83</v>
      </c>
      <c r="C284" s="125">
        <v>0</v>
      </c>
      <c r="D284" s="125">
        <v>0</v>
      </c>
      <c r="E284" s="125">
        <v>0</v>
      </c>
      <c r="F284" s="125">
        <v>0</v>
      </c>
      <c r="G284" s="125">
        <v>0</v>
      </c>
      <c r="H284" s="125">
        <v>0</v>
      </c>
      <c r="I284" s="125">
        <v>0</v>
      </c>
      <c r="J284" s="125">
        <v>0</v>
      </c>
      <c r="K284" s="125">
        <v>0</v>
      </c>
      <c r="L284" s="125">
        <v>0</v>
      </c>
      <c r="M284" s="125">
        <v>0</v>
      </c>
      <c r="N284" s="125">
        <v>0</v>
      </c>
      <c r="O284" s="125">
        <v>0</v>
      </c>
      <c r="P284" s="163"/>
      <c r="Q284" s="163"/>
      <c r="R284" s="163"/>
    </row>
    <row r="285" spans="1:18">
      <c r="A285" s="258"/>
      <c r="B285" s="124" t="s">
        <v>77</v>
      </c>
      <c r="C285" s="125">
        <v>162821.57500000001</v>
      </c>
      <c r="D285" s="125">
        <v>154544.22500000001</v>
      </c>
      <c r="E285" s="125">
        <v>104938.175</v>
      </c>
      <c r="F285" s="125">
        <v>76241.225000000006</v>
      </c>
      <c r="G285" s="125">
        <v>101824.35</v>
      </c>
      <c r="H285" s="125">
        <v>121282.75</v>
      </c>
      <c r="I285" s="125">
        <v>183823.9</v>
      </c>
      <c r="J285" s="125">
        <v>142915.9</v>
      </c>
      <c r="K285" s="125">
        <v>40362.474999999999</v>
      </c>
      <c r="L285" s="125">
        <v>27645.625</v>
      </c>
      <c r="M285" s="125">
        <v>78708.975000000006</v>
      </c>
      <c r="N285" s="125">
        <v>84855.975000000006</v>
      </c>
      <c r="O285" s="125">
        <v>132430.125</v>
      </c>
      <c r="P285" s="163"/>
      <c r="Q285" s="163"/>
      <c r="R285" s="163"/>
    </row>
    <row r="286" spans="1:18">
      <c r="A286" s="258"/>
      <c r="B286" s="124" t="s">
        <v>246</v>
      </c>
      <c r="C286" s="125">
        <v>0</v>
      </c>
      <c r="D286" s="125">
        <v>0</v>
      </c>
      <c r="E286" s="125">
        <v>0</v>
      </c>
      <c r="F286" s="125">
        <v>0</v>
      </c>
      <c r="G286" s="125">
        <v>0</v>
      </c>
      <c r="H286" s="125">
        <v>0</v>
      </c>
      <c r="I286" s="125">
        <v>0</v>
      </c>
      <c r="J286" s="125">
        <v>0</v>
      </c>
      <c r="K286" s="125">
        <v>0</v>
      </c>
      <c r="L286" s="125">
        <v>0</v>
      </c>
      <c r="M286" s="125">
        <v>0</v>
      </c>
      <c r="N286" s="125">
        <v>0</v>
      </c>
      <c r="O286" s="125">
        <v>0</v>
      </c>
      <c r="P286" s="163"/>
      <c r="Q286" s="163"/>
      <c r="R286" s="163"/>
    </row>
    <row r="287" spans="1:18">
      <c r="A287" s="258"/>
      <c r="B287" s="124" t="s">
        <v>209</v>
      </c>
      <c r="C287" s="125">
        <v>0</v>
      </c>
      <c r="D287" s="125">
        <v>0</v>
      </c>
      <c r="E287" s="125">
        <v>0</v>
      </c>
      <c r="F287" s="125">
        <v>0</v>
      </c>
      <c r="G287" s="125">
        <v>0</v>
      </c>
      <c r="H287" s="125">
        <v>0</v>
      </c>
      <c r="I287" s="125">
        <v>0</v>
      </c>
      <c r="J287" s="125">
        <v>27</v>
      </c>
      <c r="K287" s="125">
        <v>41.875</v>
      </c>
      <c r="L287" s="125">
        <v>0</v>
      </c>
      <c r="M287" s="125">
        <v>0</v>
      </c>
      <c r="N287" s="125">
        <v>0</v>
      </c>
      <c r="O287" s="125">
        <v>594.22500000000002</v>
      </c>
      <c r="P287" s="163"/>
      <c r="Q287" s="163"/>
      <c r="R287" s="163"/>
    </row>
    <row r="288" spans="1:18">
      <c r="A288" s="258"/>
      <c r="B288" s="124" t="s">
        <v>19</v>
      </c>
      <c r="C288" s="125">
        <v>29122.674999999999</v>
      </c>
      <c r="D288" s="125">
        <v>48937.175000000003</v>
      </c>
      <c r="E288" s="125">
        <v>28066.5</v>
      </c>
      <c r="F288" s="125">
        <v>55051.875</v>
      </c>
      <c r="G288" s="125">
        <v>49899.25</v>
      </c>
      <c r="H288" s="125">
        <v>69284.95</v>
      </c>
      <c r="I288" s="125">
        <v>84328.975000000006</v>
      </c>
      <c r="J288" s="125">
        <v>66921.95</v>
      </c>
      <c r="K288" s="125">
        <v>28568.724999999999</v>
      </c>
      <c r="L288" s="125">
        <v>34246.75</v>
      </c>
      <c r="M288" s="125">
        <v>23127.05</v>
      </c>
      <c r="N288" s="125">
        <v>12644.575000000001</v>
      </c>
      <c r="O288" s="125">
        <v>32428.275000000001</v>
      </c>
      <c r="P288" s="163"/>
      <c r="Q288" s="163"/>
      <c r="R288" s="163"/>
    </row>
    <row r="289" spans="1:18">
      <c r="A289" s="258"/>
      <c r="B289" s="124" t="s">
        <v>170</v>
      </c>
      <c r="C289" s="125">
        <v>0</v>
      </c>
      <c r="D289" s="125">
        <v>0</v>
      </c>
      <c r="E289" s="125">
        <v>0</v>
      </c>
      <c r="F289" s="125">
        <v>0</v>
      </c>
      <c r="G289" s="125">
        <v>0</v>
      </c>
      <c r="H289" s="125">
        <v>0</v>
      </c>
      <c r="I289" s="125">
        <v>0</v>
      </c>
      <c r="J289" s="125">
        <v>0</v>
      </c>
      <c r="K289" s="125">
        <v>0</v>
      </c>
      <c r="L289" s="125">
        <v>0</v>
      </c>
      <c r="M289" s="125">
        <v>0</v>
      </c>
      <c r="N289" s="125">
        <v>0</v>
      </c>
      <c r="O289" s="125">
        <v>0</v>
      </c>
      <c r="P289" s="163"/>
      <c r="Q289" s="163"/>
      <c r="R289" s="163"/>
    </row>
    <row r="290" spans="1:18">
      <c r="A290" s="258"/>
      <c r="B290" s="124" t="s">
        <v>84</v>
      </c>
      <c r="C290" s="125">
        <v>0</v>
      </c>
      <c r="D290" s="125">
        <v>0</v>
      </c>
      <c r="E290" s="125">
        <v>0</v>
      </c>
      <c r="F290" s="125">
        <v>0</v>
      </c>
      <c r="G290" s="125">
        <v>0</v>
      </c>
      <c r="H290" s="125">
        <v>0</v>
      </c>
      <c r="I290" s="125">
        <v>0</v>
      </c>
      <c r="J290" s="125">
        <v>0</v>
      </c>
      <c r="K290" s="125">
        <v>0</v>
      </c>
      <c r="L290" s="125">
        <v>0</v>
      </c>
      <c r="M290" s="125">
        <v>0</v>
      </c>
      <c r="N290" s="125">
        <v>0</v>
      </c>
      <c r="O290" s="125">
        <v>0</v>
      </c>
      <c r="P290" s="163"/>
      <c r="Q290" s="163"/>
      <c r="R290" s="163"/>
    </row>
    <row r="291" spans="1:18">
      <c r="A291" s="258"/>
      <c r="B291" s="124" t="s">
        <v>72</v>
      </c>
      <c r="C291" s="125">
        <v>120</v>
      </c>
      <c r="D291" s="125">
        <v>0</v>
      </c>
      <c r="E291" s="125">
        <v>175.97499999999999</v>
      </c>
      <c r="F291" s="125">
        <v>243.75</v>
      </c>
      <c r="G291" s="125">
        <v>855.6</v>
      </c>
      <c r="H291" s="125">
        <v>2488.5</v>
      </c>
      <c r="I291" s="125">
        <v>368.6</v>
      </c>
      <c r="J291" s="125">
        <v>1670.625</v>
      </c>
      <c r="K291" s="125">
        <v>4390.55</v>
      </c>
      <c r="L291" s="125">
        <v>1115.9000000000001</v>
      </c>
      <c r="M291" s="125">
        <v>0</v>
      </c>
      <c r="N291" s="125">
        <v>33</v>
      </c>
      <c r="O291" s="125">
        <v>321.97500000000002</v>
      </c>
      <c r="P291" s="163"/>
      <c r="Q291" s="163"/>
      <c r="R291" s="163"/>
    </row>
    <row r="292" spans="1:18">
      <c r="A292" s="258"/>
      <c r="B292" s="124" t="s">
        <v>81</v>
      </c>
      <c r="C292" s="125">
        <v>335.75</v>
      </c>
      <c r="D292" s="125">
        <v>196.5</v>
      </c>
      <c r="E292" s="125">
        <v>252</v>
      </c>
      <c r="F292" s="125">
        <v>18</v>
      </c>
      <c r="G292" s="125">
        <v>51</v>
      </c>
      <c r="H292" s="125">
        <v>147</v>
      </c>
      <c r="I292" s="125">
        <v>6</v>
      </c>
      <c r="J292" s="125">
        <v>406.75</v>
      </c>
      <c r="K292" s="125">
        <v>112</v>
      </c>
      <c r="L292" s="125">
        <v>60</v>
      </c>
      <c r="M292" s="125">
        <v>17.5</v>
      </c>
      <c r="N292" s="125">
        <v>210</v>
      </c>
      <c r="O292" s="125">
        <v>36</v>
      </c>
      <c r="P292" s="163"/>
      <c r="Q292" s="163"/>
      <c r="R292" s="163"/>
    </row>
    <row r="293" spans="1:18">
      <c r="A293" s="258"/>
      <c r="B293" s="124" t="s">
        <v>85</v>
      </c>
      <c r="C293" s="125">
        <v>0</v>
      </c>
      <c r="D293" s="125">
        <v>0</v>
      </c>
      <c r="E293" s="125">
        <v>0</v>
      </c>
      <c r="F293" s="125">
        <v>0</v>
      </c>
      <c r="G293" s="125">
        <v>0</v>
      </c>
      <c r="H293" s="125">
        <v>0</v>
      </c>
      <c r="I293" s="125">
        <v>0</v>
      </c>
      <c r="J293" s="125">
        <v>0</v>
      </c>
      <c r="K293" s="125">
        <v>0</v>
      </c>
      <c r="L293" s="125">
        <v>0</v>
      </c>
      <c r="M293" s="125">
        <v>0</v>
      </c>
      <c r="N293" s="125">
        <v>0</v>
      </c>
      <c r="O293" s="125">
        <v>0</v>
      </c>
      <c r="P293" s="163"/>
      <c r="Q293" s="163"/>
      <c r="R293" s="163"/>
    </row>
    <row r="294" spans="1:18">
      <c r="A294" s="258"/>
      <c r="B294" s="124" t="s">
        <v>78</v>
      </c>
      <c r="C294" s="125">
        <v>54552.375</v>
      </c>
      <c r="D294" s="125">
        <v>20732.650000000001</v>
      </c>
      <c r="E294" s="125">
        <v>21085.15</v>
      </c>
      <c r="F294" s="125">
        <v>18646.599999999999</v>
      </c>
      <c r="G294" s="125">
        <v>23535.525000000001</v>
      </c>
      <c r="H294" s="125">
        <v>42195.45</v>
      </c>
      <c r="I294" s="125">
        <v>96803.75</v>
      </c>
      <c r="J294" s="125">
        <v>144982.54999999999</v>
      </c>
      <c r="K294" s="125">
        <v>92281.725000000006</v>
      </c>
      <c r="L294" s="125">
        <v>30492.3</v>
      </c>
      <c r="M294" s="125">
        <v>78426.2</v>
      </c>
      <c r="N294" s="125">
        <v>114413.125</v>
      </c>
      <c r="O294" s="125">
        <v>117703.4</v>
      </c>
      <c r="P294" s="163"/>
      <c r="Q294" s="163"/>
      <c r="R294" s="163"/>
    </row>
    <row r="295" spans="1:18">
      <c r="A295" s="258"/>
      <c r="B295" s="124" t="s">
        <v>79</v>
      </c>
      <c r="C295" s="125">
        <v>7491.5</v>
      </c>
      <c r="D295" s="125">
        <v>13007.775</v>
      </c>
      <c r="E295" s="125">
        <v>19087.900000000001</v>
      </c>
      <c r="F295" s="125">
        <v>14697</v>
      </c>
      <c r="G295" s="125">
        <v>17053.275000000001</v>
      </c>
      <c r="H295" s="125">
        <v>17562.8</v>
      </c>
      <c r="I295" s="125">
        <v>11071.275</v>
      </c>
      <c r="J295" s="125">
        <v>9716.75</v>
      </c>
      <c r="K295" s="125">
        <v>3151.25</v>
      </c>
      <c r="L295" s="125">
        <v>3067.5</v>
      </c>
      <c r="M295" s="125">
        <v>1371</v>
      </c>
      <c r="N295" s="125">
        <v>1764.75</v>
      </c>
      <c r="O295" s="125">
        <v>2619</v>
      </c>
      <c r="P295" s="163"/>
      <c r="Q295" s="163"/>
      <c r="R295" s="163"/>
    </row>
    <row r="296" spans="1:18">
      <c r="A296" s="258"/>
      <c r="B296" s="124" t="s">
        <v>76</v>
      </c>
      <c r="C296" s="125">
        <v>24462.5</v>
      </c>
      <c r="D296" s="125">
        <v>27379.85</v>
      </c>
      <c r="E296" s="125">
        <v>27583.724999999999</v>
      </c>
      <c r="F296" s="125">
        <v>25957.25</v>
      </c>
      <c r="G296" s="125">
        <v>46658.175000000003</v>
      </c>
      <c r="H296" s="125">
        <v>51895.625</v>
      </c>
      <c r="I296" s="125">
        <v>37795.15</v>
      </c>
      <c r="J296" s="125">
        <v>27303.9</v>
      </c>
      <c r="K296" s="125">
        <v>14841.9</v>
      </c>
      <c r="L296" s="125">
        <v>10692.35</v>
      </c>
      <c r="M296" s="125">
        <v>13728.975</v>
      </c>
      <c r="N296" s="125">
        <v>13260.225</v>
      </c>
      <c r="O296" s="125">
        <v>20307.424999999999</v>
      </c>
      <c r="P296" s="163"/>
      <c r="Q296" s="163"/>
      <c r="R296" s="163"/>
    </row>
    <row r="297" spans="1:18">
      <c r="A297" s="257"/>
      <c r="B297" s="185" t="s">
        <v>0</v>
      </c>
      <c r="C297" s="225">
        <v>360452.6</v>
      </c>
      <c r="D297" s="225">
        <v>344476.7</v>
      </c>
      <c r="E297" s="225">
        <v>262451.25</v>
      </c>
      <c r="F297" s="225">
        <v>255089.65</v>
      </c>
      <c r="G297" s="225">
        <v>332759.75</v>
      </c>
      <c r="H297" s="225">
        <v>413482.3</v>
      </c>
      <c r="I297" s="225">
        <v>516814.67499999999</v>
      </c>
      <c r="J297" s="225">
        <v>470764.1</v>
      </c>
      <c r="K297" s="225">
        <v>223657.05</v>
      </c>
      <c r="L297" s="225">
        <v>132555.47500000001</v>
      </c>
      <c r="M297" s="225">
        <v>238342.95</v>
      </c>
      <c r="N297" s="225">
        <v>278312.125</v>
      </c>
      <c r="O297" s="225">
        <v>383411.42499999999</v>
      </c>
      <c r="P297" s="155">
        <f>O297/C297-1</f>
        <v>6.3694435828733242E-2</v>
      </c>
      <c r="Q297" s="155">
        <f>(O278+O297)/(C297+C278)-1</f>
        <v>-0.10129858840181971</v>
      </c>
      <c r="R297" s="163"/>
    </row>
    <row r="298" spans="1:18">
      <c r="A298" s="187"/>
      <c r="B298" s="187"/>
      <c r="C298" s="187"/>
      <c r="D298" s="187"/>
      <c r="E298" s="187"/>
      <c r="F298" s="187"/>
      <c r="G298" s="187"/>
      <c r="H298" s="187"/>
      <c r="I298" s="187"/>
      <c r="J298" s="187"/>
      <c r="K298" s="187"/>
      <c r="L298" s="187"/>
      <c r="M298" s="187"/>
      <c r="N298" s="187"/>
      <c r="O298" s="187"/>
      <c r="P298" s="187"/>
      <c r="Q298" s="187"/>
      <c r="R298" s="163"/>
    </row>
    <row r="299" spans="1:18">
      <c r="A299" s="187"/>
      <c r="B299" s="187"/>
      <c r="C299" s="187"/>
      <c r="D299" s="187"/>
      <c r="E299" s="187"/>
      <c r="F299" s="187"/>
      <c r="G299" s="187"/>
      <c r="H299" s="187"/>
      <c r="I299" s="187"/>
      <c r="J299" s="187"/>
      <c r="K299" s="187"/>
      <c r="L299" s="187"/>
      <c r="M299" s="187"/>
      <c r="N299" s="187"/>
      <c r="O299" s="187"/>
      <c r="P299" s="187"/>
      <c r="Q299" s="187"/>
      <c r="R299" s="163"/>
    </row>
    <row r="300" spans="1:18">
      <c r="A300" s="187"/>
      <c r="B300" s="187"/>
      <c r="C300" s="187"/>
      <c r="D300" s="187"/>
      <c r="E300" s="187"/>
      <c r="F300" s="187"/>
      <c r="G300" s="187"/>
      <c r="H300" s="187"/>
      <c r="I300" s="187"/>
      <c r="J300" s="187"/>
      <c r="K300" s="187"/>
      <c r="L300" s="187"/>
      <c r="M300" s="187"/>
      <c r="N300" s="187"/>
      <c r="O300" s="187"/>
      <c r="P300" s="187"/>
      <c r="Q300" s="187"/>
    </row>
    <row r="301" spans="1:18">
      <c r="A301" s="188"/>
      <c r="B301" s="188"/>
      <c r="C301" s="188"/>
      <c r="D301" s="188"/>
      <c r="E301" s="188"/>
      <c r="F301" s="188"/>
      <c r="G301" s="188"/>
      <c r="H301" s="188"/>
      <c r="I301" s="188"/>
      <c r="J301" s="188"/>
      <c r="K301" s="188"/>
      <c r="L301" s="188"/>
      <c r="M301" s="188"/>
      <c r="N301" s="188"/>
      <c r="O301" s="188"/>
      <c r="P301" s="188"/>
      <c r="Q301" s="188"/>
    </row>
    <row r="305" spans="1:18">
      <c r="Q305" s="154"/>
      <c r="R305" s="154"/>
    </row>
    <row r="306" spans="1:18">
      <c r="Q306" s="154"/>
      <c r="R306" s="154"/>
    </row>
    <row r="307" spans="1:18">
      <c r="Q307" s="154"/>
      <c r="R307" s="154"/>
    </row>
    <row r="308" spans="1:18">
      <c r="P308" s="125"/>
      <c r="Q308" s="154"/>
      <c r="R308" s="154"/>
    </row>
    <row r="309" spans="1:18">
      <c r="P309" s="125"/>
      <c r="Q309" s="154"/>
      <c r="R309" s="154"/>
    </row>
    <row r="310" spans="1:18">
      <c r="P310" s="125"/>
      <c r="Q310" s="154"/>
      <c r="R310" s="154"/>
    </row>
    <row r="311" spans="1:18">
      <c r="P311" s="125"/>
      <c r="Q311" s="154"/>
      <c r="R311" s="154"/>
    </row>
    <row r="312" spans="1:18">
      <c r="A312" s="84" t="s">
        <v>175</v>
      </c>
      <c r="B312" s="166" t="str">
        <f>MID(B313,6,1)</f>
        <v>S</v>
      </c>
      <c r="C312" s="166" t="str">
        <f t="shared" ref="C312:N312" si="9">MID(C313,6,1)</f>
        <v>O</v>
      </c>
      <c r="D312" s="166" t="str">
        <f t="shared" si="9"/>
        <v>N</v>
      </c>
      <c r="E312" s="166" t="str">
        <f t="shared" si="9"/>
        <v>D</v>
      </c>
      <c r="F312" s="166" t="str">
        <f t="shared" si="9"/>
        <v>E</v>
      </c>
      <c r="G312" s="166" t="str">
        <f t="shared" si="9"/>
        <v>F</v>
      </c>
      <c r="H312" s="166" t="str">
        <f t="shared" si="9"/>
        <v>M</v>
      </c>
      <c r="I312" s="166" t="str">
        <f t="shared" si="9"/>
        <v>A</v>
      </c>
      <c r="J312" s="166" t="str">
        <f t="shared" si="9"/>
        <v>M</v>
      </c>
      <c r="K312" s="166" t="str">
        <f t="shared" si="9"/>
        <v>J</v>
      </c>
      <c r="L312" s="166" t="str">
        <f t="shared" si="9"/>
        <v>J</v>
      </c>
      <c r="M312" s="166" t="str">
        <f t="shared" si="9"/>
        <v>A</v>
      </c>
      <c r="N312" s="166" t="str">
        <f t="shared" si="9"/>
        <v>S</v>
      </c>
      <c r="O312" s="125"/>
      <c r="P312" s="125"/>
      <c r="Q312" s="154"/>
      <c r="R312" s="154"/>
    </row>
    <row r="313" spans="1:18">
      <c r="A313" s="122" t="s">
        <v>86</v>
      </c>
      <c r="B313" s="145" t="s">
        <v>210</v>
      </c>
      <c r="C313" s="145" t="s">
        <v>212</v>
      </c>
      <c r="D313" s="145" t="s">
        <v>215</v>
      </c>
      <c r="E313" s="145" t="s">
        <v>217</v>
      </c>
      <c r="F313" s="145" t="s">
        <v>221</v>
      </c>
      <c r="G313" s="145" t="s">
        <v>223</v>
      </c>
      <c r="H313" s="145" t="s">
        <v>226</v>
      </c>
      <c r="I313" s="145" t="s">
        <v>236</v>
      </c>
      <c r="J313" s="145" t="s">
        <v>239</v>
      </c>
      <c r="K313" s="145" t="s">
        <v>241</v>
      </c>
      <c r="L313" s="145" t="s">
        <v>244</v>
      </c>
      <c r="M313" s="145" t="s">
        <v>247</v>
      </c>
      <c r="N313" s="145" t="s">
        <v>282</v>
      </c>
      <c r="O313" s="125"/>
      <c r="P313" s="125"/>
      <c r="Q313" s="154"/>
      <c r="R313" s="154"/>
    </row>
    <row r="314" spans="1:18">
      <c r="A314" s="122" t="s">
        <v>27</v>
      </c>
      <c r="B314" s="143"/>
      <c r="C314" s="143"/>
      <c r="D314" s="143"/>
      <c r="E314" s="143"/>
      <c r="F314" s="143"/>
      <c r="G314" s="143"/>
      <c r="H314" s="143"/>
      <c r="I314" s="143"/>
      <c r="J314" s="143"/>
      <c r="K314" s="143"/>
      <c r="L314" s="143"/>
      <c r="M314" s="143"/>
      <c r="N314" s="143"/>
      <c r="P314" s="125"/>
      <c r="Q314" s="154"/>
      <c r="R314" s="154"/>
    </row>
    <row r="315" spans="1:18">
      <c r="A315" s="124" t="s">
        <v>71</v>
      </c>
      <c r="B315" s="125">
        <v>94718.25</v>
      </c>
      <c r="C315" s="125">
        <v>109914.5</v>
      </c>
      <c r="D315" s="125">
        <v>123489</v>
      </c>
      <c r="E315" s="125">
        <v>186787.25</v>
      </c>
      <c r="F315" s="125">
        <v>90348.25</v>
      </c>
      <c r="G315" s="125">
        <v>44962.25</v>
      </c>
      <c r="H315" s="125">
        <v>68619</v>
      </c>
      <c r="I315" s="125">
        <v>41863.5</v>
      </c>
      <c r="J315" s="125">
        <v>74085.75</v>
      </c>
      <c r="K315" s="125">
        <v>181182</v>
      </c>
      <c r="L315" s="125">
        <v>130987</v>
      </c>
      <c r="M315" s="125">
        <v>228947.75</v>
      </c>
      <c r="N315" s="125">
        <v>79264.25</v>
      </c>
      <c r="Q315" s="154"/>
      <c r="R315" s="154"/>
    </row>
    <row r="316" spans="1:18">
      <c r="A316" s="124" t="s">
        <v>75</v>
      </c>
      <c r="B316" s="125">
        <v>243145</v>
      </c>
      <c r="C316" s="125">
        <v>284049</v>
      </c>
      <c r="D316" s="125">
        <v>159008</v>
      </c>
      <c r="E316" s="125">
        <v>122864.5</v>
      </c>
      <c r="F316" s="125">
        <v>265986.25</v>
      </c>
      <c r="G316" s="125">
        <v>396960.5</v>
      </c>
      <c r="H316" s="125">
        <v>417916.5</v>
      </c>
      <c r="I316" s="125">
        <v>399899.75</v>
      </c>
      <c r="J316" s="125">
        <v>196774</v>
      </c>
      <c r="K316" s="125">
        <v>82639.5</v>
      </c>
      <c r="L316" s="125">
        <v>181301.75</v>
      </c>
      <c r="M316" s="125">
        <v>169070</v>
      </c>
      <c r="N316" s="125">
        <v>238398.25</v>
      </c>
    </row>
    <row r="317" spans="1:18">
      <c r="A317" s="148" t="s">
        <v>159</v>
      </c>
      <c r="B317" s="150">
        <f>SUM(B315:B316)</f>
        <v>337863.25</v>
      </c>
      <c r="C317" s="150">
        <f t="shared" ref="C317:N317" si="10">SUM(C315:C316)</f>
        <v>393963.5</v>
      </c>
      <c r="D317" s="150">
        <f t="shared" si="10"/>
        <v>282497</v>
      </c>
      <c r="E317" s="150">
        <f t="shared" si="10"/>
        <v>309651.75</v>
      </c>
      <c r="F317" s="150">
        <f t="shared" si="10"/>
        <v>356334.5</v>
      </c>
      <c r="G317" s="150">
        <f t="shared" si="10"/>
        <v>441922.75</v>
      </c>
      <c r="H317" s="150">
        <f t="shared" si="10"/>
        <v>486535.5</v>
      </c>
      <c r="I317" s="150">
        <f t="shared" si="10"/>
        <v>441763.25</v>
      </c>
      <c r="J317" s="150">
        <f t="shared" si="10"/>
        <v>270859.75</v>
      </c>
      <c r="K317" s="150">
        <f t="shared" si="10"/>
        <v>263821.5</v>
      </c>
      <c r="L317" s="150">
        <f t="shared" si="10"/>
        <v>312288.75</v>
      </c>
      <c r="M317" s="150">
        <f t="shared" si="10"/>
        <v>398017.75</v>
      </c>
      <c r="N317" s="150">
        <f t="shared" si="10"/>
        <v>317662.5</v>
      </c>
      <c r="P317" s="154"/>
      <c r="Q317" s="154"/>
    </row>
    <row r="318" spans="1:18">
      <c r="A318" s="84" t="s">
        <v>163</v>
      </c>
      <c r="P318" s="154"/>
      <c r="Q318" s="154"/>
    </row>
    <row r="319" spans="1:18">
      <c r="A319" s="122"/>
      <c r="B319" s="122"/>
      <c r="C319" s="122" t="s">
        <v>27</v>
      </c>
      <c r="D319" s="244" t="s">
        <v>195</v>
      </c>
      <c r="E319" s="245"/>
      <c r="F319" s="245"/>
      <c r="G319" s="245"/>
      <c r="H319" s="245"/>
      <c r="I319" s="245"/>
      <c r="J319" s="245"/>
      <c r="K319" s="245"/>
      <c r="L319" s="245"/>
      <c r="M319" s="245"/>
      <c r="N319" s="245"/>
      <c r="O319" s="245"/>
      <c r="P319" s="245"/>
      <c r="Q319" s="154"/>
    </row>
    <row r="320" spans="1:18">
      <c r="A320" s="122"/>
      <c r="B320" s="122"/>
      <c r="C320" s="122" t="s">
        <v>86</v>
      </c>
      <c r="D320" s="145" t="s">
        <v>210</v>
      </c>
      <c r="E320" s="145" t="s">
        <v>212</v>
      </c>
      <c r="F320" s="145" t="s">
        <v>215</v>
      </c>
      <c r="G320" s="145" t="s">
        <v>217</v>
      </c>
      <c r="H320" s="145" t="s">
        <v>221</v>
      </c>
      <c r="I320" s="145" t="s">
        <v>223</v>
      </c>
      <c r="J320" s="145" t="s">
        <v>226</v>
      </c>
      <c r="K320" s="145" t="s">
        <v>236</v>
      </c>
      <c r="L320" s="145" t="s">
        <v>239</v>
      </c>
      <c r="M320" s="145" t="s">
        <v>241</v>
      </c>
      <c r="N320" s="145" t="s">
        <v>244</v>
      </c>
      <c r="O320" s="145" t="s">
        <v>247</v>
      </c>
      <c r="P320" s="145" t="s">
        <v>282</v>
      </c>
      <c r="Q320" s="154"/>
    </row>
    <row r="321" spans="1:21">
      <c r="A321" s="122" t="s">
        <v>119</v>
      </c>
      <c r="B321" s="122" t="s">
        <v>142</v>
      </c>
      <c r="C321" s="122" t="s">
        <v>143</v>
      </c>
      <c r="D321" s="143"/>
      <c r="E321" s="143"/>
      <c r="F321" s="143"/>
      <c r="G321" s="143"/>
      <c r="H321" s="143"/>
      <c r="I321" s="143"/>
      <c r="J321" s="143"/>
      <c r="K321" s="143"/>
      <c r="L321" s="143"/>
      <c r="M321" s="143"/>
      <c r="N321" s="143"/>
      <c r="O321" s="143"/>
      <c r="P321" s="143"/>
      <c r="Q321" s="154"/>
    </row>
    <row r="322" spans="1:21">
      <c r="A322" s="256" t="s">
        <v>137</v>
      </c>
      <c r="B322" s="256" t="s">
        <v>138</v>
      </c>
      <c r="C322" s="124" t="s">
        <v>139</v>
      </c>
      <c r="D322" s="125">
        <v>3714</v>
      </c>
      <c r="E322" s="125">
        <v>6616</v>
      </c>
      <c r="F322" s="125">
        <v>11168.4</v>
      </c>
      <c r="G322" s="125">
        <v>9655</v>
      </c>
      <c r="H322" s="125">
        <v>18787</v>
      </c>
      <c r="I322" s="125">
        <v>12671</v>
      </c>
      <c r="J322" s="125">
        <v>13320.25</v>
      </c>
      <c r="K322" s="125">
        <v>681.75</v>
      </c>
      <c r="L322" s="125">
        <v>287.25</v>
      </c>
      <c r="M322" s="125">
        <v>5295.4750000000004</v>
      </c>
      <c r="N322" s="125">
        <v>2319</v>
      </c>
      <c r="O322" s="125">
        <v>3809</v>
      </c>
      <c r="P322" s="125">
        <v>515.75</v>
      </c>
      <c r="Q322" s="154"/>
      <c r="U322" s="170"/>
    </row>
    <row r="323" spans="1:21">
      <c r="A323" s="258"/>
      <c r="B323" s="257"/>
      <c r="C323" s="124" t="s">
        <v>140</v>
      </c>
      <c r="D323" s="125">
        <v>104951</v>
      </c>
      <c r="E323" s="125">
        <v>134927</v>
      </c>
      <c r="F323" s="125">
        <v>91782</v>
      </c>
      <c r="G323" s="125">
        <v>114637.2</v>
      </c>
      <c r="H323" s="125">
        <v>67725.7</v>
      </c>
      <c r="I323" s="125">
        <v>37653.699999999997</v>
      </c>
      <c r="J323" s="125">
        <v>90855.824999999997</v>
      </c>
      <c r="K323" s="125">
        <v>107349.6</v>
      </c>
      <c r="L323" s="125">
        <v>45497.95</v>
      </c>
      <c r="M323" s="125">
        <v>58107.324999999997</v>
      </c>
      <c r="N323" s="125">
        <v>87431.875</v>
      </c>
      <c r="O323" s="125">
        <v>151069.52499999999</v>
      </c>
      <c r="P323" s="125">
        <v>169281.95</v>
      </c>
      <c r="Q323" s="154"/>
    </row>
    <row r="324" spans="1:21">
      <c r="A324" s="258"/>
      <c r="B324" s="260" t="s">
        <v>141</v>
      </c>
      <c r="C324" s="124" t="s">
        <v>139</v>
      </c>
      <c r="D324" s="125">
        <v>0</v>
      </c>
      <c r="E324" s="125">
        <v>0</v>
      </c>
      <c r="F324" s="125">
        <v>0</v>
      </c>
      <c r="G324" s="125">
        <v>0</v>
      </c>
      <c r="H324" s="125">
        <v>0</v>
      </c>
      <c r="I324" s="125">
        <v>0</v>
      </c>
      <c r="J324" s="125">
        <v>0</v>
      </c>
      <c r="K324" s="125">
        <v>0</v>
      </c>
      <c r="L324" s="125">
        <v>0</v>
      </c>
      <c r="M324" s="125">
        <v>0</v>
      </c>
      <c r="N324" s="125">
        <v>0</v>
      </c>
      <c r="O324" s="125">
        <v>0</v>
      </c>
      <c r="P324" s="125">
        <v>0</v>
      </c>
      <c r="Q324" s="154"/>
    </row>
    <row r="325" spans="1:21">
      <c r="A325" s="257"/>
      <c r="B325" s="257"/>
      <c r="C325" s="124" t="s">
        <v>140</v>
      </c>
      <c r="D325" s="125">
        <v>0</v>
      </c>
      <c r="E325" s="125">
        <v>0</v>
      </c>
      <c r="F325" s="125">
        <v>0</v>
      </c>
      <c r="G325" s="125">
        <v>0</v>
      </c>
      <c r="H325" s="125">
        <v>0</v>
      </c>
      <c r="I325" s="125">
        <v>0</v>
      </c>
      <c r="J325" s="125">
        <v>0</v>
      </c>
      <c r="K325" s="125">
        <v>0</v>
      </c>
      <c r="L325" s="125">
        <v>0</v>
      </c>
      <c r="M325" s="125">
        <v>0</v>
      </c>
      <c r="N325" s="125">
        <v>0</v>
      </c>
      <c r="O325" s="125">
        <v>0</v>
      </c>
      <c r="P325" s="125">
        <v>0</v>
      </c>
      <c r="Q325" s="154"/>
    </row>
    <row r="326" spans="1:21">
      <c r="A326" s="260" t="s">
        <v>167</v>
      </c>
      <c r="B326" s="260" t="s">
        <v>138</v>
      </c>
      <c r="C326" s="124" t="s">
        <v>139</v>
      </c>
      <c r="D326" s="125">
        <v>30360.7</v>
      </c>
      <c r="E326" s="125">
        <v>55216.2</v>
      </c>
      <c r="F326" s="125">
        <v>55068</v>
      </c>
      <c r="G326" s="125">
        <v>32982.699999999997</v>
      </c>
      <c r="H326" s="125">
        <v>25033</v>
      </c>
      <c r="I326" s="125">
        <v>30692</v>
      </c>
      <c r="J326" s="125">
        <v>11006.25</v>
      </c>
      <c r="K326" s="125">
        <v>7049</v>
      </c>
      <c r="L326" s="125">
        <v>2391.75</v>
      </c>
      <c r="M326" s="125">
        <v>1830.55</v>
      </c>
      <c r="N326" s="125">
        <v>6831.75</v>
      </c>
      <c r="O326" s="125">
        <v>22222.5</v>
      </c>
      <c r="P326" s="125">
        <v>11528</v>
      </c>
      <c r="Q326" s="154"/>
    </row>
    <row r="327" spans="1:21">
      <c r="A327" s="258"/>
      <c r="B327" s="257"/>
      <c r="C327" s="124" t="s">
        <v>140</v>
      </c>
      <c r="D327" s="125">
        <v>55114.6</v>
      </c>
      <c r="E327" s="125">
        <v>85933.9</v>
      </c>
      <c r="F327" s="125">
        <v>85446.1</v>
      </c>
      <c r="G327" s="125">
        <v>61412.2</v>
      </c>
      <c r="H327" s="125">
        <v>117100.4</v>
      </c>
      <c r="I327" s="125">
        <v>135901.20000000001</v>
      </c>
      <c r="J327" s="125">
        <v>69626.600000000006</v>
      </c>
      <c r="K327" s="125">
        <v>72019.05</v>
      </c>
      <c r="L327" s="125">
        <v>38927.1</v>
      </c>
      <c r="M327" s="125">
        <v>57586.7</v>
      </c>
      <c r="N327" s="125">
        <v>68132.399999999994</v>
      </c>
      <c r="O327" s="125">
        <v>35923.474999999999</v>
      </c>
      <c r="P327" s="125">
        <v>44227.425000000003</v>
      </c>
      <c r="Q327" s="154"/>
    </row>
    <row r="328" spans="1:21">
      <c r="A328" s="258"/>
      <c r="B328" s="260" t="s">
        <v>141</v>
      </c>
      <c r="C328" s="124" t="s">
        <v>139</v>
      </c>
      <c r="D328" s="125">
        <v>0</v>
      </c>
      <c r="E328" s="125">
        <v>0</v>
      </c>
      <c r="F328" s="125">
        <v>0</v>
      </c>
      <c r="G328" s="125">
        <v>0</v>
      </c>
      <c r="H328" s="125">
        <v>0</v>
      </c>
      <c r="I328" s="125">
        <v>0</v>
      </c>
      <c r="J328" s="125">
        <v>0</v>
      </c>
      <c r="K328" s="125">
        <v>0</v>
      </c>
      <c r="L328" s="125">
        <v>0</v>
      </c>
      <c r="M328" s="125">
        <v>0</v>
      </c>
      <c r="N328" s="125">
        <v>0</v>
      </c>
      <c r="O328" s="125">
        <v>0</v>
      </c>
      <c r="P328" s="125">
        <v>0</v>
      </c>
      <c r="Q328" s="154"/>
    </row>
    <row r="329" spans="1:21">
      <c r="A329" s="257"/>
      <c r="B329" s="257"/>
      <c r="C329" s="124" t="s">
        <v>140</v>
      </c>
      <c r="D329" s="125">
        <v>0</v>
      </c>
      <c r="E329" s="125">
        <v>0</v>
      </c>
      <c r="F329" s="125">
        <v>0</v>
      </c>
      <c r="G329" s="125">
        <v>0</v>
      </c>
      <c r="H329" s="125">
        <v>0</v>
      </c>
      <c r="I329" s="125">
        <v>0</v>
      </c>
      <c r="J329" s="125">
        <v>0</v>
      </c>
      <c r="K329" s="125">
        <v>0</v>
      </c>
      <c r="L329" s="125">
        <v>0</v>
      </c>
      <c r="M329" s="125">
        <v>0</v>
      </c>
      <c r="N329" s="125">
        <v>0</v>
      </c>
      <c r="O329" s="125">
        <v>0</v>
      </c>
      <c r="P329" s="125">
        <v>0</v>
      </c>
      <c r="Q329" s="154"/>
    </row>
    <row r="330" spans="1:21">
      <c r="A330" s="161"/>
      <c r="B330" s="124"/>
      <c r="C330" s="125"/>
      <c r="D330" s="125"/>
      <c r="E330" s="125"/>
      <c r="F330" s="125"/>
      <c r="G330" s="125"/>
      <c r="H330" s="125"/>
      <c r="I330" s="125"/>
      <c r="J330" s="125"/>
      <c r="K330" s="125"/>
      <c r="L330" s="125"/>
      <c r="M330" s="125"/>
      <c r="N330" s="125"/>
      <c r="O330" s="125"/>
      <c r="P330" s="154"/>
      <c r="Q330" s="154"/>
    </row>
    <row r="331" spans="1:21">
      <c r="A331" s="161"/>
      <c r="B331" s="124"/>
      <c r="C331" s="125"/>
      <c r="D331" s="125"/>
      <c r="E331" s="125"/>
      <c r="F331" s="125"/>
      <c r="G331" s="125"/>
      <c r="H331" s="125"/>
      <c r="I331" s="125"/>
      <c r="J331" s="125"/>
      <c r="K331" s="125"/>
      <c r="L331" s="125"/>
      <c r="M331" s="125"/>
      <c r="N331" s="125"/>
      <c r="O331" s="125"/>
      <c r="P331" s="154"/>
      <c r="Q331" s="154"/>
    </row>
    <row r="332" spans="1:21">
      <c r="A332" s="161"/>
      <c r="B332" s="124"/>
      <c r="C332" s="125"/>
      <c r="D332" s="125"/>
      <c r="E332" s="125"/>
      <c r="F332" s="125"/>
      <c r="G332" s="125"/>
      <c r="H332" s="125"/>
      <c r="I332" s="125"/>
      <c r="J332" s="125"/>
      <c r="K332" s="125"/>
      <c r="L332" s="125"/>
      <c r="M332" s="125"/>
      <c r="N332" s="125"/>
      <c r="O332" s="125"/>
      <c r="P332" s="154"/>
      <c r="Q332" s="154"/>
    </row>
    <row r="333" spans="1:21">
      <c r="A333" s="161"/>
      <c r="B333" s="124"/>
      <c r="C333" s="125"/>
      <c r="D333" s="125"/>
      <c r="E333" s="125"/>
      <c r="F333" s="125"/>
      <c r="G333" s="125"/>
      <c r="H333" s="125"/>
      <c r="I333" s="125"/>
      <c r="J333" s="125"/>
      <c r="K333" s="125"/>
      <c r="L333" s="125"/>
      <c r="M333" s="125"/>
      <c r="N333" s="125"/>
      <c r="O333" s="125"/>
      <c r="P333" s="154"/>
      <c r="Q333" s="154"/>
    </row>
    <row r="334" spans="1:21">
      <c r="A334" s="161"/>
      <c r="B334" s="124"/>
      <c r="C334" s="125"/>
      <c r="D334" s="125"/>
      <c r="E334" s="125"/>
      <c r="F334" s="125"/>
      <c r="G334" s="125"/>
      <c r="H334" s="125"/>
      <c r="I334" s="125"/>
      <c r="J334" s="125"/>
      <c r="K334" s="125"/>
      <c r="L334" s="125"/>
      <c r="M334" s="125"/>
      <c r="N334" s="125"/>
      <c r="O334" s="125"/>
      <c r="P334" s="154"/>
      <c r="Q334" s="154"/>
    </row>
    <row r="335" spans="1:21">
      <c r="A335" s="84" t="s">
        <v>176</v>
      </c>
      <c r="C335" s="142" t="str">
        <f>MID(C337,6,1)</f>
        <v>S</v>
      </c>
      <c r="D335" s="142" t="str">
        <f t="shared" ref="D335:O335" si="11">MID(D337,6,1)</f>
        <v>O</v>
      </c>
      <c r="E335" s="142" t="str">
        <f t="shared" si="11"/>
        <v>N</v>
      </c>
      <c r="F335" s="142" t="str">
        <f t="shared" si="11"/>
        <v>D</v>
      </c>
      <c r="G335" s="142" t="str">
        <f t="shared" si="11"/>
        <v>E</v>
      </c>
      <c r="H335" s="142" t="str">
        <f t="shared" si="11"/>
        <v>F</v>
      </c>
      <c r="I335" s="142" t="str">
        <f t="shared" si="11"/>
        <v>M</v>
      </c>
      <c r="J335" s="142" t="str">
        <f t="shared" si="11"/>
        <v>A</v>
      </c>
      <c r="K335" s="142" t="str">
        <f t="shared" si="11"/>
        <v>M</v>
      </c>
      <c r="L335" s="142" t="str">
        <f t="shared" si="11"/>
        <v>J</v>
      </c>
      <c r="M335" s="142" t="str">
        <f t="shared" si="11"/>
        <v>J</v>
      </c>
      <c r="N335" s="142" t="str">
        <f t="shared" si="11"/>
        <v>A</v>
      </c>
      <c r="O335" s="142" t="str">
        <f t="shared" si="11"/>
        <v>S</v>
      </c>
      <c r="P335" s="154"/>
      <c r="Q335" s="154"/>
    </row>
    <row r="336" spans="1:21">
      <c r="A336" s="122"/>
      <c r="B336" s="122" t="s">
        <v>27</v>
      </c>
      <c r="C336" s="263" t="s">
        <v>152</v>
      </c>
      <c r="D336" s="264"/>
      <c r="E336" s="264"/>
      <c r="F336" s="264"/>
      <c r="G336" s="264"/>
      <c r="H336" s="264"/>
      <c r="I336" s="264"/>
      <c r="J336" s="264"/>
      <c r="K336" s="264"/>
      <c r="L336" s="264"/>
      <c r="M336" s="264"/>
      <c r="N336" s="264"/>
      <c r="O336" s="264"/>
      <c r="P336" s="154"/>
      <c r="Q336" s="154"/>
    </row>
    <row r="337" spans="1:22">
      <c r="A337" s="122"/>
      <c r="B337" s="122" t="s">
        <v>86</v>
      </c>
      <c r="C337" s="145" t="s">
        <v>210</v>
      </c>
      <c r="D337" s="145" t="s">
        <v>212</v>
      </c>
      <c r="E337" s="145" t="s">
        <v>215</v>
      </c>
      <c r="F337" s="145" t="s">
        <v>217</v>
      </c>
      <c r="G337" s="145" t="s">
        <v>221</v>
      </c>
      <c r="H337" s="145" t="s">
        <v>223</v>
      </c>
      <c r="I337" s="145" t="s">
        <v>226</v>
      </c>
      <c r="J337" s="145" t="s">
        <v>236</v>
      </c>
      <c r="K337" s="145" t="s">
        <v>239</v>
      </c>
      <c r="L337" s="145" t="s">
        <v>241</v>
      </c>
      <c r="M337" s="145" t="s">
        <v>244</v>
      </c>
      <c r="N337" s="145" t="s">
        <v>247</v>
      </c>
      <c r="O337" s="145" t="s">
        <v>282</v>
      </c>
      <c r="P337" s="154"/>
      <c r="Q337" s="154"/>
    </row>
    <row r="338" spans="1:22">
      <c r="A338" s="122" t="s">
        <v>119</v>
      </c>
      <c r="B338" s="122" t="s">
        <v>120</v>
      </c>
      <c r="C338" s="212"/>
      <c r="D338" s="212"/>
      <c r="E338" s="212"/>
      <c r="F338" s="212"/>
      <c r="G338" s="212"/>
      <c r="H338" s="212"/>
      <c r="I338" s="212"/>
      <c r="J338" s="212"/>
      <c r="K338" s="212"/>
      <c r="L338" s="212"/>
      <c r="M338" s="212"/>
      <c r="N338" s="212"/>
      <c r="O338" s="211"/>
      <c r="P338" s="154"/>
      <c r="Q338" s="154"/>
    </row>
    <row r="339" spans="1:22">
      <c r="A339" s="262" t="s">
        <v>71</v>
      </c>
      <c r="B339" s="124" t="s">
        <v>208</v>
      </c>
      <c r="C339" s="125">
        <v>0</v>
      </c>
      <c r="D339" s="125">
        <v>0</v>
      </c>
      <c r="E339" s="125">
        <v>0</v>
      </c>
      <c r="F339" s="125">
        <v>0</v>
      </c>
      <c r="G339" s="125">
        <v>0</v>
      </c>
      <c r="H339" s="125">
        <v>0</v>
      </c>
      <c r="I339" s="125">
        <v>0</v>
      </c>
      <c r="J339" s="125">
        <v>0</v>
      </c>
      <c r="K339" s="125">
        <v>0</v>
      </c>
      <c r="L339" s="125">
        <v>0</v>
      </c>
      <c r="M339" s="125">
        <v>0</v>
      </c>
      <c r="N339" s="125">
        <v>0</v>
      </c>
      <c r="O339" s="125">
        <v>0</v>
      </c>
      <c r="P339" s="154"/>
      <c r="Q339" s="157"/>
    </row>
    <row r="340" spans="1:22">
      <c r="A340" s="258"/>
      <c r="B340" s="124" t="s">
        <v>73</v>
      </c>
      <c r="C340" s="125">
        <v>6921</v>
      </c>
      <c r="D340" s="125">
        <v>28142.167000000001</v>
      </c>
      <c r="E340" s="125">
        <v>22436</v>
      </c>
      <c r="F340" s="125">
        <v>15140</v>
      </c>
      <c r="G340" s="125">
        <v>14285</v>
      </c>
      <c r="H340" s="125">
        <v>20485</v>
      </c>
      <c r="I340" s="125">
        <v>7623.75</v>
      </c>
      <c r="J340" s="125">
        <v>3547.56</v>
      </c>
      <c r="K340" s="125">
        <v>0</v>
      </c>
      <c r="L340" s="125">
        <v>9705</v>
      </c>
      <c r="M340" s="125">
        <v>3130</v>
      </c>
      <c r="N340" s="125">
        <v>0</v>
      </c>
      <c r="O340" s="125">
        <v>3588.75</v>
      </c>
      <c r="P340" s="154"/>
      <c r="Q340" s="154"/>
    </row>
    <row r="341" spans="1:22">
      <c r="A341" s="258"/>
      <c r="B341" s="124" t="s">
        <v>23</v>
      </c>
      <c r="C341" s="125">
        <v>430782.21600000001</v>
      </c>
      <c r="D341" s="125">
        <v>609242.973</v>
      </c>
      <c r="E341" s="125">
        <v>435419.359</v>
      </c>
      <c r="F341" s="125">
        <v>394503.52399999998</v>
      </c>
      <c r="G341" s="125">
        <v>451588.02500000002</v>
      </c>
      <c r="H341" s="125">
        <v>797594.67099999997</v>
      </c>
      <c r="I341" s="125">
        <v>640773.63699999999</v>
      </c>
      <c r="J341" s="125">
        <v>339272.77500000002</v>
      </c>
      <c r="K341" s="125">
        <v>190030.19</v>
      </c>
      <c r="L341" s="125">
        <v>486259.94</v>
      </c>
      <c r="M341" s="125">
        <v>438078.424</v>
      </c>
      <c r="N341" s="125">
        <v>365275.30099999998</v>
      </c>
      <c r="O341" s="125">
        <v>477418.69300000003</v>
      </c>
      <c r="P341" s="154"/>
      <c r="Q341" s="154"/>
    </row>
    <row r="342" spans="1:22">
      <c r="A342" s="258"/>
      <c r="B342" s="124" t="s">
        <v>80</v>
      </c>
      <c r="C342" s="125">
        <v>0</v>
      </c>
      <c r="D342" s="125">
        <v>1.546</v>
      </c>
      <c r="E342" s="125">
        <v>0</v>
      </c>
      <c r="F342" s="125">
        <v>0</v>
      </c>
      <c r="G342" s="125">
        <v>0</v>
      </c>
      <c r="H342" s="125">
        <v>0</v>
      </c>
      <c r="I342" s="125">
        <v>0</v>
      </c>
      <c r="J342" s="125">
        <v>0</v>
      </c>
      <c r="K342" s="125">
        <v>48.424999999999997</v>
      </c>
      <c r="L342" s="125">
        <v>0</v>
      </c>
      <c r="M342" s="125">
        <v>0</v>
      </c>
      <c r="N342" s="125">
        <v>0</v>
      </c>
      <c r="O342" s="125">
        <v>0</v>
      </c>
      <c r="P342" s="154"/>
      <c r="Q342" s="154"/>
    </row>
    <row r="343" spans="1:22">
      <c r="A343" s="258"/>
      <c r="B343" s="124" t="s">
        <v>74</v>
      </c>
      <c r="C343" s="125">
        <v>408.33300000000003</v>
      </c>
      <c r="D343" s="125">
        <v>583</v>
      </c>
      <c r="E343" s="125">
        <v>5128.25</v>
      </c>
      <c r="F343" s="125">
        <v>267.5</v>
      </c>
      <c r="G343" s="125">
        <v>1875</v>
      </c>
      <c r="H343" s="125">
        <v>2238.683</v>
      </c>
      <c r="I343" s="125">
        <v>5818.2749999999996</v>
      </c>
      <c r="J343" s="125">
        <v>2631.1329999999998</v>
      </c>
      <c r="K343" s="125">
        <v>948.5</v>
      </c>
      <c r="L343" s="125">
        <v>12797.075000000001</v>
      </c>
      <c r="M343" s="125">
        <v>12438.968000000001</v>
      </c>
      <c r="N343" s="125">
        <v>7902.0079999999998</v>
      </c>
      <c r="O343" s="125">
        <v>3616.067</v>
      </c>
      <c r="P343" s="154"/>
      <c r="Q343" s="154"/>
    </row>
    <row r="344" spans="1:22">
      <c r="A344" s="258"/>
      <c r="B344" s="124" t="s">
        <v>83</v>
      </c>
      <c r="C344" s="125">
        <v>372</v>
      </c>
      <c r="D344" s="125">
        <v>1567.5</v>
      </c>
      <c r="E344" s="125">
        <v>190</v>
      </c>
      <c r="F344" s="125">
        <v>102</v>
      </c>
      <c r="G344" s="125">
        <v>40</v>
      </c>
      <c r="H344" s="125">
        <v>1099.2</v>
      </c>
      <c r="I344" s="125">
        <v>729.7</v>
      </c>
      <c r="J344" s="125">
        <v>554.1</v>
      </c>
      <c r="K344" s="125">
        <v>910.22500000000002</v>
      </c>
      <c r="L344" s="125">
        <v>984</v>
      </c>
      <c r="M344" s="125">
        <v>2865.4</v>
      </c>
      <c r="N344" s="125">
        <v>1132.875</v>
      </c>
      <c r="O344" s="125">
        <v>479.1</v>
      </c>
      <c r="P344" s="154"/>
      <c r="Q344" s="154"/>
    </row>
    <row r="345" spans="1:22">
      <c r="A345" s="258"/>
      <c r="B345" s="124" t="s">
        <v>77</v>
      </c>
      <c r="C345" s="125">
        <v>116.667</v>
      </c>
      <c r="D345" s="125">
        <v>0.17299999999999999</v>
      </c>
      <c r="E345" s="125">
        <v>0</v>
      </c>
      <c r="F345" s="125">
        <v>0</v>
      </c>
      <c r="G345" s="125">
        <v>0</v>
      </c>
      <c r="H345" s="125">
        <v>0</v>
      </c>
      <c r="I345" s="125">
        <v>0</v>
      </c>
      <c r="J345" s="125">
        <v>0</v>
      </c>
      <c r="K345" s="125">
        <v>5.8</v>
      </c>
      <c r="L345" s="125">
        <v>0</v>
      </c>
      <c r="M345" s="125">
        <v>54.15</v>
      </c>
      <c r="N345" s="125">
        <v>137.5</v>
      </c>
      <c r="O345" s="125">
        <v>0</v>
      </c>
      <c r="P345" s="154"/>
      <c r="Q345" s="154"/>
    </row>
    <row r="346" spans="1:22">
      <c r="A346" s="258"/>
      <c r="B346" s="124" t="s">
        <v>209</v>
      </c>
      <c r="C346" s="125">
        <v>0</v>
      </c>
      <c r="D346" s="125">
        <v>0</v>
      </c>
      <c r="E346" s="125">
        <v>0</v>
      </c>
      <c r="F346" s="125">
        <v>0</v>
      </c>
      <c r="G346" s="125">
        <v>0</v>
      </c>
      <c r="H346" s="125">
        <v>0</v>
      </c>
      <c r="I346" s="125">
        <v>0</v>
      </c>
      <c r="J346" s="125">
        <v>0</v>
      </c>
      <c r="K346" s="125">
        <v>0</v>
      </c>
      <c r="L346" s="125">
        <v>0</v>
      </c>
      <c r="M346" s="125">
        <v>0</v>
      </c>
      <c r="N346" s="125">
        <v>0</v>
      </c>
      <c r="O346" s="125">
        <v>0</v>
      </c>
      <c r="P346" s="154"/>
      <c r="Q346" s="154"/>
    </row>
    <row r="347" spans="1:22">
      <c r="A347" s="258"/>
      <c r="B347" s="124" t="s">
        <v>19</v>
      </c>
      <c r="C347" s="125">
        <v>0</v>
      </c>
      <c r="D347" s="125">
        <v>51.587000000000003</v>
      </c>
      <c r="E347" s="125">
        <v>0</v>
      </c>
      <c r="F347" s="125">
        <v>138</v>
      </c>
      <c r="G347" s="125">
        <v>0</v>
      </c>
      <c r="H347" s="125">
        <v>2</v>
      </c>
      <c r="I347" s="125">
        <v>481.66699999999997</v>
      </c>
      <c r="J347" s="125">
        <v>5753.75</v>
      </c>
      <c r="K347" s="125">
        <v>7951.9669999999996</v>
      </c>
      <c r="L347" s="125">
        <v>7231.6369999999997</v>
      </c>
      <c r="M347" s="125">
        <v>502</v>
      </c>
      <c r="N347" s="125">
        <v>455</v>
      </c>
      <c r="O347" s="125">
        <v>0</v>
      </c>
      <c r="P347" s="154"/>
      <c r="Q347" s="155"/>
    </row>
    <row r="348" spans="1:22">
      <c r="A348" s="258"/>
      <c r="B348" s="124" t="s">
        <v>170</v>
      </c>
      <c r="C348" s="125">
        <v>0</v>
      </c>
      <c r="D348" s="125">
        <v>0</v>
      </c>
      <c r="E348" s="125">
        <v>0</v>
      </c>
      <c r="F348" s="125">
        <v>0</v>
      </c>
      <c r="G348" s="125">
        <v>0</v>
      </c>
      <c r="H348" s="125">
        <v>0</v>
      </c>
      <c r="I348" s="125">
        <v>0</v>
      </c>
      <c r="J348" s="125">
        <v>0</v>
      </c>
      <c r="K348" s="125">
        <v>0</v>
      </c>
      <c r="L348" s="125">
        <v>0</v>
      </c>
      <c r="M348" s="125">
        <v>0</v>
      </c>
      <c r="N348" s="125">
        <v>0</v>
      </c>
      <c r="O348" s="125">
        <v>0</v>
      </c>
      <c r="P348" s="154"/>
      <c r="Q348" s="155"/>
    </row>
    <row r="349" spans="1:22">
      <c r="A349" s="258"/>
      <c r="B349" s="124" t="s">
        <v>84</v>
      </c>
      <c r="C349" s="125">
        <v>18.332999999999998</v>
      </c>
      <c r="D349" s="125">
        <v>0</v>
      </c>
      <c r="E349" s="125">
        <v>0</v>
      </c>
      <c r="F349" s="125">
        <v>6190</v>
      </c>
      <c r="G349" s="125">
        <v>0</v>
      </c>
      <c r="H349" s="125">
        <v>0</v>
      </c>
      <c r="I349" s="125">
        <v>0</v>
      </c>
      <c r="J349" s="125">
        <v>0</v>
      </c>
      <c r="K349" s="125">
        <v>0</v>
      </c>
      <c r="L349" s="125">
        <v>801.6</v>
      </c>
      <c r="M349" s="125">
        <v>0</v>
      </c>
      <c r="N349" s="125">
        <v>471.21699999999998</v>
      </c>
      <c r="O349" s="125">
        <v>0</v>
      </c>
      <c r="P349" s="154"/>
      <c r="Q349" s="162"/>
      <c r="R349" s="162"/>
      <c r="S349" s="162"/>
      <c r="T349" s="162"/>
      <c r="U349" s="162"/>
      <c r="V349" s="162"/>
    </row>
    <row r="350" spans="1:22">
      <c r="A350" s="258"/>
      <c r="B350" s="124" t="s">
        <v>72</v>
      </c>
      <c r="C350" s="125">
        <v>0</v>
      </c>
      <c r="D350" s="125">
        <v>4.1210000000000004</v>
      </c>
      <c r="E350" s="125">
        <v>0</v>
      </c>
      <c r="F350" s="125">
        <v>0</v>
      </c>
      <c r="G350" s="125">
        <v>0</v>
      </c>
      <c r="H350" s="125">
        <v>0</v>
      </c>
      <c r="I350" s="125">
        <v>0</v>
      </c>
      <c r="J350" s="125">
        <v>4387.5</v>
      </c>
      <c r="K350" s="125">
        <v>0</v>
      </c>
      <c r="L350" s="125">
        <v>0</v>
      </c>
      <c r="M350" s="125">
        <v>0</v>
      </c>
      <c r="N350" s="125">
        <v>0</v>
      </c>
      <c r="O350" s="125">
        <v>0</v>
      </c>
      <c r="P350" s="154"/>
      <c r="Q350" s="162"/>
      <c r="R350" s="162"/>
      <c r="S350" s="162"/>
      <c r="T350" s="162"/>
      <c r="U350" s="162"/>
      <c r="V350" s="162"/>
    </row>
    <row r="351" spans="1:22">
      <c r="A351" s="258"/>
      <c r="B351" s="124" t="s">
        <v>81</v>
      </c>
      <c r="C351" s="125">
        <v>0</v>
      </c>
      <c r="D351" s="125">
        <v>17.093</v>
      </c>
      <c r="E351" s="125">
        <v>0</v>
      </c>
      <c r="F351" s="125">
        <v>0</v>
      </c>
      <c r="G351" s="125">
        <v>0</v>
      </c>
      <c r="H351" s="125">
        <v>0</v>
      </c>
      <c r="I351" s="125">
        <v>6</v>
      </c>
      <c r="J351" s="125">
        <v>0</v>
      </c>
      <c r="K351" s="125">
        <v>5.5</v>
      </c>
      <c r="L351" s="125">
        <v>0</v>
      </c>
      <c r="M351" s="125">
        <v>0</v>
      </c>
      <c r="N351" s="125">
        <v>0</v>
      </c>
      <c r="O351" s="125">
        <v>0</v>
      </c>
      <c r="P351" s="154"/>
      <c r="Q351" s="162"/>
      <c r="R351" s="162"/>
      <c r="S351" s="162"/>
      <c r="T351" s="162"/>
      <c r="U351" s="162"/>
      <c r="V351" s="162"/>
    </row>
    <row r="352" spans="1:22">
      <c r="A352" s="258"/>
      <c r="B352" s="124" t="s">
        <v>85</v>
      </c>
      <c r="C352" s="125">
        <v>0</v>
      </c>
      <c r="D352" s="125">
        <v>0</v>
      </c>
      <c r="E352" s="125">
        <v>0</v>
      </c>
      <c r="F352" s="125">
        <v>0</v>
      </c>
      <c r="G352" s="125">
        <v>0</v>
      </c>
      <c r="H352" s="125">
        <v>0</v>
      </c>
      <c r="I352" s="125">
        <v>0</v>
      </c>
      <c r="J352" s="125">
        <v>0</v>
      </c>
      <c r="K352" s="125">
        <v>0</v>
      </c>
      <c r="L352" s="125">
        <v>0</v>
      </c>
      <c r="M352" s="125">
        <v>0</v>
      </c>
      <c r="N352" s="125">
        <v>0</v>
      </c>
      <c r="O352" s="125">
        <v>0</v>
      </c>
      <c r="P352" s="154"/>
      <c r="Q352" s="162"/>
      <c r="R352" s="162"/>
      <c r="S352" s="162"/>
      <c r="T352" s="162"/>
      <c r="U352" s="162"/>
      <c r="V352" s="162"/>
    </row>
    <row r="353" spans="1:22">
      <c r="A353" s="258"/>
      <c r="B353" s="124" t="s">
        <v>78</v>
      </c>
      <c r="C353" s="125">
        <v>0</v>
      </c>
      <c r="D353" s="125">
        <v>0.44</v>
      </c>
      <c r="E353" s="125">
        <v>0</v>
      </c>
      <c r="F353" s="125">
        <v>0</v>
      </c>
      <c r="G353" s="125">
        <v>0.27500000000000002</v>
      </c>
      <c r="H353" s="125">
        <v>0</v>
      </c>
      <c r="I353" s="125">
        <v>0.17499999999999999</v>
      </c>
      <c r="J353" s="125">
        <v>0</v>
      </c>
      <c r="K353" s="125">
        <v>3.5</v>
      </c>
      <c r="L353" s="125">
        <v>1.425</v>
      </c>
      <c r="M353" s="125">
        <v>0.75</v>
      </c>
      <c r="N353" s="125">
        <v>3.6749999999999998</v>
      </c>
      <c r="O353" s="125">
        <v>0</v>
      </c>
      <c r="P353" s="154"/>
      <c r="Q353" s="162"/>
      <c r="R353" s="162"/>
      <c r="S353" s="162"/>
      <c r="T353" s="162"/>
      <c r="U353" s="162"/>
      <c r="V353" s="162"/>
    </row>
    <row r="354" spans="1:22">
      <c r="A354" s="258"/>
      <c r="B354" s="124" t="s">
        <v>79</v>
      </c>
      <c r="C354" s="125">
        <v>0</v>
      </c>
      <c r="D354" s="125">
        <v>0</v>
      </c>
      <c r="E354" s="125">
        <v>0</v>
      </c>
      <c r="F354" s="125">
        <v>0</v>
      </c>
      <c r="G354" s="125">
        <v>0</v>
      </c>
      <c r="H354" s="125">
        <v>0</v>
      </c>
      <c r="I354" s="125">
        <v>0</v>
      </c>
      <c r="J354" s="125">
        <v>0</v>
      </c>
      <c r="K354" s="125">
        <v>0</v>
      </c>
      <c r="L354" s="125">
        <v>0</v>
      </c>
      <c r="M354" s="125">
        <v>0</v>
      </c>
      <c r="N354" s="125">
        <v>0</v>
      </c>
      <c r="O354" s="125">
        <v>0</v>
      </c>
      <c r="P354" s="155">
        <f>O357/C357-1</f>
        <v>-0.13334167136682051</v>
      </c>
      <c r="Q354" s="162"/>
      <c r="R354" s="162"/>
      <c r="S354" s="162"/>
      <c r="T354" s="162"/>
      <c r="U354" s="162"/>
      <c r="V354" s="162"/>
    </row>
    <row r="355" spans="1:22">
      <c r="A355" s="258"/>
      <c r="B355" s="197" t="s">
        <v>246</v>
      </c>
      <c r="C355" s="125">
        <v>0</v>
      </c>
      <c r="D355" s="125">
        <v>0</v>
      </c>
      <c r="E355" s="125">
        <v>0</v>
      </c>
      <c r="F355" s="125">
        <v>0</v>
      </c>
      <c r="G355" s="125">
        <v>0</v>
      </c>
      <c r="H355" s="125">
        <v>0</v>
      </c>
      <c r="I355" s="125">
        <v>0</v>
      </c>
      <c r="J355" s="125">
        <v>0</v>
      </c>
      <c r="K355" s="125">
        <v>0</v>
      </c>
      <c r="L355" s="125">
        <v>0</v>
      </c>
      <c r="M355" s="125">
        <v>22</v>
      </c>
      <c r="N355" s="125">
        <v>0</v>
      </c>
      <c r="O355" s="125">
        <v>0</v>
      </c>
      <c r="P355" s="155"/>
      <c r="Q355" s="162"/>
      <c r="R355" s="162"/>
      <c r="S355" s="162"/>
      <c r="T355" s="162"/>
      <c r="U355" s="162"/>
      <c r="V355" s="162"/>
    </row>
    <row r="356" spans="1:22">
      <c r="A356" s="258"/>
      <c r="B356" s="197" t="s">
        <v>76</v>
      </c>
      <c r="C356" s="125">
        <v>110</v>
      </c>
      <c r="D356" s="125">
        <v>458.57299999999998</v>
      </c>
      <c r="E356" s="125">
        <v>850</v>
      </c>
      <c r="F356" s="125">
        <v>540.75</v>
      </c>
      <c r="G356" s="125">
        <v>66.5</v>
      </c>
      <c r="H356" s="125">
        <v>1200</v>
      </c>
      <c r="I356" s="125">
        <v>1179.3330000000001</v>
      </c>
      <c r="J356" s="125">
        <v>497.25</v>
      </c>
      <c r="K356" s="125">
        <v>325</v>
      </c>
      <c r="L356" s="125">
        <v>860</v>
      </c>
      <c r="M356" s="125">
        <v>2186.4</v>
      </c>
      <c r="N356" s="125">
        <v>4850.1750000000002</v>
      </c>
      <c r="O356" s="125">
        <v>9429.009</v>
      </c>
      <c r="P356" s="154"/>
      <c r="Q356" s="162"/>
      <c r="R356" s="162"/>
      <c r="S356" s="162"/>
      <c r="T356" s="162"/>
      <c r="U356" s="162"/>
      <c r="V356" s="162"/>
    </row>
    <row r="357" spans="1:22">
      <c r="A357" s="257"/>
      <c r="B357" s="198" t="s">
        <v>0</v>
      </c>
      <c r="C357" s="225">
        <v>438728.549</v>
      </c>
      <c r="D357" s="225">
        <v>640069.17299999995</v>
      </c>
      <c r="E357" s="225">
        <v>464023.609</v>
      </c>
      <c r="F357" s="225">
        <v>416881.77399999998</v>
      </c>
      <c r="G357" s="225">
        <v>467854.8</v>
      </c>
      <c r="H357" s="225">
        <v>822619.554</v>
      </c>
      <c r="I357" s="225">
        <v>656612.53700000001</v>
      </c>
      <c r="J357" s="225">
        <v>356644.06800000003</v>
      </c>
      <c r="K357" s="225">
        <v>200229.10699999999</v>
      </c>
      <c r="L357" s="225">
        <v>518640.67700000003</v>
      </c>
      <c r="M357" s="215">
        <v>518640.67700000003</v>
      </c>
      <c r="N357" s="215">
        <v>459278.092</v>
      </c>
      <c r="O357" s="216">
        <v>380227.75099999999</v>
      </c>
      <c r="P357" s="154"/>
      <c r="Q357" s="162"/>
      <c r="R357" s="162"/>
      <c r="S357" s="162"/>
      <c r="T357" s="162"/>
      <c r="U357" s="162"/>
      <c r="V357" s="162"/>
    </row>
    <row r="358" spans="1:22">
      <c r="A358" s="261" t="s">
        <v>75</v>
      </c>
      <c r="B358" s="124" t="s">
        <v>208</v>
      </c>
      <c r="C358" s="125">
        <v>0</v>
      </c>
      <c r="D358" s="125">
        <v>0</v>
      </c>
      <c r="E358" s="125">
        <v>0</v>
      </c>
      <c r="F358" s="125">
        <v>0</v>
      </c>
      <c r="G358" s="125">
        <v>0</v>
      </c>
      <c r="H358" s="125">
        <v>0</v>
      </c>
      <c r="I358" s="125">
        <v>0</v>
      </c>
      <c r="J358" s="125">
        <v>0</v>
      </c>
      <c r="K358" s="125">
        <v>0</v>
      </c>
      <c r="L358" s="125">
        <v>0</v>
      </c>
      <c r="M358" s="213">
        <v>0</v>
      </c>
      <c r="N358" s="213">
        <v>0</v>
      </c>
      <c r="O358" s="214">
        <v>0</v>
      </c>
      <c r="P358" s="154"/>
      <c r="Q358" s="162"/>
      <c r="R358" s="162"/>
      <c r="S358" s="162"/>
      <c r="T358" s="162"/>
      <c r="U358" s="162"/>
      <c r="V358" s="162"/>
    </row>
    <row r="359" spans="1:22">
      <c r="A359" s="258"/>
      <c r="B359" s="124" t="s">
        <v>73</v>
      </c>
      <c r="C359" s="125">
        <v>0</v>
      </c>
      <c r="D359" s="125">
        <v>0</v>
      </c>
      <c r="E359" s="125">
        <v>0</v>
      </c>
      <c r="F359" s="125">
        <v>0</v>
      </c>
      <c r="G359" s="125">
        <v>0</v>
      </c>
      <c r="H359" s="125">
        <v>0</v>
      </c>
      <c r="I359" s="125">
        <v>120</v>
      </c>
      <c r="J359" s="125">
        <v>0</v>
      </c>
      <c r="K359" s="125">
        <v>0</v>
      </c>
      <c r="L359" s="125">
        <v>0</v>
      </c>
      <c r="M359" s="213">
        <v>0</v>
      </c>
      <c r="N359" s="213">
        <v>0</v>
      </c>
      <c r="O359" s="214">
        <v>0</v>
      </c>
      <c r="P359" s="154"/>
      <c r="Q359" s="162"/>
      <c r="R359" s="162"/>
      <c r="S359" s="162"/>
      <c r="T359" s="162"/>
      <c r="U359" s="162"/>
      <c r="V359" s="162"/>
    </row>
    <row r="360" spans="1:22">
      <c r="A360" s="258"/>
      <c r="B360" s="124" t="s">
        <v>23</v>
      </c>
      <c r="C360" s="125">
        <v>1455.4469999999999</v>
      </c>
      <c r="D360" s="125">
        <v>2701.1750000000002</v>
      </c>
      <c r="E360" s="125">
        <v>217.3</v>
      </c>
      <c r="F360" s="125">
        <v>8987.6</v>
      </c>
      <c r="G360" s="125">
        <v>690.8</v>
      </c>
      <c r="H360" s="125">
        <v>0</v>
      </c>
      <c r="I360" s="125">
        <v>7.65</v>
      </c>
      <c r="J360" s="125">
        <v>139.28299999999999</v>
      </c>
      <c r="K360" s="125">
        <v>2.5000000000000001E-2</v>
      </c>
      <c r="L360" s="125">
        <v>625.5</v>
      </c>
      <c r="M360" s="213">
        <v>625.5</v>
      </c>
      <c r="N360" s="213">
        <v>3000.125</v>
      </c>
      <c r="O360" s="214">
        <v>1021.775</v>
      </c>
      <c r="P360" s="154"/>
      <c r="Q360" s="162"/>
      <c r="R360" s="162"/>
      <c r="S360" s="162"/>
      <c r="T360" s="162"/>
      <c r="U360" s="162"/>
      <c r="V360" s="162"/>
    </row>
    <row r="361" spans="1:22">
      <c r="A361" s="258"/>
      <c r="B361" s="124" t="s">
        <v>80</v>
      </c>
      <c r="C361" s="125">
        <v>847.53599999999994</v>
      </c>
      <c r="D361" s="125">
        <v>1318.671</v>
      </c>
      <c r="E361" s="125">
        <v>32.625</v>
      </c>
      <c r="F361" s="125">
        <v>840.12099999999998</v>
      </c>
      <c r="G361" s="125">
        <v>17.097000000000001</v>
      </c>
      <c r="H361" s="125">
        <v>18.25</v>
      </c>
      <c r="I361" s="125">
        <v>352.702</v>
      </c>
      <c r="J361" s="125">
        <v>1314.1389999999999</v>
      </c>
      <c r="K361" s="125">
        <v>893.82399999999996</v>
      </c>
      <c r="L361" s="125">
        <v>2378.8139999999999</v>
      </c>
      <c r="M361" s="213">
        <v>2378.8139999999999</v>
      </c>
      <c r="N361" s="213">
        <v>6273.1949999999997</v>
      </c>
      <c r="O361" s="214">
        <v>4302.4539999999997</v>
      </c>
      <c r="P361" s="154"/>
      <c r="Q361" s="162"/>
      <c r="R361" s="162"/>
      <c r="S361" s="162"/>
      <c r="T361" s="162"/>
      <c r="U361" s="162"/>
      <c r="V361" s="162"/>
    </row>
    <row r="362" spans="1:22">
      <c r="A362" s="258"/>
      <c r="B362" s="124" t="s">
        <v>74</v>
      </c>
      <c r="C362" s="125">
        <v>2673.65</v>
      </c>
      <c r="D362" s="125">
        <v>11020.95</v>
      </c>
      <c r="E362" s="125">
        <v>20239.797999999999</v>
      </c>
      <c r="F362" s="125">
        <v>13384.6</v>
      </c>
      <c r="G362" s="125">
        <v>14398.216</v>
      </c>
      <c r="H362" s="125">
        <v>2875.8339999999998</v>
      </c>
      <c r="I362" s="125">
        <v>1714.424</v>
      </c>
      <c r="J362" s="125">
        <v>2159.3330000000001</v>
      </c>
      <c r="K362" s="125">
        <v>5583.5</v>
      </c>
      <c r="L362" s="125">
        <v>2946.4760000000001</v>
      </c>
      <c r="M362" s="213">
        <v>2946.4760000000001</v>
      </c>
      <c r="N362" s="213">
        <v>3981.25</v>
      </c>
      <c r="O362" s="214">
        <v>6001.4319999999998</v>
      </c>
      <c r="P362" s="154"/>
      <c r="Q362" s="162"/>
      <c r="R362" s="162"/>
      <c r="S362" s="162"/>
      <c r="T362" s="162"/>
      <c r="U362" s="162"/>
      <c r="V362" s="162"/>
    </row>
    <row r="363" spans="1:22">
      <c r="A363" s="258"/>
      <c r="B363" s="124" t="s">
        <v>83</v>
      </c>
      <c r="C363" s="125">
        <v>0</v>
      </c>
      <c r="D363" s="125">
        <v>0</v>
      </c>
      <c r="E363" s="125">
        <v>0</v>
      </c>
      <c r="F363" s="125">
        <v>0</v>
      </c>
      <c r="G363" s="125">
        <v>0</v>
      </c>
      <c r="H363" s="125">
        <v>0</v>
      </c>
      <c r="I363" s="125">
        <v>30.225000000000001</v>
      </c>
      <c r="J363" s="125">
        <v>42.7</v>
      </c>
      <c r="K363" s="125">
        <v>0</v>
      </c>
      <c r="L363" s="125">
        <v>0</v>
      </c>
      <c r="M363" s="213">
        <v>0</v>
      </c>
      <c r="N363" s="213">
        <v>17.925000000000001</v>
      </c>
      <c r="O363" s="214">
        <v>13.3</v>
      </c>
      <c r="P363" s="154"/>
      <c r="Q363" s="162"/>
      <c r="R363" s="162"/>
      <c r="S363" s="162"/>
      <c r="T363" s="162"/>
      <c r="U363" s="162"/>
      <c r="V363" s="162"/>
    </row>
    <row r="364" spans="1:22">
      <c r="A364" s="258"/>
      <c r="B364" s="124" t="s">
        <v>77</v>
      </c>
      <c r="C364" s="125">
        <v>51036.108999999997</v>
      </c>
      <c r="D364" s="125">
        <v>38607.135999999999</v>
      </c>
      <c r="E364" s="125">
        <v>17134.645</v>
      </c>
      <c r="F364" s="125">
        <v>29817.697</v>
      </c>
      <c r="G364" s="125">
        <v>16272.343999999999</v>
      </c>
      <c r="H364" s="125">
        <v>5190.7349999999997</v>
      </c>
      <c r="I364" s="125">
        <v>21109.850999999999</v>
      </c>
      <c r="J364" s="125">
        <v>10600.206</v>
      </c>
      <c r="K364" s="125">
        <v>15107.638999999999</v>
      </c>
      <c r="L364" s="125">
        <v>13384.953</v>
      </c>
      <c r="M364" s="213">
        <v>13379.977999999999</v>
      </c>
      <c r="N364" s="213">
        <v>131978.226</v>
      </c>
      <c r="O364" s="214">
        <v>53466.71</v>
      </c>
      <c r="P364" s="154"/>
      <c r="Q364" s="162"/>
      <c r="R364" s="162"/>
      <c r="S364" s="162"/>
      <c r="T364" s="162"/>
      <c r="U364" s="162"/>
      <c r="V364" s="162"/>
    </row>
    <row r="365" spans="1:22">
      <c r="A365" s="258"/>
      <c r="B365" s="124" t="s">
        <v>209</v>
      </c>
      <c r="C365" s="125">
        <v>0</v>
      </c>
      <c r="D365" s="125">
        <v>152.154</v>
      </c>
      <c r="E365" s="125">
        <v>85.46</v>
      </c>
      <c r="F365" s="125">
        <v>414.49799999999999</v>
      </c>
      <c r="G365" s="125">
        <v>4.125</v>
      </c>
      <c r="H365" s="125">
        <v>14.95</v>
      </c>
      <c r="I365" s="125">
        <v>639.66700000000003</v>
      </c>
      <c r="J365" s="125">
        <v>1319.4960000000001</v>
      </c>
      <c r="K365" s="125">
        <v>943.077</v>
      </c>
      <c r="L365" s="125">
        <v>2505.9189999999999</v>
      </c>
      <c r="M365" s="213">
        <v>2505.9189999999999</v>
      </c>
      <c r="N365" s="213">
        <v>4382.4769999999999</v>
      </c>
      <c r="O365" s="214">
        <v>1433.252</v>
      </c>
      <c r="P365" s="154"/>
      <c r="Q365" s="162"/>
      <c r="R365" s="162"/>
      <c r="S365" s="162"/>
      <c r="T365" s="162"/>
      <c r="U365" s="162"/>
      <c r="V365" s="162"/>
    </row>
    <row r="366" spans="1:22">
      <c r="A366" s="258"/>
      <c r="B366" s="124" t="s">
        <v>19</v>
      </c>
      <c r="C366" s="125">
        <v>614.29399999999998</v>
      </c>
      <c r="D366" s="125">
        <v>562.18100000000004</v>
      </c>
      <c r="E366" s="125">
        <v>119.363</v>
      </c>
      <c r="F366" s="125">
        <v>524.98400000000004</v>
      </c>
      <c r="G366" s="125">
        <v>735.99199999999996</v>
      </c>
      <c r="H366" s="125">
        <v>42.469000000000001</v>
      </c>
      <c r="I366" s="125">
        <v>65.772999999999996</v>
      </c>
      <c r="J366" s="125">
        <v>2249.5949999999998</v>
      </c>
      <c r="K366" s="125">
        <v>2043.925</v>
      </c>
      <c r="L366" s="125">
        <v>3560.598</v>
      </c>
      <c r="M366" s="213">
        <v>3560.598</v>
      </c>
      <c r="N366" s="213">
        <v>5141.28</v>
      </c>
      <c r="O366" s="214">
        <v>5499.3530000000001</v>
      </c>
      <c r="P366" s="154"/>
      <c r="Q366" s="162"/>
      <c r="R366" s="162"/>
      <c r="S366" s="162"/>
      <c r="T366" s="162"/>
      <c r="U366" s="162"/>
      <c r="V366" s="162"/>
    </row>
    <row r="367" spans="1:22">
      <c r="A367" s="258"/>
      <c r="B367" s="124" t="s">
        <v>170</v>
      </c>
      <c r="C367" s="125">
        <v>0</v>
      </c>
      <c r="D367" s="125">
        <v>0</v>
      </c>
      <c r="E367" s="125">
        <v>0</v>
      </c>
      <c r="F367" s="125">
        <v>0</v>
      </c>
      <c r="G367" s="125">
        <v>0</v>
      </c>
      <c r="H367" s="125">
        <v>0</v>
      </c>
      <c r="I367" s="125">
        <v>0</v>
      </c>
      <c r="J367" s="125">
        <v>0</v>
      </c>
      <c r="K367" s="125">
        <v>0</v>
      </c>
      <c r="L367" s="125">
        <v>0</v>
      </c>
      <c r="M367" s="213">
        <v>0</v>
      </c>
      <c r="N367" s="213">
        <v>0</v>
      </c>
      <c r="O367" s="214">
        <v>0</v>
      </c>
      <c r="P367" s="154"/>
      <c r="Q367" s="162"/>
      <c r="R367" s="162"/>
      <c r="S367" s="162"/>
      <c r="T367" s="162"/>
      <c r="U367" s="162"/>
      <c r="V367" s="162"/>
    </row>
    <row r="368" spans="1:22">
      <c r="A368" s="258"/>
      <c r="B368" s="124" t="s">
        <v>84</v>
      </c>
      <c r="C368" s="125">
        <v>0</v>
      </c>
      <c r="D368" s="125">
        <v>0</v>
      </c>
      <c r="E368" s="125">
        <v>0</v>
      </c>
      <c r="F368" s="125">
        <v>0</v>
      </c>
      <c r="G368" s="125">
        <v>0</v>
      </c>
      <c r="H368" s="125">
        <v>0</v>
      </c>
      <c r="I368" s="125">
        <v>0</v>
      </c>
      <c r="J368" s="125">
        <v>0</v>
      </c>
      <c r="K368" s="125">
        <v>0</v>
      </c>
      <c r="L368" s="125">
        <v>0</v>
      </c>
      <c r="M368" s="213">
        <v>0</v>
      </c>
      <c r="N368" s="213">
        <v>0</v>
      </c>
      <c r="O368" s="214">
        <v>0</v>
      </c>
      <c r="P368" s="154"/>
      <c r="Q368" s="162"/>
      <c r="R368" s="162"/>
      <c r="S368" s="162"/>
      <c r="T368" s="162"/>
      <c r="U368" s="162"/>
      <c r="V368" s="162"/>
    </row>
    <row r="369" spans="1:17">
      <c r="A369" s="258"/>
      <c r="B369" s="124" t="s">
        <v>72</v>
      </c>
      <c r="C369" s="125">
        <v>0</v>
      </c>
      <c r="D369" s="125">
        <v>0</v>
      </c>
      <c r="E369" s="125">
        <v>0</v>
      </c>
      <c r="F369" s="125">
        <v>0</v>
      </c>
      <c r="G369" s="125">
        <v>0</v>
      </c>
      <c r="H369" s="125">
        <v>0</v>
      </c>
      <c r="I369" s="125">
        <v>0</v>
      </c>
      <c r="J369" s="125">
        <v>0</v>
      </c>
      <c r="K369" s="125">
        <v>0</v>
      </c>
      <c r="L369" s="125">
        <v>0</v>
      </c>
      <c r="M369" s="213">
        <v>0</v>
      </c>
      <c r="N369" s="213">
        <v>0</v>
      </c>
      <c r="O369" s="214">
        <v>0</v>
      </c>
      <c r="P369" s="154"/>
    </row>
    <row r="370" spans="1:17">
      <c r="A370" s="258"/>
      <c r="B370" s="124" t="s">
        <v>81</v>
      </c>
      <c r="C370" s="125">
        <v>1121.5920000000001</v>
      </c>
      <c r="D370" s="125">
        <v>696.14200000000005</v>
      </c>
      <c r="E370" s="125">
        <v>21.475000000000001</v>
      </c>
      <c r="F370" s="125">
        <v>673.13300000000004</v>
      </c>
      <c r="G370" s="125">
        <v>10.464</v>
      </c>
      <c r="H370" s="125">
        <v>0</v>
      </c>
      <c r="I370" s="125">
        <v>274.47500000000002</v>
      </c>
      <c r="J370" s="125">
        <v>1254.827</v>
      </c>
      <c r="K370" s="125">
        <v>1793.0419999999999</v>
      </c>
      <c r="L370" s="125">
        <v>2355.221</v>
      </c>
      <c r="M370" s="213">
        <v>2355.221</v>
      </c>
      <c r="N370" s="213">
        <v>2418.8760000000002</v>
      </c>
      <c r="O370" s="214">
        <v>1658.9880000000001</v>
      </c>
      <c r="P370" s="154"/>
    </row>
    <row r="371" spans="1:17">
      <c r="A371" s="258"/>
      <c r="B371" s="124" t="s">
        <v>85</v>
      </c>
      <c r="C371" s="125">
        <v>0</v>
      </c>
      <c r="D371" s="125">
        <v>6.06</v>
      </c>
      <c r="E371" s="125">
        <v>0</v>
      </c>
      <c r="F371" s="125">
        <v>0</v>
      </c>
      <c r="G371" s="125">
        <v>0</v>
      </c>
      <c r="H371" s="125">
        <v>0</v>
      </c>
      <c r="I371" s="125">
        <v>0</v>
      </c>
      <c r="J371" s="125">
        <v>0</v>
      </c>
      <c r="K371" s="125">
        <v>0</v>
      </c>
      <c r="L371" s="125">
        <v>122.68300000000001</v>
      </c>
      <c r="M371" s="213">
        <v>122.68300000000001</v>
      </c>
      <c r="N371" s="213">
        <v>1111.912</v>
      </c>
      <c r="O371" s="214">
        <v>779.20500000000004</v>
      </c>
      <c r="P371" s="155">
        <f>O376/C376-1</f>
        <v>-2.783218850371183E-2</v>
      </c>
      <c r="Q371" s="155">
        <f>(O357+O376)/(C376+C357)-1</f>
        <v>-0.11854522709864024</v>
      </c>
    </row>
    <row r="372" spans="1:17">
      <c r="A372" s="258"/>
      <c r="B372" s="124" t="s">
        <v>78</v>
      </c>
      <c r="C372" s="125">
        <v>4121.2039999999997</v>
      </c>
      <c r="D372" s="125">
        <v>6669.0439999999999</v>
      </c>
      <c r="E372" s="125">
        <v>4289.0709999999999</v>
      </c>
      <c r="F372" s="125">
        <v>580.30200000000002</v>
      </c>
      <c r="G372" s="125">
        <v>297.23099999999999</v>
      </c>
      <c r="H372" s="125">
        <v>1129.2550000000001</v>
      </c>
      <c r="I372" s="125">
        <v>38619.468999999997</v>
      </c>
      <c r="J372" s="125">
        <v>36877.692000000003</v>
      </c>
      <c r="K372" s="125">
        <v>51954.457000000002</v>
      </c>
      <c r="L372" s="125">
        <v>132370.96599999999</v>
      </c>
      <c r="M372" s="125">
        <v>223344.245</v>
      </c>
      <c r="N372" s="125">
        <v>63965.084000000003</v>
      </c>
      <c r="O372" s="125">
        <v>19560.11</v>
      </c>
      <c r="P372" s="154"/>
    </row>
    <row r="373" spans="1:17">
      <c r="A373" s="258"/>
      <c r="B373" s="124" t="s">
        <v>79</v>
      </c>
      <c r="C373" s="125">
        <v>8695.57</v>
      </c>
      <c r="D373" s="125">
        <v>685.92</v>
      </c>
      <c r="E373" s="125">
        <v>0</v>
      </c>
      <c r="F373" s="125">
        <v>12.4</v>
      </c>
      <c r="G373" s="125">
        <v>102.47499999999999</v>
      </c>
      <c r="H373" s="125">
        <v>151.67500000000001</v>
      </c>
      <c r="I373" s="125">
        <v>2600.2660000000001</v>
      </c>
      <c r="J373" s="125">
        <v>15191.608</v>
      </c>
      <c r="K373" s="125">
        <v>25605.382000000001</v>
      </c>
      <c r="L373" s="125">
        <v>37295.190999999999</v>
      </c>
      <c r="M373" s="125">
        <v>32322.863000000001</v>
      </c>
      <c r="N373" s="125">
        <v>16218.591</v>
      </c>
      <c r="O373" s="125">
        <v>5669.5519999999997</v>
      </c>
      <c r="P373" s="154"/>
    </row>
    <row r="374" spans="1:17">
      <c r="A374" s="258"/>
      <c r="B374" s="197" t="s">
        <v>246</v>
      </c>
      <c r="C374" s="125">
        <v>0</v>
      </c>
      <c r="D374" s="125">
        <v>0</v>
      </c>
      <c r="E374" s="125">
        <v>0</v>
      </c>
      <c r="F374" s="125">
        <v>0</v>
      </c>
      <c r="G374" s="125">
        <v>0</v>
      </c>
      <c r="H374" s="125">
        <v>0</v>
      </c>
      <c r="I374" s="125">
        <v>0</v>
      </c>
      <c r="J374" s="125">
        <v>0</v>
      </c>
      <c r="K374" s="125">
        <v>0</v>
      </c>
      <c r="L374" s="125">
        <v>0</v>
      </c>
      <c r="M374" s="125">
        <v>0</v>
      </c>
      <c r="N374" s="125">
        <v>0</v>
      </c>
      <c r="O374" s="125">
        <v>0</v>
      </c>
      <c r="P374" s="154"/>
    </row>
    <row r="375" spans="1:17">
      <c r="A375" s="258"/>
      <c r="B375" s="197" t="s">
        <v>76</v>
      </c>
      <c r="C375" s="125">
        <v>996.77499999999998</v>
      </c>
      <c r="D375" s="125">
        <v>3929.3</v>
      </c>
      <c r="E375" s="125">
        <v>3606.1</v>
      </c>
      <c r="F375" s="125">
        <v>4997.3999999999996</v>
      </c>
      <c r="G375" s="125">
        <v>649.82500000000005</v>
      </c>
      <c r="H375" s="125">
        <v>0</v>
      </c>
      <c r="I375" s="125">
        <v>1116.925</v>
      </c>
      <c r="J375" s="125">
        <v>147.36600000000001</v>
      </c>
      <c r="K375" s="125">
        <v>3262.7249999999999</v>
      </c>
      <c r="L375" s="125">
        <v>2493.3420000000001</v>
      </c>
      <c r="M375" s="125">
        <v>31460.519</v>
      </c>
      <c r="N375" s="125">
        <v>14627.808000000001</v>
      </c>
      <c r="O375" s="125">
        <v>439.1</v>
      </c>
      <c r="P375" s="154"/>
    </row>
    <row r="376" spans="1:17">
      <c r="A376" s="257"/>
      <c r="B376" s="198" t="s">
        <v>0</v>
      </c>
      <c r="C376" s="225">
        <v>71562.176999999996</v>
      </c>
      <c r="D376" s="225">
        <v>66348.732999999993</v>
      </c>
      <c r="E376" s="225">
        <v>45745.837</v>
      </c>
      <c r="F376" s="225">
        <v>60232.735000000001</v>
      </c>
      <c r="G376" s="225">
        <v>33178.569000000003</v>
      </c>
      <c r="H376" s="225">
        <v>9423.1679999999997</v>
      </c>
      <c r="I376" s="225">
        <v>66651.426999999996</v>
      </c>
      <c r="J376" s="225">
        <v>71296.244999999995</v>
      </c>
      <c r="K376" s="225">
        <v>107187.59600000001</v>
      </c>
      <c r="L376" s="225">
        <v>200039.663</v>
      </c>
      <c r="M376" s="225">
        <v>445445.24300000002</v>
      </c>
      <c r="N376" s="225">
        <v>168987.95199999999</v>
      </c>
      <c r="O376" s="225">
        <v>69570.445000000007</v>
      </c>
      <c r="P376" s="154"/>
    </row>
    <row r="377" spans="1:17">
      <c r="A377" s="162"/>
      <c r="B377" s="162"/>
      <c r="C377" s="162"/>
      <c r="D377" s="162"/>
      <c r="E377" s="162"/>
      <c r="F377" s="162"/>
      <c r="G377" s="162"/>
      <c r="H377" s="162"/>
      <c r="I377" s="162"/>
      <c r="J377" s="162"/>
      <c r="K377" s="162"/>
      <c r="L377" s="162"/>
      <c r="M377" s="162"/>
      <c r="N377" s="162"/>
      <c r="P377" s="154"/>
    </row>
    <row r="378" spans="1:17">
      <c r="A378" s="162"/>
      <c r="B378" s="162"/>
      <c r="C378" s="162"/>
      <c r="D378" s="162"/>
      <c r="E378" s="162"/>
      <c r="F378" s="162"/>
      <c r="G378" s="162"/>
      <c r="H378" s="162"/>
      <c r="I378" s="162"/>
      <c r="J378" s="162"/>
      <c r="K378" s="162"/>
      <c r="L378" s="162"/>
      <c r="M378" s="162"/>
      <c r="N378" s="162"/>
    </row>
    <row r="379" spans="1:17">
      <c r="A379" s="162"/>
      <c r="B379" s="162"/>
      <c r="C379" s="162"/>
      <c r="D379" s="162"/>
      <c r="E379" s="162"/>
      <c r="F379" s="162"/>
      <c r="G379" s="162"/>
      <c r="H379" s="162"/>
      <c r="I379" s="162"/>
      <c r="J379" s="162"/>
      <c r="K379" s="162"/>
      <c r="L379" s="162"/>
      <c r="M379" s="162"/>
      <c r="N379" s="162"/>
    </row>
    <row r="380" spans="1:17">
      <c r="A380" s="84"/>
    </row>
    <row r="381" spans="1:17">
      <c r="A381" s="84"/>
    </row>
    <row r="383" spans="1:17">
      <c r="A383" s="84"/>
    </row>
    <row r="384" spans="1:17">
      <c r="A384" s="84"/>
    </row>
    <row r="385" spans="1:15">
      <c r="A385" s="84"/>
    </row>
    <row r="386" spans="1:15">
      <c r="A386" s="84"/>
    </row>
    <row r="387" spans="1:15">
      <c r="A387" s="84"/>
    </row>
    <row r="388" spans="1:15">
      <c r="A388" s="84" t="s">
        <v>205</v>
      </c>
    </row>
    <row r="389" spans="1:15">
      <c r="B389" s="142" t="str">
        <f>MID(B390,6,1)</f>
        <v>S</v>
      </c>
      <c r="C389" s="142" t="str">
        <f t="shared" ref="C389:N389" si="12">MID(C390,6,1)</f>
        <v>O</v>
      </c>
      <c r="D389" s="142" t="str">
        <f t="shared" si="12"/>
        <v>N</v>
      </c>
      <c r="E389" s="142" t="str">
        <f t="shared" si="12"/>
        <v>D</v>
      </c>
      <c r="F389" s="142" t="str">
        <f t="shared" si="12"/>
        <v>E</v>
      </c>
      <c r="G389" s="142" t="str">
        <f t="shared" si="12"/>
        <v>F</v>
      </c>
      <c r="H389" s="142" t="str">
        <f t="shared" si="12"/>
        <v>M</v>
      </c>
      <c r="I389" s="142" t="str">
        <f t="shared" si="12"/>
        <v>A</v>
      </c>
      <c r="J389" s="142" t="str">
        <f t="shared" si="12"/>
        <v>M</v>
      </c>
      <c r="K389" s="142" t="str">
        <f t="shared" si="12"/>
        <v>J</v>
      </c>
      <c r="L389" s="142" t="str">
        <f t="shared" si="12"/>
        <v>J</v>
      </c>
      <c r="M389" s="142" t="str">
        <f t="shared" si="12"/>
        <v>A</v>
      </c>
      <c r="N389" s="142" t="str">
        <f t="shared" si="12"/>
        <v>S</v>
      </c>
    </row>
    <row r="390" spans="1:15">
      <c r="A390" s="122" t="s">
        <v>86</v>
      </c>
      <c r="B390" s="145" t="s">
        <v>210</v>
      </c>
      <c r="C390" s="145" t="s">
        <v>212</v>
      </c>
      <c r="D390" s="145" t="s">
        <v>215</v>
      </c>
      <c r="E390" s="145" t="s">
        <v>217</v>
      </c>
      <c r="F390" s="145" t="s">
        <v>221</v>
      </c>
      <c r="G390" s="145" t="s">
        <v>223</v>
      </c>
      <c r="H390" s="145" t="s">
        <v>226</v>
      </c>
      <c r="I390" s="145" t="s">
        <v>236</v>
      </c>
      <c r="J390" s="145" t="s">
        <v>239</v>
      </c>
      <c r="K390" s="145" t="s">
        <v>241</v>
      </c>
      <c r="L390" s="145" t="s">
        <v>244</v>
      </c>
      <c r="M390" s="145" t="s">
        <v>247</v>
      </c>
      <c r="N390" s="145" t="s">
        <v>282</v>
      </c>
    </row>
    <row r="391" spans="1:15">
      <c r="A391" s="122" t="s">
        <v>27</v>
      </c>
      <c r="B391" s="143"/>
      <c r="C391" s="143"/>
      <c r="D391" s="143"/>
      <c r="E391" s="143"/>
      <c r="F391" s="143"/>
      <c r="G391" s="143"/>
      <c r="H391" s="143"/>
      <c r="I391" s="143"/>
      <c r="J391" s="143"/>
      <c r="K391" s="143"/>
      <c r="L391" s="143"/>
      <c r="M391" s="143"/>
      <c r="N391" s="143"/>
    </row>
    <row r="392" spans="1:15">
      <c r="A392" s="124" t="s">
        <v>160</v>
      </c>
      <c r="B392" s="186">
        <v>30495.718000000001</v>
      </c>
      <c r="C392" s="186">
        <v>56182.945</v>
      </c>
      <c r="D392" s="186">
        <v>56797.224999999999</v>
      </c>
      <c r="E392" s="186">
        <v>41067.438999999998</v>
      </c>
      <c r="F392" s="186">
        <v>70956.782000000007</v>
      </c>
      <c r="G392" s="186">
        <v>61245.858</v>
      </c>
      <c r="H392" s="186">
        <v>99891.236000000004</v>
      </c>
      <c r="I392" s="186">
        <v>93450.634999999995</v>
      </c>
      <c r="J392" s="186">
        <v>97291.297000000006</v>
      </c>
      <c r="K392" s="186">
        <v>40991.940999999999</v>
      </c>
      <c r="L392" s="186">
        <v>36677.394999999997</v>
      </c>
      <c r="M392" s="186">
        <v>35242.697999999997</v>
      </c>
      <c r="N392" s="186">
        <v>27929.848999999998</v>
      </c>
      <c r="O392" s="62"/>
    </row>
    <row r="393" spans="1:15">
      <c r="A393" s="124" t="s">
        <v>161</v>
      </c>
      <c r="B393" s="186">
        <v>45030.47</v>
      </c>
      <c r="C393" s="186">
        <v>46979.968999999997</v>
      </c>
      <c r="D393" s="186">
        <v>40854.091</v>
      </c>
      <c r="E393" s="186">
        <v>49099.819000000003</v>
      </c>
      <c r="F393" s="186">
        <v>48783.938000000002</v>
      </c>
      <c r="G393" s="186">
        <v>32668.483</v>
      </c>
      <c r="H393" s="186">
        <v>28032.678</v>
      </c>
      <c r="I393" s="186">
        <v>26740.23</v>
      </c>
      <c r="J393" s="186">
        <v>26569.347000000002</v>
      </c>
      <c r="K393" s="186">
        <v>42027.644</v>
      </c>
      <c r="L393" s="186">
        <v>26980.576000000001</v>
      </c>
      <c r="M393" s="186">
        <v>26163.522000000001</v>
      </c>
      <c r="N393" s="186">
        <v>22461.603999999999</v>
      </c>
      <c r="O393" s="62"/>
    </row>
    <row r="394" spans="1:15">
      <c r="A394" s="148" t="s">
        <v>159</v>
      </c>
      <c r="B394" s="150">
        <f t="shared" ref="B394:N394" si="13">SUM(B392:B393)</f>
        <v>75526.187999999995</v>
      </c>
      <c r="C394" s="150">
        <f t="shared" si="13"/>
        <v>103162.91399999999</v>
      </c>
      <c r="D394" s="150">
        <f t="shared" si="13"/>
        <v>97651.315999999992</v>
      </c>
      <c r="E394" s="150">
        <f t="shared" si="13"/>
        <v>90167.258000000002</v>
      </c>
      <c r="F394" s="150">
        <f t="shared" si="13"/>
        <v>119740.72</v>
      </c>
      <c r="G394" s="150">
        <f t="shared" si="13"/>
        <v>93914.341</v>
      </c>
      <c r="H394" s="150">
        <f t="shared" si="13"/>
        <v>127923.914</v>
      </c>
      <c r="I394" s="150">
        <f t="shared" si="13"/>
        <v>120190.86499999999</v>
      </c>
      <c r="J394" s="150">
        <f t="shared" si="13"/>
        <v>123860.644</v>
      </c>
      <c r="K394" s="150">
        <f t="shared" si="13"/>
        <v>83019.584999999992</v>
      </c>
      <c r="L394" s="150">
        <f t="shared" si="13"/>
        <v>63657.970999999998</v>
      </c>
      <c r="M394" s="150">
        <f t="shared" si="13"/>
        <v>61406.22</v>
      </c>
      <c r="N394" s="150">
        <f t="shared" si="13"/>
        <v>50391.452999999994</v>
      </c>
    </row>
    <row r="395" spans="1:15">
      <c r="A395" s="124"/>
    </row>
    <row r="396" spans="1:15">
      <c r="A396" s="124"/>
    </row>
    <row r="397" spans="1:15">
      <c r="A397" s="84" t="s">
        <v>164</v>
      </c>
    </row>
    <row r="398" spans="1:15">
      <c r="A398" s="84" t="s">
        <v>165</v>
      </c>
    </row>
    <row r="399" spans="1:15">
      <c r="A399" s="122"/>
      <c r="B399" s="122" t="s">
        <v>27</v>
      </c>
      <c r="C399" s="244" t="s">
        <v>224</v>
      </c>
      <c r="D399" s="245"/>
      <c r="E399" s="245"/>
      <c r="F399" s="245"/>
      <c r="G399" s="245"/>
      <c r="H399" s="245"/>
      <c r="I399" s="245"/>
      <c r="J399" s="245"/>
      <c r="K399" s="245"/>
      <c r="L399" s="245"/>
      <c r="M399" s="245"/>
      <c r="N399" s="245"/>
      <c r="O399" s="245"/>
    </row>
    <row r="400" spans="1:15">
      <c r="A400" s="122"/>
      <c r="B400" s="122" t="s">
        <v>86</v>
      </c>
      <c r="C400" s="145" t="s">
        <v>210</v>
      </c>
      <c r="D400" s="145" t="s">
        <v>212</v>
      </c>
      <c r="E400" s="145" t="s">
        <v>215</v>
      </c>
      <c r="F400" s="145" t="s">
        <v>217</v>
      </c>
      <c r="G400" s="145" t="s">
        <v>221</v>
      </c>
      <c r="H400" s="145" t="s">
        <v>223</v>
      </c>
      <c r="I400" s="145" t="s">
        <v>226</v>
      </c>
      <c r="J400" s="145" t="s">
        <v>236</v>
      </c>
      <c r="K400" s="145" t="s">
        <v>239</v>
      </c>
      <c r="L400" s="145" t="s">
        <v>241</v>
      </c>
      <c r="M400" s="145" t="s">
        <v>244</v>
      </c>
      <c r="N400" s="145" t="s">
        <v>247</v>
      </c>
      <c r="O400" s="145" t="s">
        <v>282</v>
      </c>
    </row>
    <row r="401" spans="1:33">
      <c r="A401" s="122" t="s">
        <v>119</v>
      </c>
      <c r="B401" s="122" t="s">
        <v>192</v>
      </c>
      <c r="C401" s="143"/>
      <c r="D401" s="143"/>
      <c r="E401" s="143"/>
      <c r="F401" s="143"/>
      <c r="G401" s="143"/>
      <c r="H401" s="143"/>
      <c r="I401" s="143"/>
      <c r="J401" s="143"/>
      <c r="K401" s="143"/>
      <c r="L401" s="143"/>
      <c r="M401" s="143"/>
      <c r="N401" s="143"/>
      <c r="O401" s="143"/>
    </row>
    <row r="402" spans="1:33">
      <c r="A402" s="256" t="s">
        <v>71</v>
      </c>
      <c r="B402" s="124" t="s">
        <v>125</v>
      </c>
      <c r="C402" s="186">
        <v>155.87385113639999</v>
      </c>
      <c r="D402" s="186">
        <v>156.48894517759999</v>
      </c>
      <c r="E402" s="186">
        <v>180.21856425760001</v>
      </c>
      <c r="F402" s="186">
        <v>189.98390589690001</v>
      </c>
      <c r="G402" s="186">
        <v>194.01727648470001</v>
      </c>
      <c r="H402" s="186">
        <v>191.6424222304</v>
      </c>
      <c r="I402" s="186">
        <v>147.7308546305</v>
      </c>
      <c r="J402" s="186">
        <v>143.89626229070001</v>
      </c>
      <c r="K402" s="186">
        <v>155.04070517069999</v>
      </c>
      <c r="L402" s="186">
        <v>165.61002641549999</v>
      </c>
      <c r="M402" s="186">
        <v>150.28757834149999</v>
      </c>
      <c r="N402" s="186">
        <v>157.3914054217</v>
      </c>
      <c r="O402" s="186">
        <v>166.4099407866</v>
      </c>
      <c r="P402" s="156">
        <f>O402/C402-1</f>
        <v>6.7593695628782813E-2</v>
      </c>
    </row>
    <row r="403" spans="1:33">
      <c r="A403" s="257"/>
      <c r="B403" s="124" t="s">
        <v>129</v>
      </c>
      <c r="C403" s="186">
        <v>250.48584114369999</v>
      </c>
      <c r="D403" s="186">
        <v>255.87395143929999</v>
      </c>
      <c r="E403" s="186">
        <v>282.72443626889998</v>
      </c>
      <c r="F403" s="186">
        <v>303.92478247470001</v>
      </c>
      <c r="G403" s="186">
        <v>295.84538470059999</v>
      </c>
      <c r="H403" s="186">
        <v>305.10105866020001</v>
      </c>
      <c r="I403" s="186">
        <v>264.47613594680001</v>
      </c>
      <c r="J403" s="186">
        <v>244.68431349319999</v>
      </c>
      <c r="K403" s="186">
        <v>220.95676674020001</v>
      </c>
      <c r="L403" s="186">
        <v>219.1372056612</v>
      </c>
      <c r="M403" s="186">
        <v>200.37973579199999</v>
      </c>
      <c r="N403" s="186">
        <v>209.21789351460001</v>
      </c>
      <c r="O403" s="186">
        <v>232.59996176300001</v>
      </c>
      <c r="P403" s="156">
        <f>O403/C403-1</f>
        <v>-7.1404752057179555E-2</v>
      </c>
    </row>
    <row r="404" spans="1:33">
      <c r="A404" s="260" t="s">
        <v>75</v>
      </c>
      <c r="B404" s="124" t="s">
        <v>125</v>
      </c>
      <c r="C404" s="186">
        <v>67.661076487499997</v>
      </c>
      <c r="D404" s="186">
        <v>62.673256377999998</v>
      </c>
      <c r="E404" s="186">
        <v>92.2735799222</v>
      </c>
      <c r="F404" s="186">
        <v>93.843193179599993</v>
      </c>
      <c r="G404" s="186">
        <v>83.688895800300003</v>
      </c>
      <c r="H404" s="186">
        <v>97.485909316600001</v>
      </c>
      <c r="I404" s="186">
        <v>34.8353287288</v>
      </c>
      <c r="J404" s="186">
        <v>15.9430382588</v>
      </c>
      <c r="K404" s="186">
        <v>4.9076739190999996</v>
      </c>
      <c r="L404" s="186">
        <v>59.687552022399998</v>
      </c>
      <c r="M404" s="186">
        <v>56.254842437100002</v>
      </c>
      <c r="N404" s="186">
        <v>61.4824930184</v>
      </c>
      <c r="O404" s="186">
        <v>54.1608380053</v>
      </c>
      <c r="P404" s="156">
        <f>O404/C404-1</f>
        <v>-0.19952739718372781</v>
      </c>
    </row>
    <row r="405" spans="1:33">
      <c r="A405" s="257"/>
      <c r="B405" s="124" t="s">
        <v>129</v>
      </c>
      <c r="C405" s="226">
        <v>-16.474276763016899</v>
      </c>
      <c r="D405" s="226">
        <v>6.6043489614488999</v>
      </c>
      <c r="E405" s="226">
        <v>33.4109724621281</v>
      </c>
      <c r="F405" s="226">
        <v>21.356870173270401</v>
      </c>
      <c r="G405" s="226">
        <v>34.347338602035499</v>
      </c>
      <c r="H405" s="226">
        <v>32.386280461199497</v>
      </c>
      <c r="I405" s="226">
        <v>-105.857374548515</v>
      </c>
      <c r="J405" s="226">
        <v>-151.95851905293199</v>
      </c>
      <c r="K405" s="226">
        <v>-136.52684326860901</v>
      </c>
      <c r="L405" s="226">
        <v>-87.967055702460598</v>
      </c>
      <c r="M405" s="226">
        <v>-50.5990857585182</v>
      </c>
      <c r="N405" s="226">
        <v>-36.745907028188597</v>
      </c>
      <c r="O405" s="226">
        <v>-45.205144467913101</v>
      </c>
      <c r="P405" s="156">
        <f>O405/C405-1</f>
        <v>1.7439835519453042</v>
      </c>
    </row>
    <row r="406" spans="1:33">
      <c r="A406" s="124"/>
      <c r="B406" s="124"/>
      <c r="C406" s="124"/>
      <c r="D406" s="124"/>
      <c r="E406" s="124"/>
      <c r="F406" s="124"/>
      <c r="G406" s="124"/>
      <c r="H406" s="124"/>
      <c r="I406" s="124"/>
      <c r="J406" s="124"/>
      <c r="K406" s="124"/>
      <c r="L406" s="124"/>
      <c r="M406" s="124"/>
      <c r="N406" s="124"/>
      <c r="O406" s="124"/>
      <c r="P406" s="124"/>
      <c r="Q406" s="124"/>
      <c r="R406" s="124"/>
    </row>
    <row r="407" spans="1:33">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row>
    <row r="408" spans="1:33">
      <c r="A408" t="s">
        <v>166</v>
      </c>
    </row>
    <row r="409" spans="1:33">
      <c r="A409" s="122"/>
      <c r="B409" s="122" t="s">
        <v>27</v>
      </c>
      <c r="C409" s="244" t="s">
        <v>133</v>
      </c>
      <c r="D409" s="245"/>
      <c r="E409" s="245"/>
      <c r="F409" s="245"/>
      <c r="G409" s="245"/>
      <c r="H409" s="245"/>
      <c r="I409" s="245"/>
      <c r="J409" s="245"/>
      <c r="K409" s="245"/>
      <c r="L409" s="245"/>
      <c r="M409" s="245"/>
      <c r="N409" s="245"/>
      <c r="O409" s="245"/>
    </row>
    <row r="410" spans="1:33">
      <c r="A410" s="122"/>
      <c r="B410" s="122" t="s">
        <v>86</v>
      </c>
      <c r="C410" s="145" t="s">
        <v>210</v>
      </c>
      <c r="D410" s="145" t="s">
        <v>212</v>
      </c>
      <c r="E410" s="145" t="s">
        <v>215</v>
      </c>
      <c r="F410" s="145" t="s">
        <v>217</v>
      </c>
      <c r="G410" s="145" t="s">
        <v>221</v>
      </c>
      <c r="H410" s="145" t="s">
        <v>223</v>
      </c>
      <c r="I410" s="145" t="s">
        <v>226</v>
      </c>
      <c r="J410" s="145" t="s">
        <v>236</v>
      </c>
      <c r="K410" s="145" t="s">
        <v>239</v>
      </c>
      <c r="L410" s="145" t="s">
        <v>241</v>
      </c>
      <c r="M410" s="145" t="s">
        <v>244</v>
      </c>
      <c r="N410" s="145" t="s">
        <v>247</v>
      </c>
      <c r="O410" s="145" t="s">
        <v>282</v>
      </c>
    </row>
    <row r="411" spans="1:33">
      <c r="A411" s="122" t="s">
        <v>119</v>
      </c>
      <c r="B411" s="122" t="s">
        <v>194</v>
      </c>
      <c r="C411" s="143"/>
      <c r="D411" s="143"/>
      <c r="E411" s="143"/>
      <c r="F411" s="143"/>
      <c r="G411" s="143"/>
      <c r="H411" s="143"/>
      <c r="I411" s="143"/>
      <c r="J411" s="143"/>
      <c r="K411" s="143"/>
      <c r="L411" s="143"/>
      <c r="M411" s="143"/>
      <c r="N411" s="143"/>
      <c r="O411" s="143"/>
    </row>
    <row r="412" spans="1:33">
      <c r="A412" s="256" t="s">
        <v>71</v>
      </c>
      <c r="B412" s="124" t="s">
        <v>126</v>
      </c>
      <c r="C412" s="186">
        <v>32.211216648799997</v>
      </c>
      <c r="D412" s="186">
        <v>40.765020854699998</v>
      </c>
      <c r="E412" s="186">
        <v>38.264322053299999</v>
      </c>
      <c r="F412" s="186">
        <v>57.2527025045</v>
      </c>
      <c r="G412" s="186">
        <v>51.890255956300003</v>
      </c>
      <c r="H412" s="186">
        <v>67.585589426400006</v>
      </c>
      <c r="I412" s="186">
        <v>35.5284746281</v>
      </c>
      <c r="J412" s="186">
        <v>21.1892065471</v>
      </c>
      <c r="K412" s="186">
        <v>11.0326904909</v>
      </c>
      <c r="L412" s="186">
        <v>20.297364826599999</v>
      </c>
      <c r="M412" s="186">
        <v>34.1141379253</v>
      </c>
      <c r="N412" s="186">
        <v>35.031649862599998</v>
      </c>
      <c r="O412" s="186">
        <v>32.7380599946</v>
      </c>
      <c r="P412" s="156">
        <f>O412/C412-1</f>
        <v>1.6355897125656327E-2</v>
      </c>
    </row>
    <row r="413" spans="1:33">
      <c r="A413" s="258"/>
      <c r="B413" s="124" t="s">
        <v>127</v>
      </c>
      <c r="C413" s="186">
        <v>88.768818947499994</v>
      </c>
      <c r="D413" s="186">
        <v>88.323514448099999</v>
      </c>
      <c r="E413" s="186">
        <v>105.7689542406</v>
      </c>
      <c r="F413" s="186">
        <v>137.67775680720001</v>
      </c>
      <c r="G413" s="186">
        <v>133.31983673260001</v>
      </c>
      <c r="H413" s="186">
        <v>140.03264444760001</v>
      </c>
      <c r="I413" s="186">
        <v>120.096505014</v>
      </c>
      <c r="J413" s="186">
        <v>77.523932633800001</v>
      </c>
      <c r="K413" s="186">
        <v>63.343057325899998</v>
      </c>
      <c r="L413" s="186">
        <v>112.625288936</v>
      </c>
      <c r="M413" s="186">
        <v>110.444987815</v>
      </c>
      <c r="N413" s="186">
        <v>98.521136264800006</v>
      </c>
      <c r="O413" s="186">
        <v>101.9472367099</v>
      </c>
      <c r="P413" s="156">
        <f>O413/C413-1</f>
        <v>0.14845773458126144</v>
      </c>
    </row>
    <row r="414" spans="1:33">
      <c r="A414" s="258"/>
      <c r="B414" s="124" t="s">
        <v>193</v>
      </c>
      <c r="C414" s="186">
        <v>110.71596343</v>
      </c>
      <c r="D414" s="186">
        <v>87.959738396199995</v>
      </c>
      <c r="E414" s="186">
        <v>130.5386133415</v>
      </c>
      <c r="F414" s="186">
        <v>147.46420178290001</v>
      </c>
      <c r="G414" s="186">
        <v>132.73885826060001</v>
      </c>
      <c r="H414" s="186">
        <v>118.5079301281</v>
      </c>
      <c r="I414" s="186">
        <v>85.189289887900003</v>
      </c>
      <c r="J414" s="186">
        <v>52.314215232599999</v>
      </c>
      <c r="K414" s="186">
        <v>55.672629718300001</v>
      </c>
      <c r="L414" s="186">
        <v>95.530108455900006</v>
      </c>
      <c r="M414" s="186">
        <v>107.60287344539999</v>
      </c>
      <c r="N414" s="186">
        <v>105.48086387319999</v>
      </c>
      <c r="O414" s="186">
        <v>87.551958489200004</v>
      </c>
      <c r="P414" s="156">
        <f>O414/C414-1</f>
        <v>-0.20922010000342361</v>
      </c>
    </row>
    <row r="415" spans="1:33">
      <c r="A415" s="257"/>
      <c r="B415" s="124" t="s">
        <v>128</v>
      </c>
      <c r="C415" s="186">
        <v>106.6717990865</v>
      </c>
      <c r="D415" s="186">
        <v>96.757878917900001</v>
      </c>
      <c r="E415" s="186">
        <v>130.18347199920001</v>
      </c>
      <c r="F415" s="186">
        <v>143.12100996730001</v>
      </c>
      <c r="G415" s="186">
        <v>128.90381284489999</v>
      </c>
      <c r="H415" s="186">
        <v>120.5025753649</v>
      </c>
      <c r="I415" s="186">
        <v>90.112878959900002</v>
      </c>
      <c r="J415" s="186">
        <v>58.371273219899997</v>
      </c>
      <c r="K415" s="186">
        <v>55.693702808300003</v>
      </c>
      <c r="L415" s="186">
        <v>104.9215167187</v>
      </c>
      <c r="M415" s="186">
        <v>121.5609694004</v>
      </c>
      <c r="N415" s="186">
        <v>109.9492029741</v>
      </c>
      <c r="O415" s="186">
        <v>94.673383029199996</v>
      </c>
      <c r="P415" s="156">
        <f>O415/C415-1</f>
        <v>-0.11247973841305992</v>
      </c>
      <c r="R415" s="174">
        <v>147.141711762314</v>
      </c>
    </row>
    <row r="416" spans="1:33">
      <c r="A416" s="260" t="s">
        <v>75</v>
      </c>
      <c r="B416" s="124" t="s">
        <v>126</v>
      </c>
      <c r="C416" s="186"/>
      <c r="D416" s="186"/>
      <c r="E416" s="186">
        <v>45.035521148100003</v>
      </c>
      <c r="F416" s="186">
        <v>33.672806635400001</v>
      </c>
      <c r="G416" s="186">
        <v>37.464347836400002</v>
      </c>
      <c r="H416" s="186">
        <v>26.586120180000002</v>
      </c>
      <c r="I416" s="186">
        <v>29.008521289200001</v>
      </c>
      <c r="J416" s="186">
        <v>18.106053319000001</v>
      </c>
      <c r="K416" s="186">
        <v>17.670425277900002</v>
      </c>
      <c r="L416" s="186">
        <v>12.5788518301</v>
      </c>
      <c r="M416" s="186">
        <v>13.7043949349</v>
      </c>
      <c r="N416" s="186">
        <v>18.185907200199999</v>
      </c>
      <c r="O416" s="186">
        <v>24.3133326757</v>
      </c>
      <c r="P416" s="154"/>
    </row>
    <row r="417" spans="1:19">
      <c r="A417" s="258"/>
      <c r="B417" s="124" t="s">
        <v>127</v>
      </c>
      <c r="C417" s="186">
        <v>33.235310798100002</v>
      </c>
      <c r="D417" s="186">
        <v>26.148324822799999</v>
      </c>
      <c r="E417" s="186">
        <v>66.732214076299996</v>
      </c>
      <c r="F417" s="186">
        <v>53.440641895799999</v>
      </c>
      <c r="G417" s="186">
        <v>24.699318291699999</v>
      </c>
      <c r="H417" s="186">
        <v>22.808634897200001</v>
      </c>
      <c r="I417" s="186">
        <v>-19.560346367299999</v>
      </c>
      <c r="J417" s="186">
        <v>-25.501952932799998</v>
      </c>
      <c r="K417" s="186">
        <v>-21.3875057447</v>
      </c>
      <c r="L417" s="186">
        <v>12.0135543721</v>
      </c>
      <c r="M417" s="186">
        <v>12.2452130523</v>
      </c>
      <c r="N417" s="186">
        <v>15.0051950839</v>
      </c>
      <c r="O417" s="186">
        <v>-5.3674323135000002</v>
      </c>
      <c r="P417" s="156">
        <f>O417/C417-1</f>
        <v>-1.161497882360915</v>
      </c>
    </row>
    <row r="418" spans="1:19">
      <c r="A418" s="258"/>
      <c r="B418" s="124" t="s">
        <v>193</v>
      </c>
      <c r="C418" s="186">
        <v>25.912088802</v>
      </c>
      <c r="D418" s="186">
        <v>35.972563547599997</v>
      </c>
      <c r="E418" s="186">
        <v>59.567486707100002</v>
      </c>
      <c r="F418" s="186">
        <v>71.541896375299999</v>
      </c>
      <c r="G418" s="186">
        <v>54.339434263699999</v>
      </c>
      <c r="H418" s="186">
        <v>56.6349303597</v>
      </c>
      <c r="I418" s="186">
        <v>3.8096046056000001</v>
      </c>
      <c r="J418" s="186">
        <v>-1.4266996133000001</v>
      </c>
      <c r="K418" s="186">
        <v>-4.0810580168000001</v>
      </c>
      <c r="L418" s="186">
        <v>64.248668094300001</v>
      </c>
      <c r="M418" s="186">
        <v>22.334454021199999</v>
      </c>
      <c r="N418" s="186">
        <v>8.1725149182999992</v>
      </c>
      <c r="O418" s="186">
        <v>13.4386992617</v>
      </c>
      <c r="P418" s="156">
        <f>O418/C418-1</f>
        <v>-0.48137337115552237</v>
      </c>
    </row>
    <row r="419" spans="1:19">
      <c r="A419" s="257"/>
      <c r="B419" s="124" t="s">
        <v>128</v>
      </c>
      <c r="C419" s="186">
        <v>14.2514126045</v>
      </c>
      <c r="D419" s="186">
        <v>14.1504108037</v>
      </c>
      <c r="E419" s="186">
        <v>47.966835835799998</v>
      </c>
      <c r="F419" s="186">
        <v>55.205082878200002</v>
      </c>
      <c r="G419" s="186">
        <v>45.334035121399999</v>
      </c>
      <c r="H419" s="186">
        <v>37.849235561100002</v>
      </c>
      <c r="I419" s="186">
        <v>1.7364664057999999</v>
      </c>
      <c r="J419" s="186">
        <v>-3.2239345521999998</v>
      </c>
      <c r="K419" s="186">
        <v>-4.1235086641000001</v>
      </c>
      <c r="L419" s="186">
        <v>59.358578694199998</v>
      </c>
      <c r="M419" s="186">
        <v>18.384595549299998</v>
      </c>
      <c r="N419" s="186">
        <v>15.012926886100001</v>
      </c>
      <c r="O419" s="186">
        <v>0.25983211550000002</v>
      </c>
      <c r="P419" s="156">
        <f>O419/C419-1</f>
        <v>-0.98176797467656252</v>
      </c>
      <c r="R419" s="175">
        <v>39.372424399301003</v>
      </c>
    </row>
    <row r="420" spans="1:19">
      <c r="A420" s="161"/>
      <c r="B420" s="161"/>
      <c r="C420" s="161"/>
      <c r="D420" s="161"/>
      <c r="E420" s="161"/>
      <c r="F420" s="161"/>
      <c r="G420" s="161"/>
      <c r="H420" s="161"/>
      <c r="I420" s="161"/>
      <c r="J420" s="161"/>
      <c r="K420" s="161"/>
      <c r="L420" s="161"/>
      <c r="M420" s="161"/>
      <c r="N420" s="161"/>
      <c r="O420" s="161"/>
      <c r="P420" s="161"/>
      <c r="Q420" s="161"/>
      <c r="R420" s="161"/>
      <c r="S420" s="161"/>
    </row>
    <row r="421" spans="1:19">
      <c r="A421" s="184"/>
      <c r="B421" s="184"/>
      <c r="C421" s="184"/>
      <c r="D421" s="184"/>
      <c r="E421" s="184"/>
      <c r="F421" s="184"/>
      <c r="G421" s="184"/>
      <c r="H421" s="184"/>
      <c r="I421" s="184"/>
      <c r="J421" s="184"/>
      <c r="K421" s="184"/>
      <c r="L421" s="184"/>
      <c r="M421" s="184"/>
      <c r="N421" s="184"/>
      <c r="O421" s="184"/>
      <c r="P421" s="184"/>
      <c r="Q421" s="184"/>
      <c r="R421" s="184"/>
      <c r="S421" s="184"/>
    </row>
    <row r="422" spans="1:19">
      <c r="C422" s="172"/>
      <c r="D422" s="172"/>
      <c r="E422" s="172"/>
      <c r="F422" s="172"/>
      <c r="G422" s="172"/>
      <c r="H422" s="172"/>
      <c r="I422" s="172"/>
      <c r="J422" s="172"/>
      <c r="K422" s="172"/>
      <c r="L422" s="172"/>
      <c r="M422" s="172"/>
      <c r="N422" s="172"/>
      <c r="O422" s="172"/>
    </row>
    <row r="423" spans="1:19" s="114" customFormat="1" ht="15">
      <c r="B423" s="115" t="s">
        <v>233</v>
      </c>
      <c r="C423" s="116"/>
      <c r="D423" s="116"/>
      <c r="E423" s="116"/>
      <c r="F423" s="116"/>
      <c r="G423" s="116"/>
      <c r="H423" s="116"/>
      <c r="I423" s="116"/>
      <c r="J423" s="116"/>
    </row>
    <row r="424" spans="1:19" ht="14.25">
      <c r="A424" s="153"/>
      <c r="B424" s="153"/>
      <c r="C424" s="147" t="s">
        <v>228</v>
      </c>
      <c r="D424" s="147" t="s">
        <v>229</v>
      </c>
      <c r="E424" s="147" t="s">
        <v>230</v>
      </c>
      <c r="F424" s="147" t="s">
        <v>231</v>
      </c>
      <c r="G424" s="147" t="s">
        <v>232</v>
      </c>
      <c r="H424" s="116"/>
      <c r="I424" s="116"/>
      <c r="J424" s="116"/>
      <c r="K424" s="114"/>
      <c r="L424" s="114"/>
    </row>
    <row r="425" spans="1:19" ht="14.25">
      <c r="A425" s="149" t="s">
        <v>10</v>
      </c>
      <c r="B425" s="16" t="s">
        <v>211</v>
      </c>
      <c r="C425" s="186">
        <v>7.9166666666666661</v>
      </c>
      <c r="D425" s="186">
        <v>20.833333333333336</v>
      </c>
      <c r="E425" s="186">
        <v>37.777777777777779</v>
      </c>
      <c r="F425" s="186">
        <v>32.638888888888893</v>
      </c>
      <c r="G425" s="186">
        <v>0.83333333333333337</v>
      </c>
      <c r="H425" s="116"/>
      <c r="I425" s="116"/>
      <c r="J425" s="116"/>
      <c r="K425" s="114"/>
      <c r="L425" s="114"/>
    </row>
    <row r="426" spans="1:19" ht="14.25">
      <c r="A426" s="149" t="s">
        <v>11</v>
      </c>
      <c r="B426" s="16" t="s">
        <v>213</v>
      </c>
      <c r="C426" s="186">
        <v>2.0134228187919461</v>
      </c>
      <c r="D426" s="186">
        <v>25.906040268456376</v>
      </c>
      <c r="E426" s="186">
        <v>55.302013422818796</v>
      </c>
      <c r="F426" s="186">
        <v>15.302013422818792</v>
      </c>
      <c r="G426" s="186">
        <v>1.476510067114094</v>
      </c>
      <c r="H426" s="116"/>
      <c r="I426" s="116"/>
      <c r="J426" s="116"/>
      <c r="K426" s="114"/>
      <c r="L426" s="114"/>
    </row>
    <row r="427" spans="1:19" ht="14.25">
      <c r="A427" s="149" t="s">
        <v>12</v>
      </c>
      <c r="B427" s="16" t="s">
        <v>214</v>
      </c>
      <c r="C427" s="186" t="s">
        <v>131</v>
      </c>
      <c r="D427" s="186">
        <v>10.138888888888889</v>
      </c>
      <c r="E427" s="186">
        <v>27.222222222222221</v>
      </c>
      <c r="F427" s="186">
        <v>57.222222222222221</v>
      </c>
      <c r="G427" s="186">
        <v>5.416666666666667</v>
      </c>
      <c r="H427" s="116"/>
      <c r="I427" s="116"/>
      <c r="J427" s="116"/>
      <c r="K427" s="114"/>
      <c r="L427" s="114"/>
    </row>
    <row r="428" spans="1:19" ht="14.25">
      <c r="A428" s="149" t="s">
        <v>13</v>
      </c>
      <c r="B428" s="16" t="s">
        <v>219</v>
      </c>
      <c r="C428" s="186" t="s">
        <v>131</v>
      </c>
      <c r="D428" s="186">
        <v>11.155913978494624</v>
      </c>
      <c r="E428" s="186">
        <v>16.532258064516128</v>
      </c>
      <c r="F428" s="186">
        <v>59.005376344086024</v>
      </c>
      <c r="G428" s="186">
        <v>13.306451612903224</v>
      </c>
      <c r="H428" s="116"/>
      <c r="I428" s="116"/>
      <c r="J428" s="116"/>
      <c r="K428" s="114"/>
      <c r="L428" s="114"/>
    </row>
    <row r="429" spans="1:19" ht="14.25">
      <c r="A429" s="149" t="s">
        <v>5</v>
      </c>
      <c r="B429" s="16" t="s">
        <v>222</v>
      </c>
      <c r="C429" s="186">
        <v>0.13440860215053765</v>
      </c>
      <c r="D429" s="186">
        <v>22.58064516129032</v>
      </c>
      <c r="E429" s="186">
        <v>19.489247311827956</v>
      </c>
      <c r="F429" s="186">
        <v>45.833333333333329</v>
      </c>
      <c r="G429" s="186">
        <v>11.96236559139785</v>
      </c>
      <c r="H429" s="116"/>
      <c r="I429" s="116"/>
      <c r="J429" s="116"/>
      <c r="K429" s="114"/>
      <c r="L429" s="114"/>
    </row>
    <row r="430" spans="1:19" ht="14.25">
      <c r="A430" s="149" t="s">
        <v>6</v>
      </c>
      <c r="B430" s="16" t="s">
        <v>225</v>
      </c>
      <c r="C430" s="186" t="s">
        <v>131</v>
      </c>
      <c r="D430" s="186">
        <v>9.2261904761904763</v>
      </c>
      <c r="E430" s="186">
        <v>28.125</v>
      </c>
      <c r="F430" s="186">
        <v>47.916666666666671</v>
      </c>
      <c r="G430" s="186">
        <v>14.732142857142858</v>
      </c>
      <c r="H430" s="116"/>
      <c r="I430" s="116"/>
      <c r="J430" s="116"/>
      <c r="K430" s="114"/>
      <c r="L430" s="114"/>
    </row>
    <row r="431" spans="1:19" ht="14.25">
      <c r="A431" s="149" t="s">
        <v>7</v>
      </c>
      <c r="B431" s="16" t="s">
        <v>227</v>
      </c>
      <c r="C431" s="186">
        <v>9.690444145356663</v>
      </c>
      <c r="D431" s="186">
        <v>40.107671601615074</v>
      </c>
      <c r="E431" s="186">
        <v>33.109017496635261</v>
      </c>
      <c r="F431" s="186">
        <v>15.343203230148047</v>
      </c>
      <c r="G431" s="186">
        <v>1.7496635262449527</v>
      </c>
      <c r="H431" s="116"/>
      <c r="I431" s="116"/>
      <c r="J431" s="116"/>
      <c r="K431" s="114"/>
      <c r="L431" s="114"/>
    </row>
    <row r="432" spans="1:19" ht="14.25">
      <c r="A432" s="149" t="s">
        <v>8</v>
      </c>
      <c r="B432" s="16" t="s">
        <v>237</v>
      </c>
      <c r="C432" s="186">
        <v>24.861111111111111</v>
      </c>
      <c r="D432" s="186">
        <v>55.000000000000007</v>
      </c>
      <c r="E432" s="186">
        <v>15.416666666666668</v>
      </c>
      <c r="F432" s="186">
        <v>3.8888888888888888</v>
      </c>
      <c r="G432" s="186">
        <v>0.83333333333333337</v>
      </c>
      <c r="H432" s="116"/>
      <c r="I432" s="116"/>
      <c r="J432" s="116"/>
      <c r="K432" s="114"/>
      <c r="L432" s="114"/>
    </row>
    <row r="433" spans="1:12" ht="14.25">
      <c r="A433" s="149" t="s">
        <v>7</v>
      </c>
      <c r="B433" s="16" t="s">
        <v>240</v>
      </c>
      <c r="C433" s="186">
        <v>36.155913978494624</v>
      </c>
      <c r="D433" s="186">
        <v>54.166666666666664</v>
      </c>
      <c r="E433" s="186">
        <v>7.795698924731183</v>
      </c>
      <c r="F433" s="186">
        <v>1.881720430107527</v>
      </c>
      <c r="G433" s="186" t="s">
        <v>131</v>
      </c>
      <c r="H433" s="116"/>
      <c r="I433" s="116"/>
      <c r="J433" s="116"/>
      <c r="K433" s="114"/>
      <c r="L433" s="114"/>
    </row>
    <row r="434" spans="1:12" ht="14.25">
      <c r="A434" s="149" t="s">
        <v>9</v>
      </c>
      <c r="B434" s="16" t="s">
        <v>243</v>
      </c>
      <c r="C434" s="186">
        <v>11.944444444444445</v>
      </c>
      <c r="D434" s="186">
        <v>24.305555555555554</v>
      </c>
      <c r="E434" s="186">
        <v>20.138888888888889</v>
      </c>
      <c r="F434" s="186">
        <v>40.972222222222221</v>
      </c>
      <c r="G434" s="186">
        <v>2.6388888888888888</v>
      </c>
      <c r="H434" s="116"/>
      <c r="I434" s="116"/>
      <c r="J434" s="116"/>
      <c r="K434" s="114"/>
      <c r="L434" s="114"/>
    </row>
    <row r="435" spans="1:12" ht="14.25">
      <c r="A435" s="149" t="s">
        <v>9</v>
      </c>
      <c r="B435" s="16" t="s">
        <v>245</v>
      </c>
      <c r="C435" s="186">
        <v>4.032258064516129</v>
      </c>
      <c r="D435" s="186">
        <v>29.838709677419356</v>
      </c>
      <c r="E435" s="186">
        <v>30.376344086021508</v>
      </c>
      <c r="F435" s="186">
        <v>34.543010752688176</v>
      </c>
      <c r="G435" s="186">
        <v>1.2096774193548387</v>
      </c>
      <c r="H435" s="116"/>
      <c r="I435" s="116"/>
      <c r="J435" s="116"/>
      <c r="K435" s="114"/>
      <c r="L435" s="114"/>
    </row>
    <row r="436" spans="1:12" ht="14.25">
      <c r="A436" s="149" t="s">
        <v>8</v>
      </c>
      <c r="B436" s="16" t="s">
        <v>248</v>
      </c>
      <c r="C436" s="186">
        <v>7.661290322580645</v>
      </c>
      <c r="D436" s="186">
        <v>25.537634408602152</v>
      </c>
      <c r="E436" s="186">
        <v>37.365591397849464</v>
      </c>
      <c r="F436" s="186">
        <v>28.62903225806452</v>
      </c>
      <c r="G436" s="186">
        <v>0.80645161290322576</v>
      </c>
      <c r="H436" s="116"/>
      <c r="I436" s="116"/>
      <c r="J436" s="116"/>
      <c r="K436" s="114"/>
      <c r="L436" s="114"/>
    </row>
    <row r="437" spans="1:12" ht="14.25">
      <c r="A437" s="149" t="s">
        <v>10</v>
      </c>
      <c r="B437" s="16" t="s">
        <v>295</v>
      </c>
      <c r="C437" s="186">
        <v>9.1666666666666661</v>
      </c>
      <c r="D437" s="186">
        <v>31.25</v>
      </c>
      <c r="E437" s="186">
        <v>39.305555555555557</v>
      </c>
      <c r="F437" s="186">
        <v>18.888888888888889</v>
      </c>
      <c r="G437" s="186">
        <v>1.3888888888888888</v>
      </c>
      <c r="H437" s="116"/>
      <c r="I437" s="116"/>
      <c r="J437" s="116"/>
      <c r="K437" s="114"/>
      <c r="L437" s="114"/>
    </row>
    <row r="438" spans="1:12" ht="14.25">
      <c r="J438" s="116"/>
      <c r="K438" s="114"/>
      <c r="L438" s="114"/>
    </row>
    <row r="439" spans="1:12" ht="14.25">
      <c r="C439" s="196"/>
      <c r="I439" s="116"/>
      <c r="J439" s="116"/>
      <c r="K439" s="114"/>
      <c r="L439" s="114"/>
    </row>
    <row r="440" spans="1:12" ht="14.25">
      <c r="H440" s="116"/>
      <c r="I440" s="116"/>
      <c r="J440" s="116"/>
      <c r="K440" s="114"/>
    </row>
    <row r="441" spans="1:12" ht="14.25">
      <c r="H441" s="116"/>
      <c r="I441" s="116"/>
      <c r="J441" s="116"/>
      <c r="K441" s="114"/>
    </row>
    <row r="450" spans="1:14">
      <c r="A450" s="106" t="s">
        <v>62</v>
      </c>
      <c r="B450" s="85"/>
      <c r="C450" s="85"/>
      <c r="D450" s="85"/>
      <c r="E450" s="85"/>
      <c r="F450" s="85"/>
      <c r="G450" s="85"/>
      <c r="H450" s="85"/>
      <c r="I450" s="85"/>
      <c r="N450" s="139"/>
    </row>
    <row r="451" spans="1:14">
      <c r="A451" s="14"/>
      <c r="B451" s="242" t="s">
        <v>1</v>
      </c>
      <c r="C451" s="242" t="s">
        <v>2</v>
      </c>
      <c r="D451" s="242" t="s">
        <v>25</v>
      </c>
      <c r="E451" s="242" t="s">
        <v>16</v>
      </c>
      <c r="F451" s="242" t="s">
        <v>17</v>
      </c>
      <c r="G451" s="242" t="s">
        <v>179</v>
      </c>
      <c r="H451" s="242" t="s">
        <v>26</v>
      </c>
      <c r="I451" s="242" t="s">
        <v>29</v>
      </c>
      <c r="J451" s="246" t="s">
        <v>117</v>
      </c>
    </row>
    <row r="452" spans="1:14">
      <c r="A452" s="15"/>
      <c r="B452" s="243"/>
      <c r="C452" s="243"/>
      <c r="D452" s="243"/>
      <c r="E452" s="243"/>
      <c r="F452" s="243"/>
      <c r="G452" s="243"/>
      <c r="H452" s="243"/>
      <c r="I452" s="243"/>
      <c r="J452" s="247"/>
    </row>
    <row r="453" spans="1:14">
      <c r="A453" s="107" t="str">
        <f>MID(B43,6,3) &amp; "-" &amp; MID(B43,3,2)</f>
        <v>Sep-24</v>
      </c>
      <c r="B453" s="105">
        <f>VLOOKUP("Mercado Diario",$A$45:$N$65,2,FALSE)</f>
        <v>72.87</v>
      </c>
      <c r="C453" s="105">
        <f>VLOOKUP("Mercado Intradiario",$A$45:$N$65,2,FALSE)</f>
        <v>-0.09</v>
      </c>
      <c r="D453" s="105">
        <f t="shared" ref="D453:D465" si="14">SUM(B453:C453)</f>
        <v>72.78</v>
      </c>
      <c r="E453" s="105">
        <f>SUM(B82:B90)</f>
        <v>10.820000000000002</v>
      </c>
      <c r="F453" s="105">
        <f>VLOOKUP("Pago capacidad",$A$45:$N$65,2,FALSE)</f>
        <v>0.16</v>
      </c>
      <c r="G453" s="105">
        <f>VLOOKUP("Mecanismo Ajuste RD-L10/2022 Coste OM",$A$45:$N$65,2,FALSE)+VLOOKUP("Mecanismo Ajuste RD-L10/2022 Coste OS",$A$45:$N$65,2,FALSE)+VLOOKUP("Mecanismo Ajuste RD-L10/2022 Ajuste OS",$A$45:$N$65,2,FALSE)</f>
        <v>0</v>
      </c>
      <c r="H453" s="105">
        <f t="shared" ref="H453:H465" si="15">SUM(D453:G453)</f>
        <v>83.76</v>
      </c>
      <c r="I453" s="92">
        <f>VLOOKUP("Energía final MWh",$A$45:$N$61,2,FALSE)/1000</f>
        <v>18713.237051</v>
      </c>
      <c r="J453" s="231" t="str">
        <f>MID(A453,1,1)</f>
        <v>S</v>
      </c>
      <c r="K453" s="172"/>
    </row>
    <row r="454" spans="1:14">
      <c r="A454" s="107" t="str">
        <f>MID(C43,6,3) &amp; "-" &amp; MID(C43,3,2)</f>
        <v>Oct-24</v>
      </c>
      <c r="B454" s="105">
        <f>VLOOKUP("Mercado Diario",$A$45:$N$65,3,FALSE)</f>
        <v>70.12</v>
      </c>
      <c r="C454" s="105">
        <f>VLOOKUP("Mercado Intradiario",$A$45:$N$65,3,FALSE)</f>
        <v>-7.0000000000000007E-2</v>
      </c>
      <c r="D454" s="105">
        <f t="shared" si="14"/>
        <v>70.050000000000011</v>
      </c>
      <c r="E454" s="105">
        <f>SUM(C82:C90)</f>
        <v>14.290000000000001</v>
      </c>
      <c r="F454" s="105">
        <f>VLOOKUP("Pago capacidad",$A$45:$N$65,3,FALSE)</f>
        <v>0.16</v>
      </c>
      <c r="G454" s="105">
        <f>VLOOKUP("Mecanismo Ajuste RD-L10/2022 Coste OM",$A$45:$N$65,3,FALSE)+VLOOKUP("Mecanismo Ajuste RD-L10/2022 Coste OS",$A$45:$N$65,3,FALSE)+VLOOKUP("Mecanismo Ajuste RD-L10/2022 Ajuste OS",$A$45:$N$65,3,FALSE)</f>
        <v>0</v>
      </c>
      <c r="H454" s="105">
        <f t="shared" si="15"/>
        <v>84.500000000000014</v>
      </c>
      <c r="I454" s="92">
        <f>VLOOKUP("Energía final MWh",$A$45:$N$61,3,FALSE)/1000</f>
        <v>19037.627333999997</v>
      </c>
      <c r="J454" s="231" t="str">
        <f t="shared" ref="J454:J465" si="16">MID(A454,1,1)</f>
        <v>O</v>
      </c>
      <c r="K454" s="172"/>
    </row>
    <row r="455" spans="1:14">
      <c r="A455" s="107" t="str">
        <f>MID(D43,6,3) &amp; "-" &amp; MID(D43,3,2)</f>
        <v>Nov-24</v>
      </c>
      <c r="B455" s="105">
        <f>VLOOKUP("Mercado Diario",$A$45:$N$65,4,FALSE)</f>
        <v>106.72</v>
      </c>
      <c r="C455" s="105">
        <f>VLOOKUP("Mercado Intradiario",$A$45:$N$65,4,FALSE)</f>
        <v>-0.09</v>
      </c>
      <c r="D455" s="105">
        <f t="shared" si="14"/>
        <v>106.63</v>
      </c>
      <c r="E455" s="105">
        <f>SUM(D82:D90)</f>
        <v>11.990000000000002</v>
      </c>
      <c r="F455" s="105">
        <f>VLOOKUP("Pago capacidad",$A$45:$N$65,4,FALSE)</f>
        <v>0.19</v>
      </c>
      <c r="G455" s="105">
        <f>VLOOKUP("Mecanismo Ajuste RD-L10/2022 Coste OM",$A$45:$N$65,4,FALSE)+VLOOKUP("Mecanismo Ajuste RD-L10/2022 Coste OS",$A$45:$N$65,4,FALSE)+VLOOKUP("Mecanismo Ajuste RD-L10/2022 Ajuste OS",$A$45:$N$65,4,FALSE)</f>
        <v>0</v>
      </c>
      <c r="H455" s="105">
        <f t="shared" si="15"/>
        <v>118.81</v>
      </c>
      <c r="I455" s="92">
        <f>VLOOKUP("Energía final MWh",$A$45:$N$61,4,FALSE)/1000</f>
        <v>18668.177702000001</v>
      </c>
      <c r="J455" s="231" t="str">
        <f t="shared" si="16"/>
        <v>N</v>
      </c>
    </row>
    <row r="456" spans="1:14">
      <c r="A456" s="107" t="str">
        <f>MID(E43,6,3) &amp; "-" &amp; MID(E43,3,2)</f>
        <v>Dic-24</v>
      </c>
      <c r="B456" s="105">
        <f>VLOOKUP("Mercado Diario",$A$45:$N$65,5,FALSE)</f>
        <v>113.97</v>
      </c>
      <c r="C456" s="105">
        <f>VLOOKUP("Mercado Intradiario",$A$45:$N$65,5,FALSE)</f>
        <v>-0.08</v>
      </c>
      <c r="D456" s="105">
        <f t="shared" si="14"/>
        <v>113.89</v>
      </c>
      <c r="E456" s="105">
        <f>SUM(E82:E90)</f>
        <v>10.53</v>
      </c>
      <c r="F456" s="105">
        <f>VLOOKUP("Pago capacidad",$A$45:$N$65,5,FALSE)</f>
        <v>0.28000000000000003</v>
      </c>
      <c r="G456" s="105">
        <f>VLOOKUP("Mecanismo Ajuste RD-L10/2022 Coste OM",$A$45:$N$65,5,FALSE)+VLOOKUP("Mecanismo Ajuste RD-L10/2022 Coste OS",$A$45:$N$65,5,FALSE)+VLOOKUP("Mecanismo Ajuste RD-L10/2022 Ajuste OS",$A$45:$N$65,5,FALSE)</f>
        <v>0</v>
      </c>
      <c r="H456" s="105">
        <f t="shared" si="15"/>
        <v>124.7</v>
      </c>
      <c r="I456" s="92">
        <f>VLOOKUP("Energía final MWh",$A$45:$N$61,5,FALSE)/1000</f>
        <v>20394.640105000002</v>
      </c>
      <c r="J456" s="231" t="str">
        <f t="shared" si="16"/>
        <v>D</v>
      </c>
    </row>
    <row r="457" spans="1:14">
      <c r="A457" s="107" t="str">
        <f>MID(F43,6,3) &amp; "-" &amp; MID(F43,3,2)</f>
        <v>Ene-25</v>
      </c>
      <c r="B457" s="105">
        <f>VLOOKUP("Mercado Diario",$A$45:$N$65,6,FALSE)</f>
        <v>100.3</v>
      </c>
      <c r="C457" s="105">
        <f>VLOOKUP("Mercado Intradiario",$A$45:$N$65,6,FALSE)</f>
        <v>-0.1</v>
      </c>
      <c r="D457" s="105">
        <f t="shared" si="14"/>
        <v>100.2</v>
      </c>
      <c r="E457" s="105">
        <f>SUM(F82:F90)</f>
        <v>10.889999999999999</v>
      </c>
      <c r="F457" s="105">
        <f>VLOOKUP("Pago capacidad",$A$45:$N$65,6,FALSE)</f>
        <v>0.27</v>
      </c>
      <c r="G457" s="105">
        <f>VLOOKUP("Mecanismo Ajuste RD-L10/2022 Coste OM",$A$45:$N$65,6,FALSE)+VLOOKUP("Mecanismo Ajuste RD-L10/2022 Coste OS",$A$45:$N$65,6,FALSE)+VLOOKUP("Mecanismo Ajuste RD-L10/2022 Ajuste OS",$A$45:$N$65,6,FALSE)</f>
        <v>0</v>
      </c>
      <c r="H457" s="105">
        <f t="shared" si="15"/>
        <v>111.36</v>
      </c>
      <c r="I457" s="92">
        <f>VLOOKUP("Energía final MWh",$A$45:$N$61,6,FALSE)/1000</f>
        <v>21682.201730000001</v>
      </c>
      <c r="J457" s="231" t="str">
        <f t="shared" si="16"/>
        <v>E</v>
      </c>
    </row>
    <row r="458" spans="1:14">
      <c r="A458" s="107" t="str">
        <f>MID(G43,6,3) &amp; "-" &amp; MID(G43,3,2)</f>
        <v>Feb-25</v>
      </c>
      <c r="B458" s="105">
        <f>VLOOKUP("Mercado Diario",$A$45:$N$65,7,FALSE)</f>
        <v>110.72</v>
      </c>
      <c r="C458" s="105">
        <f>VLOOKUP("Mercado Intradiario",$A$45:$N$65,7,FALSE)</f>
        <v>-0.1</v>
      </c>
      <c r="D458" s="105">
        <f t="shared" si="14"/>
        <v>110.62</v>
      </c>
      <c r="E458" s="105">
        <f>SUM(G82:G90)</f>
        <v>15.84</v>
      </c>
      <c r="F458" s="105">
        <f>VLOOKUP("Pago capacidad",$A$45:$N$65,7,FALSE)</f>
        <v>0.27</v>
      </c>
      <c r="G458" s="105">
        <f>VLOOKUP("Mecanismo Ajuste RD-L10/2022 Coste OM",$A$45:$N$65,7,FALSE)+VLOOKUP("Mecanismo Ajuste RD-L10/2022 Coste OS",$A$45:$N$65,7,FALSE)+VLOOKUP("Mecanismo Ajuste RD-L10/2022 Ajuste OS",$A$45:$N$65,7,FALSE)</f>
        <v>0</v>
      </c>
      <c r="H458" s="105">
        <f t="shared" si="15"/>
        <v>126.73</v>
      </c>
      <c r="I458" s="92">
        <f>VLOOKUP("Energía final MWh",$A$45:$N$61,7,FALSE)/1000</f>
        <v>19232.887374000002</v>
      </c>
      <c r="J458" s="231" t="str">
        <f t="shared" si="16"/>
        <v>F</v>
      </c>
    </row>
    <row r="459" spans="1:14">
      <c r="A459" s="107" t="str">
        <f>MID(H43,6,3) &amp; "-" &amp; MID(H43,3,2)</f>
        <v>Mar-25</v>
      </c>
      <c r="B459" s="105">
        <f>VLOOKUP("Mercado Diario",$A$45:$N$65,8,FALSE)</f>
        <v>55.56</v>
      </c>
      <c r="C459" s="105">
        <f>VLOOKUP("Mercado Intradiario",$A$45:$N$65,8,FALSE)</f>
        <v>-0.1</v>
      </c>
      <c r="D459" s="105">
        <f t="shared" si="14"/>
        <v>55.46</v>
      </c>
      <c r="E459" s="105">
        <f>SUM(H82:H90)</f>
        <v>15.400000000000002</v>
      </c>
      <c r="F459" s="105">
        <f>VLOOKUP("Pago capacidad",$A$45:$N$65,8,FALSE)</f>
        <v>0.18</v>
      </c>
      <c r="G459" s="105">
        <f>VLOOKUP("Mecanismo Ajuste RD-L10/2022 Coste OM",$A$45:$N$65,8,FALSE)+VLOOKUP("Mecanismo Ajuste RD-L10/2022 Coste OS",$A$45:$N$65,8,FALSE)+VLOOKUP("Mecanismo Ajuste RD-L10/2022 Ajuste OS",$A$45:$N$65,8,FALSE)</f>
        <v>0</v>
      </c>
      <c r="H459" s="105">
        <f t="shared" si="15"/>
        <v>71.040000000000006</v>
      </c>
      <c r="I459" s="92">
        <f>VLOOKUP("Energía final MWh",$A$45:$N$61,8,FALSE)/1000</f>
        <v>20774.405912000002</v>
      </c>
      <c r="J459" s="231" t="str">
        <f t="shared" si="16"/>
        <v>M</v>
      </c>
    </row>
    <row r="460" spans="1:14">
      <c r="A460" s="107" t="str">
        <f>MID(I43,6,3) &amp; "-" &amp; MID(I43,3,2)</f>
        <v>Abr-25</v>
      </c>
      <c r="B460" s="105">
        <f>VLOOKUP("Mercado Diario",$A$45:$N$65,9,FALSE)</f>
        <v>27.66</v>
      </c>
      <c r="C460" s="105">
        <f>VLOOKUP("Mercado Intradiario",$A$45:$N$65,9,FALSE)</f>
        <v>-0.01</v>
      </c>
      <c r="D460" s="105">
        <f t="shared" si="14"/>
        <v>27.65</v>
      </c>
      <c r="E460" s="105">
        <f>SUM(I82:I90)</f>
        <v>17.102</v>
      </c>
      <c r="F460" s="105">
        <f>VLOOKUP("Pago capacidad",$A$45:$N$65,9,FALSE)</f>
        <v>0.14000000000000001</v>
      </c>
      <c r="G460" s="105">
        <f>VLOOKUP("Mecanismo Ajuste RD-L10/2022 Coste OM",$A$45:$N$65,9,FALSE)+VLOOKUP("Mecanismo Ajuste RD-L10/2022 Coste OS",$A$45:$N$65,9,FALSE)+VLOOKUP("Mecanismo Ajuste RD-L10/2022 Ajuste OS",$A$45:$N$65,9,FALSE)</f>
        <v>0</v>
      </c>
      <c r="H460" s="105">
        <f t="shared" si="15"/>
        <v>44.891999999999996</v>
      </c>
      <c r="I460" s="92">
        <f>VLOOKUP("Energía final MWh",$A$45:$N$61,9,FALSE)/1000</f>
        <v>17721.496469000002</v>
      </c>
      <c r="J460" s="231" t="str">
        <f t="shared" si="16"/>
        <v>A</v>
      </c>
    </row>
    <row r="461" spans="1:14">
      <c r="A461" s="107" t="str">
        <f>MID(J43,6,3) &amp; "-" &amp; MID(J43,3,2)</f>
        <v>May-25</v>
      </c>
      <c r="B461" s="105">
        <f>VLOOKUP("Mercado Diario",$A$45:$N$65,10,FALSE)</f>
        <v>17.440000000000001</v>
      </c>
      <c r="C461" s="105">
        <f>VLOOKUP("Mercado Intradiario",$A$45:$N$65,10,FALSE)</f>
        <v>-7.0000000000000007E-2</v>
      </c>
      <c r="D461" s="105">
        <f t="shared" si="14"/>
        <v>17.37</v>
      </c>
      <c r="E461" s="105">
        <f>SUM(J82:J90)</f>
        <v>25.259999999999994</v>
      </c>
      <c r="F461" s="105">
        <f>VLOOKUP("Pago capacidad",$A$45:$N$65,10,FALSE)</f>
        <v>0.13</v>
      </c>
      <c r="G461" s="105">
        <f>VLOOKUP("Mecanismo Ajuste RD-L10/2022 Coste OM",$A$45:$N$65,10,FALSE)+VLOOKUP("Mecanismo Ajuste RD-L10/2022 Coste OS",$A$45:$N$65,10,FALSE)+VLOOKUP("Mecanismo Ajuste RD-L10/2022 Ajuste OS",$A$45:$N$65,10,FALSE)</f>
        <v>0</v>
      </c>
      <c r="H461" s="105">
        <f t="shared" si="15"/>
        <v>42.76</v>
      </c>
      <c r="I461" s="92">
        <f>VLOOKUP("Energía final MWh",$A$45:$N$61,10,FALSE)/1000</f>
        <v>18561.646811999999</v>
      </c>
      <c r="J461" s="231" t="str">
        <f t="shared" si="16"/>
        <v>M</v>
      </c>
    </row>
    <row r="462" spans="1:14">
      <c r="A462" s="107" t="str">
        <f>MID(K43,6,3) &amp; "-" &amp; MID(K43,3,2)</f>
        <v>Jun-25</v>
      </c>
      <c r="B462" s="105">
        <f>VLOOKUP("Mercado Diario",$A$45:$N$65,11,FALSE)</f>
        <v>72.47</v>
      </c>
      <c r="C462" s="105">
        <f>VLOOKUP("Mercado Intradiario",$A$45:$N$65,11,FALSE)</f>
        <v>-0.13</v>
      </c>
      <c r="D462" s="105">
        <f t="shared" si="14"/>
        <v>72.34</v>
      </c>
      <c r="E462" s="105">
        <f>SUM(K82:K90)</f>
        <v>14.790000000000006</v>
      </c>
      <c r="F462" s="105">
        <f>VLOOKUP("Pago capacidad",$A$45:$N$65,11,FALSE)</f>
        <v>0.15</v>
      </c>
      <c r="G462" s="105">
        <f>VLOOKUP("Mecanismo Ajuste RD-L10/2022 Coste OM",$A$45:$N$65,11,FALSE)+VLOOKUP("Mecanismo Ajuste RD-L10/2022 Coste OS",$A$45:$N$65,11,FALSE)+VLOOKUP("Mecanismo Ajuste RD-L10/2022 Ajuste OS",$A$45:$N$65,11,FALSE)</f>
        <v>0</v>
      </c>
      <c r="H462" s="105">
        <f t="shared" si="15"/>
        <v>87.280000000000015</v>
      </c>
      <c r="I462" s="92">
        <f>VLOOKUP("Energía final MWh",$A$45:$N$61,11,FALSE)/1000</f>
        <v>20686.961293</v>
      </c>
      <c r="J462" s="231" t="str">
        <f t="shared" si="16"/>
        <v>J</v>
      </c>
    </row>
    <row r="463" spans="1:14">
      <c r="A463" s="107" t="str">
        <f>MID(L43,6,3) &amp; "-" &amp; MID(L43,3,2)</f>
        <v>Jul-25</v>
      </c>
      <c r="B463" s="105">
        <f>VLOOKUP("Mercado Diario",$A$45:$N$65,12,FALSE)</f>
        <v>70.474000000000004</v>
      </c>
      <c r="C463" s="105">
        <f>VLOOKUP("Mercado Intradiario",$A$45:$N$65,12,FALSE)</f>
        <v>-0.15</v>
      </c>
      <c r="D463" s="105">
        <f t="shared" si="14"/>
        <v>70.323999999999998</v>
      </c>
      <c r="E463" s="105">
        <f>SUM(L82:L90)</f>
        <v>14.522</v>
      </c>
      <c r="F463" s="105">
        <f>VLOOKUP("Pago capacidad",$A$45:$N$65,12,FALSE)</f>
        <v>0.28000000000000003</v>
      </c>
      <c r="G463" s="105">
        <f>VLOOKUP("Mecanismo Ajuste RD-L10/2022 Coste OM",$A$45:$N$65,12,FALSE)+VLOOKUP("Mecanismo Ajuste RD-L10/2022 Coste OS",$A$45:$N$65,12,FALSE)+VLOOKUP("Mecanismo Ajuste RD-L10/2022 Ajuste OS",$A$45:$N$65,12,FALSE)</f>
        <v>0</v>
      </c>
      <c r="H463" s="105">
        <f t="shared" si="15"/>
        <v>85.126000000000005</v>
      </c>
      <c r="I463" s="92">
        <f>VLOOKUP("Energía final MWh",$A$45:$N$61,12,FALSE)/1000</f>
        <v>22159.345166000003</v>
      </c>
      <c r="J463" s="231" t="str">
        <f t="shared" si="16"/>
        <v>J</v>
      </c>
    </row>
    <row r="464" spans="1:14">
      <c r="A464" s="107" t="str">
        <f>MID(M43,6,3) &amp; "-" &amp; MID(M43,3,2)</f>
        <v>Ago-25</v>
      </c>
      <c r="B464" s="105">
        <f>VLOOKUP("Mercado Diario",$A$45:$N$65,13,FALSE)</f>
        <v>68.709999999999994</v>
      </c>
      <c r="C464" s="105">
        <f>VLOOKUP("Mercado Intradiario",$A$45:$N$65,13,FALSE)</f>
        <v>-0.11</v>
      </c>
      <c r="D464" s="105">
        <f t="shared" si="14"/>
        <v>68.599999999999994</v>
      </c>
      <c r="E464" s="105">
        <f>SUM(M82:M90)</f>
        <v>13.6</v>
      </c>
      <c r="F464" s="105">
        <f>VLOOKUP("Pago capacidad",$A$45:$N$65,13,FALSE)</f>
        <v>0.14000000000000001</v>
      </c>
      <c r="G464" s="105"/>
      <c r="H464" s="105">
        <f t="shared" si="15"/>
        <v>82.339999999999989</v>
      </c>
      <c r="I464" s="92">
        <f>VLOOKUP("Energía final MWh",$A$45:$N$61,13,FALSE)/1000</f>
        <v>20633.368473999999</v>
      </c>
      <c r="J464" s="231" t="str">
        <f t="shared" si="16"/>
        <v>A</v>
      </c>
      <c r="K464" s="127"/>
      <c r="N464" t="s">
        <v>180</v>
      </c>
    </row>
    <row r="465" spans="1:15">
      <c r="A465" s="108" t="str">
        <f>MID(N43,6,3) &amp; "-" &amp; MID(N43,3,2)</f>
        <v>Sep-25</v>
      </c>
      <c r="B465" s="104">
        <f>VLOOKUP("Mercado Diario",$A$45:$N$65,14,FALSE)</f>
        <v>61.46</v>
      </c>
      <c r="C465" s="104">
        <f>VLOOKUP("Mercado Intradiario",$A$45:$N$65,14,FALSE)</f>
        <v>-0.14000000000000001</v>
      </c>
      <c r="D465" s="104">
        <f t="shared" si="14"/>
        <v>61.32</v>
      </c>
      <c r="E465" s="104">
        <f>SUM(N82:N90)</f>
        <v>16.95</v>
      </c>
      <c r="F465" s="104">
        <f>VLOOKUP("Pago capacidad",$A$45:$N$65,14,FALSE)</f>
        <v>0.15</v>
      </c>
      <c r="G465" s="104"/>
      <c r="H465" s="104">
        <f t="shared" si="15"/>
        <v>78.42</v>
      </c>
      <c r="I465" s="109">
        <f>VLOOKUP("Energía final MWh",$A$45:$N$61,14,FALSE)/1000</f>
        <v>19240.425239</v>
      </c>
      <c r="J465" s="232" t="str">
        <f t="shared" si="16"/>
        <v>S</v>
      </c>
      <c r="K465" s="49">
        <f>(H465/H464-1)*100</f>
        <v>-4.7607481175613202</v>
      </c>
      <c r="L465" s="49">
        <f>(H465/H453-1)*100</f>
        <v>-6.3753581661891161</v>
      </c>
      <c r="M465" s="49">
        <f>H465/H453</f>
        <v>0.93624641833810884</v>
      </c>
      <c r="N465" s="139">
        <f>E465/H465</f>
        <v>0.21614384085692423</v>
      </c>
    </row>
    <row r="466" spans="1:15">
      <c r="D466" s="139"/>
      <c r="E466" s="139"/>
      <c r="F466" s="139"/>
      <c r="G466" s="139"/>
      <c r="H466" s="139"/>
    </row>
    <row r="467" spans="1:15">
      <c r="D467" s="139"/>
      <c r="E467" s="177"/>
      <c r="F467" s="139"/>
      <c r="G467" s="139"/>
    </row>
    <row r="473" spans="1:15">
      <c r="C473" s="62"/>
      <c r="D473" s="62"/>
      <c r="E473" s="62"/>
      <c r="F473" s="62"/>
      <c r="G473" s="62"/>
      <c r="H473" s="62"/>
      <c r="I473" s="62"/>
      <c r="J473" s="62"/>
      <c r="K473" s="62"/>
      <c r="L473" s="62"/>
      <c r="M473" s="62"/>
      <c r="N473" s="62"/>
      <c r="O473" s="62"/>
    </row>
    <row r="475" spans="1:15">
      <c r="C475" s="62"/>
      <c r="D475" s="62"/>
      <c r="E475" s="62"/>
      <c r="F475" s="62"/>
      <c r="G475" s="62"/>
      <c r="H475" s="62"/>
      <c r="I475" s="62"/>
      <c r="J475" s="62"/>
      <c r="K475" s="62"/>
      <c r="L475" s="62"/>
      <c r="M475" s="62"/>
      <c r="N475" s="62"/>
      <c r="O475" s="62"/>
    </row>
    <row r="477" spans="1:15">
      <c r="C477" s="62"/>
      <c r="D477" s="62"/>
      <c r="E477" s="62"/>
      <c r="F477" s="62"/>
      <c r="G477" s="62"/>
      <c r="H477" s="62"/>
      <c r="I477" s="62"/>
      <c r="J477" s="62"/>
      <c r="K477" s="62"/>
      <c r="L477" s="62"/>
      <c r="M477" s="62"/>
      <c r="N477" s="62"/>
      <c r="O477" s="62"/>
    </row>
    <row r="479" spans="1:15">
      <c r="C479" s="62"/>
      <c r="D479" s="62"/>
      <c r="E479" s="62"/>
      <c r="F479" s="62"/>
      <c r="G479" s="62"/>
      <c r="H479" s="62"/>
      <c r="I479" s="62"/>
      <c r="J479" s="62"/>
      <c r="K479" s="62"/>
      <c r="L479" s="62"/>
      <c r="M479" s="62"/>
      <c r="N479" s="62"/>
      <c r="O479" s="62"/>
    </row>
    <row r="481" spans="3:15">
      <c r="C481" s="62"/>
      <c r="D481" s="62"/>
      <c r="E481" s="62"/>
      <c r="F481" s="62"/>
      <c r="G481" s="62"/>
      <c r="H481" s="62"/>
      <c r="I481" s="62"/>
      <c r="J481" s="62"/>
      <c r="K481" s="62"/>
      <c r="L481" s="62"/>
      <c r="M481" s="62"/>
      <c r="N481" s="62"/>
      <c r="O481" s="62"/>
    </row>
    <row r="739" ht="37.5" customHeight="1"/>
    <row r="740" ht="37.5" customHeight="1"/>
  </sheetData>
  <mergeCells count="39">
    <mergeCell ref="B326:B327"/>
    <mergeCell ref="A358:A376"/>
    <mergeCell ref="A339:A357"/>
    <mergeCell ref="C336:O336"/>
    <mergeCell ref="B328:B329"/>
    <mergeCell ref="A326:A329"/>
    <mergeCell ref="A402:A403"/>
    <mergeCell ref="C399:O399"/>
    <mergeCell ref="A416:A419"/>
    <mergeCell ref="A412:A415"/>
    <mergeCell ref="C409:O409"/>
    <mergeCell ref="A404:A405"/>
    <mergeCell ref="A322:A325"/>
    <mergeCell ref="D319:P319"/>
    <mergeCell ref="B4:AB4"/>
    <mergeCell ref="B5:AB5"/>
    <mergeCell ref="A260:A278"/>
    <mergeCell ref="A217:A235"/>
    <mergeCell ref="A198:A216"/>
    <mergeCell ref="A279:A297"/>
    <mergeCell ref="B324:B325"/>
    <mergeCell ref="A154:A173"/>
    <mergeCell ref="A134:A153"/>
    <mergeCell ref="E451:E452"/>
    <mergeCell ref="B41:N41"/>
    <mergeCell ref="B451:B452"/>
    <mergeCell ref="H451:H452"/>
    <mergeCell ref="J451:J452"/>
    <mergeCell ref="D451:D452"/>
    <mergeCell ref="G451:G452"/>
    <mergeCell ref="I451:I452"/>
    <mergeCell ref="F451:F452"/>
    <mergeCell ref="B118:C118"/>
    <mergeCell ref="C451:C452"/>
    <mergeCell ref="C195:O195"/>
    <mergeCell ref="C131:O131"/>
    <mergeCell ref="B188:N188"/>
    <mergeCell ref="C257:O257"/>
    <mergeCell ref="B322:B323"/>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2025-10-15T20:06:55Z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