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SEP\INF_ELABORADA\"/>
    </mc:Choice>
  </mc:AlternateContent>
  <xr:revisionPtr revIDLastSave="0" documentId="13_ncr:1_{77ABB4C7-0B7C-4E20-92DD-641D38719E40}" xr6:coauthVersionLast="47" xr6:coauthVersionMax="47" xr10:uidLastSave="{00000000-0000-0000-0000-000000000000}"/>
  <bookViews>
    <workbookView xWindow="-289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5" i="96" l="1"/>
  <c r="O90" i="96"/>
  <c r="P90" i="96"/>
  <c r="N91" i="96"/>
  <c r="P65" i="96"/>
  <c r="O65" i="96"/>
  <c r="AI8" i="96" l="1"/>
  <c r="AD8" i="96"/>
  <c r="A437" i="96"/>
  <c r="C104" i="96" l="1"/>
  <c r="G84" i="96" l="1"/>
  <c r="G101" i="96" l="1"/>
  <c r="I466" i="96"/>
  <c r="G466" i="96"/>
  <c r="F466" i="96"/>
  <c r="C466" i="96"/>
  <c r="B466" i="96"/>
  <c r="C107" i="96"/>
  <c r="B94" i="96"/>
  <c r="N90" i="96"/>
  <c r="N89" i="96"/>
  <c r="N88" i="96"/>
  <c r="N87" i="96"/>
  <c r="N86" i="96"/>
  <c r="N85" i="96"/>
  <c r="N84" i="96"/>
  <c r="N83" i="96"/>
  <c r="N82" i="96"/>
  <c r="C100" i="96"/>
  <c r="C99" i="96"/>
  <c r="C98" i="96"/>
  <c r="H94" i="96"/>
  <c r="F94" i="96"/>
  <c r="E94" i="96"/>
  <c r="C94" i="96"/>
  <c r="C101" i="96"/>
  <c r="C102" i="96"/>
  <c r="C103" i="96"/>
  <c r="C105" i="96"/>
  <c r="A115" i="96"/>
  <c r="G106" i="96" s="1"/>
  <c r="B84" i="96"/>
  <c r="G107" i="96"/>
  <c r="G105" i="96"/>
  <c r="G104" i="96"/>
  <c r="G103" i="96"/>
  <c r="G102" i="96"/>
  <c r="F13" i="76" s="1"/>
  <c r="G100" i="96"/>
  <c r="G99" i="96"/>
  <c r="G98" i="96"/>
  <c r="G97" i="96"/>
  <c r="J89" i="96"/>
  <c r="J84" i="96"/>
  <c r="M84" i="96"/>
  <c r="L84" i="96"/>
  <c r="M89" i="96"/>
  <c r="M83" i="96"/>
  <c r="K89" i="96"/>
  <c r="K84" i="96"/>
  <c r="L89" i="96"/>
  <c r="C106" i="96" l="1"/>
  <c r="M90" i="96" l="1"/>
  <c r="M88" i="96"/>
  <c r="M87" i="96"/>
  <c r="M86" i="96"/>
  <c r="M85" i="96"/>
  <c r="M82" i="96"/>
  <c r="L90" i="96"/>
  <c r="L88" i="96"/>
  <c r="L87" i="96"/>
  <c r="L86" i="96"/>
  <c r="L85" i="96"/>
  <c r="L83" i="96"/>
  <c r="L82" i="96"/>
  <c r="K90" i="96"/>
  <c r="K88" i="96"/>
  <c r="K87" i="96"/>
  <c r="K86" i="96"/>
  <c r="K85" i="96"/>
  <c r="K83" i="96"/>
  <c r="K82" i="96"/>
  <c r="J90"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9" i="96"/>
  <c r="C84" i="96"/>
  <c r="D84" i="96"/>
  <c r="E84" i="96"/>
  <c r="F84" i="96"/>
  <c r="H84" i="96"/>
  <c r="I84" i="96"/>
  <c r="B88" i="96"/>
  <c r="B87" i="96"/>
  <c r="B86" i="96"/>
  <c r="B85" i="96"/>
  <c r="B83" i="96"/>
  <c r="B82" i="96"/>
  <c r="B90" i="96"/>
  <c r="J94" i="96" l="1"/>
  <c r="I94" i="96"/>
  <c r="P414" i="96" l="1"/>
  <c r="H121" i="96" l="1"/>
  <c r="C81" i="96"/>
  <c r="D81" i="96"/>
  <c r="E81" i="96"/>
  <c r="F81" i="96"/>
  <c r="G81" i="96"/>
  <c r="H81" i="96"/>
  <c r="I81" i="96"/>
  <c r="J81" i="96"/>
  <c r="K81" i="96"/>
  <c r="L81" i="96"/>
  <c r="M81" i="96"/>
  <c r="N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AP395" i="97" s="1"/>
  <c r="P395" i="97"/>
  <c r="O395" i="97"/>
  <c r="AN395" i="97" s="1"/>
  <c r="N395" i="97"/>
  <c r="M395" i="97"/>
  <c r="AL395" i="97" s="1"/>
  <c r="L395" i="97"/>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N392" i="97" l="1"/>
  <c r="AQ374" i="97"/>
  <c r="AQ395" i="97"/>
  <c r="AM395" i="97"/>
  <c r="AO374" i="97"/>
  <c r="AY374" i="97" s="1"/>
  <c r="BN11" i="97" s="1"/>
  <c r="AO395" i="97"/>
  <c r="AS374" i="97"/>
  <c r="AK395" i="97"/>
  <c r="AP374" i="97"/>
  <c r="AQ391" i="97"/>
  <c r="AK370" i="97"/>
  <c r="AY370" i="97" s="1"/>
  <c r="BN7" i="97" s="1"/>
  <c r="AO391" i="97"/>
  <c r="AY391" i="97" s="1"/>
  <c r="BN28" i="97" s="1"/>
  <c r="AN382" i="97"/>
  <c r="AO382" i="97"/>
  <c r="AP369" i="97"/>
  <c r="AP382" i="97"/>
  <c r="AP393" i="97"/>
  <c r="AY393" i="97" s="1"/>
  <c r="BN30" i="97" s="1"/>
  <c r="AP394" i="97"/>
  <c r="AL394" i="97"/>
  <c r="AO394" i="97"/>
  <c r="AG399" i="97"/>
  <c r="AY399" i="97" s="1"/>
  <c r="BN36" i="97" s="1"/>
  <c r="AD369" i="97"/>
  <c r="AA369" i="97"/>
  <c r="AL369" i="97"/>
  <c r="AY392" i="97"/>
  <c r="BN29" i="97" s="1"/>
  <c r="AX383" i="97"/>
  <c r="AY383" i="97" s="1"/>
  <c r="BN20" i="97" s="1"/>
  <c r="AY384" i="97"/>
  <c r="BN21" i="97" s="1"/>
  <c r="AY375" i="97"/>
  <c r="BN12" i="97" s="1"/>
  <c r="AY376" i="97"/>
  <c r="BN13" i="97" s="1"/>
  <c r="AF369" i="97"/>
  <c r="AI369" i="97"/>
  <c r="AY371" i="97"/>
  <c r="BN8" i="97" s="1"/>
  <c r="AY372" i="97"/>
  <c r="BN9" i="97" s="1"/>
  <c r="AY373" i="97"/>
  <c r="BN10" i="97" s="1"/>
  <c r="AY387" i="97"/>
  <c r="BN24" i="97" s="1"/>
  <c r="AY377" i="97"/>
  <c r="BN14" i="97" s="1"/>
  <c r="AY390" i="97"/>
  <c r="BN27" i="97" s="1"/>
  <c r="AY380" i="97"/>
  <c r="BN17" i="97" s="1"/>
  <c r="AY398" i="97"/>
  <c r="BN35" i="97" s="1"/>
  <c r="AY388" i="97"/>
  <c r="BN25" i="97" s="1"/>
  <c r="AY378" i="97"/>
  <c r="BN15" i="97" s="1"/>
  <c r="AY396" i="97"/>
  <c r="BN33" i="97" s="1"/>
  <c r="AY381" i="97"/>
  <c r="BN18" i="97" s="1"/>
  <c r="AY386" i="97"/>
  <c r="BN23" i="97" s="1"/>
  <c r="AY389" i="97"/>
  <c r="BN26" i="97" s="1"/>
  <c r="AY385" i="97"/>
  <c r="BN22" i="97" s="1"/>
  <c r="AY379" i="97"/>
  <c r="BN16" i="97" s="1"/>
  <c r="AY397" i="97"/>
  <c r="BN34" i="97" s="1"/>
  <c r="AY395" i="97" l="1"/>
  <c r="BN32" i="97" s="1"/>
  <c r="AY394" i="97"/>
  <c r="BN31" i="97" s="1"/>
  <c r="AY382" i="97"/>
  <c r="BN19" i="97" s="1"/>
  <c r="AY369" i="97"/>
  <c r="BN6" i="97" s="1"/>
  <c r="BN39" i="97" l="1"/>
  <c r="B38" i="97"/>
  <c r="A2" i="96"/>
  <c r="AC38"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14" i="76"/>
  <c r="F14" i="76"/>
  <c r="AM8" i="96" l="1"/>
  <c r="P404" i="96"/>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<sst xmlns="http://schemas.openxmlformats.org/spreadsheetml/2006/main" count="2354" uniqueCount="380">
  <si>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</si>
  <si>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</si>
  <si>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</si>
  <si>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</si>
  <si>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</si>
  <si>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</si>
  <si>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</si>
  <si>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</si>
  <si>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</si>
  <si>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</si>
  <si>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</si>
  <si>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</si>
  <si>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</si>
  <si>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</si>
  <si>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</si>
  <si>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</si>
  <si>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</si>
  <si>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</si>
  <si>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</si>
  <si>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</si>
  <si>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</si>
  <si>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</si>
  <si>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</si>
  <si>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</si>
  <si>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</si>
  <si>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</si>
  <si>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</si>
  <si>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</si>
  <si>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</si>
  <si>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</si>
  <si>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</si>
  <si>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</si>
  <si>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</si>
  <si>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</si>
  <si>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</si>
  <si>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</si>
  <si>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</si>
  <si>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</si>
  <si>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</si>
  <si>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</si>
  <si>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</si>
  <si>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</si>
  <si>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</si>
  <si>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</si>
  <si>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</si>
  <si>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</si>
  <si>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</si>
  <si>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</si>
  <si>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</si>
  <si>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</si>
  <si>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</si>
  <si>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</si>
  <si>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</si>
  <si>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</si>
  <si>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</si>
  <si>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</si>
  <si>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</si>
  <si>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</si>
  <si>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</si>
  <si>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</si>
  <si>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</si>
  <si>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</si>
  <si>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</si>
  <si>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</si>
  <si>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</si>
  <si>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</si>
  <si>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</si>
  <si>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</si>
  <si>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</si>
  <si>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</si>
  <si>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</si>
  <si>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</si>
  <si>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</si>
  <si>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</si>
  <si>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</si>
  <si>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</si>
  <si>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</si>
  <si>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</si>
  <si>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</si>
  <si>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</si>
  <si>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</si>
  <si>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</si>
  <si>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</si>
  <si>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</si>
  <si>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</si>
  <si>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</si>
  <si>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</si>
  <si>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</si>
  <si>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</si>
  <si>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</si>
  <si>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</si>
  <si>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</si>
  <si>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</si>
  <si>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</si>
  <si>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</si>
  <si>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</si>
  <si>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</si>
  <si>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</si>
  <si>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</si>
  <si>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</si>
  <si>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</si>
  <si>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</si>
  <si>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</si>
  <si>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</si>
  <si>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</si>
  <si>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</si>
  <si>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</si>
  <si>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</si>
  <si>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</si>
  <si>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</si>
  <si>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</si>
  <si>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</si>
  <si>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</si>
  <si>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</si>
  <si>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</si>
  <si>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</si>
  <si>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</si>
  <si>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</si>
  <si>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</si>
  <si>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</si>
  <si>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</si>
  <si>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</si>
  <si>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</si>
  <si>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</si>
  <si>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</si>
  <si>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</si>
  <si>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</si>
  <si>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</si>
  <si>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</si>
  <si>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</si>
  <si>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</si>
  <si>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</si>
  <si>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</si>
  <si>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</si>
  <si>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</si>
  <si>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</si>
  <si>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</si>
  <si>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</si>
  <si>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</si>
  <si>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</si>
  <si>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</si>
  <si>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</si>
  <si>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</si>
  <si>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</si>
  <si>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</si>
  <si>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</si>
  <si>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</si>
  <si>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</si>
  <si>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</si>
  <si>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</si>
  <si>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</si>
  <si>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</si>
  <si>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</si>
  <si>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</si>
  <si>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</si>
  <si>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</si>
  <si>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</si>
  <si>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</si>
  <si>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</si>
  <si>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</si>
  <si>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</si>
  <si>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</si>
  <si>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</si>
  <si>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</si>
  <si>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</si>
  <si>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</si>
  <si>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</si>
  <si>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</si>
  <si>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</si>
  <si>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</si>
  <si>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</si>
  <si>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</si>
  <si>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</si>
  <si>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</si>
  <si>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</si>
  <si>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</si>
  <si>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</si>
  <si>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</si>
  <si>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</si>
  <si>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</si>
  <si>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</si>
  <si>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</si>
  <si>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</si>
  <si>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</si>
  <si>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</si>
  <si>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</si>
  <si>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</si>
  <si>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</si>
  <si>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</si>
  <si>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</si>
  <si>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</si>
  <si>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</si>
  <si>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</si>
  <si>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</si>
  <si>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</si>
  <si>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</si>
  <si>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</si>
  <si>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</si>
  <si>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</si>
  <si>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</si>
  <si>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</si>
  <si>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</si>
  <si>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</si>
  <si>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</si>
  <si>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</si>
  <si>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</si>
  <si>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</si>
  <si>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</si>
  <si>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</si>
  <si>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</si>
  <si>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</si>
  <si>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</si>
  <si>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</si>
  <si>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</si>
  <si>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</si>
  <si>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</si>
  <si>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</si>
  <si>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</si>
  <si>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</si>
  <si>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</si>
  <si>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</si>
  <si>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</si>
  <si>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</si>
  <si>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</si>
  <si>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</si>
  <si>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</si>
  <si>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</si>
  <si>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</si>
  <si>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</si>
  <si>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</si>
  <si>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</si>
  <si>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</si>
  <si>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</si>
  <si>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</si>
  <si>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</si>
  <si>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</si>
  <si>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</si>
  <si>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</si>
  <si>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</si>
  <si>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</si>
  <si>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</si>
  <si>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</si>
  <si>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2022 Septiembre</t>
  </si>
  <si>
    <t>SEP-22</t>
  </si>
  <si>
    <t>2022 Octubre</t>
  </si>
  <si>
    <t>Mecanismo Ajuste RD-L10/2022 Coste OM</t>
  </si>
  <si>
    <t>Mecanismo Ajuste RD-L10/2022 Coste OS</t>
  </si>
  <si>
    <t>Mecanismo Ajuste RD-L10/2022 Ajuste OS</t>
  </si>
  <si>
    <t>OCT-22</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</si>
  <si>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</si>
  <si>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</si>
  <si>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</si>
  <si>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</si>
  <si>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</si>
  <si>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</si>
  <si>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</si>
  <si>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</si>
  <si>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</si>
  <si>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</si>
  <si>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</si>
  <si>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</si>
  <si>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</si>
  <si>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</si>
  <si>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</si>
  <si>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</si>
  <si>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</si>
  <si>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</si>
  <si>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</si>
  <si>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</si>
  <si>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</si>
  <si>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</si>
  <si>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</si>
  <si>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</si>
  <si>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</si>
  <si>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</si>
  <si>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</si>
  <si>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</si>
  <si>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</si>
  <si>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</si>
  <si>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</si>
  <si>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</si>
  <si>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</si>
  <si>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</si>
  <si>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</si>
  <si>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</si>
  <si>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</si>
  <si>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</si>
  <si>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</si>
  <si>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</si>
  <si>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</si>
  <si>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</si>
  <si>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</si>
  <si>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</si>
  <si>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</si>
  <si>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01/09/2023</t>
  </si>
  <si>
    <t>02/09/2023</t>
  </si>
  <si>
    <t>03/09/2023</t>
  </si>
  <si>
    <t>04/09/2023</t>
  </si>
  <si>
    <t>05/09/2023</t>
  </si>
  <si>
    <t>06/09/2023</t>
  </si>
  <si>
    <t>07/09/2023</t>
  </si>
  <si>
    <t>08/09/2023</t>
  </si>
  <si>
    <t>09/09/2023</t>
  </si>
  <si>
    <t>10/09/2023</t>
  </si>
  <si>
    <t>11/09/2023</t>
  </si>
  <si>
    <t>12/09/2023</t>
  </si>
  <si>
    <t>13/09/2023</t>
  </si>
  <si>
    <t>14/09/2023</t>
  </si>
  <si>
    <t>15/09/2023</t>
  </si>
  <si>
    <t>16/09/2023</t>
  </si>
  <si>
    <t>17/09/2023</t>
  </si>
  <si>
    <t>18/09/2023</t>
  </si>
  <si>
    <t>19/09/2023</t>
  </si>
  <si>
    <t>20/09/2023</t>
  </si>
  <si>
    <t>21/09/2023</t>
  </si>
  <si>
    <t>22/09/2023</t>
  </si>
  <si>
    <t>23/09/2023</t>
  </si>
  <si>
    <t>24/09/2023</t>
  </si>
  <si>
    <t>25/09/2023</t>
  </si>
  <si>
    <t>26/09/2023</t>
  </si>
  <si>
    <t>27/09/2023</t>
  </si>
  <si>
    <t>28/09/2023</t>
  </si>
  <si>
    <t>29/09/2023</t>
  </si>
  <si>
    <t>30/09/2023</t>
  </si>
  <si>
    <t>2023 Septiembre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</si>
  <si>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ut="10/16/2023 07:27:31"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msgID="6C62939C11EE6BF551430080EF25FFFE"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nrr="2773" nrc="2814"&gt;&lt;pg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</si>
  <si>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ut="10/16/2023 07:58:13"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msgID="B61E34CF11EE6BF951430080EF85C001"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nrr="431" nrc="182"&gt;&lt;pg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</si>
  <si>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ut="10/16/2023 08:01:35"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msgID="2E3ECA9011EE6BFA51430080EF25FFFE"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nrr="62" nrc="403"&gt;&lt;pg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</si>
  <si>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ut="10/16/2023 08:03:16"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msgID="2E18743011EE6BFA51430080EF85BEFD"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nrr="3074" nrc="1157"&gt;&lt;pg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</si>
  <si>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ut="10/16/2023 08:05:07"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msgID="2E3406FA11EE6BFA51430080EF658001"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nrr="973" nrc="390"&gt;&lt;pg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</si>
  <si>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ut="10/16/2023 08:06:57"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msgID="2E26D08411EE6BFA51430080EF75A001"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nrr="2030" nrc="1391"&gt;&lt;pg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</si>
  <si>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ut="10/16/2023 08:21:03"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msgID="F892AD8411EE6BFA51430080EFB52001"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nrr="64" nrc="404"&gt;&lt;pg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</si>
  <si>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ut="10/16/2023 08:23:31"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msgID="01DC5DC611EE6BFC51430080EFF59FFE"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nrr="1907" nrc="1170"&gt;&lt;pg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</si>
  <si>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ut="10/16/2023 08:27:29"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msgID="3B33F85A11EE6BFB51430080EF759FFF"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nrr="68" nrc="430"&gt;&lt;pg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</si>
  <si>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ut="10/16/2023 08:30:34"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msgID="B7ECD02011EE6BFA51430080EFA50001"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nrr="56" nrc="364"&gt;&lt;pg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</si>
  <si>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ut="10/16/2023 09:58:45"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msgID="8F68A32611EE6C0A51430080EF85C001"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nrr="368" nrc="583"&gt;&lt;pg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</si>
  <si>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ut="10/16/2023 10:00:47"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msgID="8F75D17C11EE6C0A51430080EF75A001"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nrr="100" nrc="325"&gt;&lt;pg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</si>
  <si>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ut="10/16/2023 10:03:03"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msgID="8F68E07011EE6C0A51430080EF352000"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nrr="224" nrc="364"&gt;&lt;pg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</si>
  <si>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fce49c385f904aaea4b9b26888ac8489</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</si>
  <si>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ut="10/16/2023 10:08:59" si="2.00000001ae23a7fb62d37637a6a5620269280e22628ce5525c86919ddea5960883ed9ead9274fe67b4f2530b0c86919379817a2677f076885ba777e85a1f5a699350d314aebf19cc2069abcc91da25c96f8fcecea93373338914c4200e24b98b246851c17cc0e407f2746f36736b2f2573e9f3704e7acae3b1a550d934327de9d372c353d2a23abb4be6fd6565d607d8a4caed35c58ed9d8eef401c0bdd9bf9d4a52.p.3082.0.1.Europe/Madrid.upriv*_1*_pidn2*_13*_session*-lat*_1.00000001a8923082e93d990c079991e8c4ee8baf31cdd82e993622276c77cf670e8e61abda4b130064776a3d7b39a5335db0be4a2e4b422d.0000000166eb0a07533953a9508d67a453e1b5e531cdd82e9f7a126b6d367b49508fea97f75ddcbc4a203a01bc22d9231c46ea747cc7988d.0.1.1.SIOSbi.A04572404A6ABF2446090B938515E87E.0-3082.1.1_-0.1.0_-3082.1.1_5.5.0.*0.0000000162f9b0cd6b0ea9a4bf896a4b7fc3b106c911585a0b69b84ff121a1264a51452248c8bd93.0.23.11*.2*.0400*.31152J.e.0000000181fc19f2f0f86eca02f7c5003e2b71c7c911585a1e926e852a33e3f7bc9afe5e71633711.0.10*.131*.122*.122.0.0" msgID="8F6E4FA611EE6C0A51430080EF556000"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nrr="2421" nrc="1196"&gt;&lt;pg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</si>
  <si>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SEP-23</t>
  </si>
  <si>
    <t>01/09/23</t>
  </si>
  <si>
    <t>02/09/23</t>
  </si>
  <si>
    <t>BG
RE</t>
  </si>
  <si>
    <t>HI
RE</t>
  </si>
  <si>
    <t>BG
HI</t>
  </si>
  <si>
    <t>03/09/23</t>
  </si>
  <si>
    <t>HI
TCC</t>
  </si>
  <si>
    <t>04/09/23</t>
  </si>
  <si>
    <t>05/09/23</t>
  </si>
  <si>
    <t>RE
TCC</t>
  </si>
  <si>
    <t>06/09/23</t>
  </si>
  <si>
    <t>07/09/23</t>
  </si>
  <si>
    <t>08/09/23</t>
  </si>
  <si>
    <t>09/09/23</t>
  </si>
  <si>
    <t>10/09/23</t>
  </si>
  <si>
    <t>11/09/23</t>
  </si>
  <si>
    <t>12/09/23</t>
  </si>
  <si>
    <t>13/09/23</t>
  </si>
  <si>
    <t>14/09/23</t>
  </si>
  <si>
    <t>15/09/23</t>
  </si>
  <si>
    <t>16/09/23</t>
  </si>
  <si>
    <t>17/09/23</t>
  </si>
  <si>
    <t>18/09/23</t>
  </si>
  <si>
    <t>19/09/23</t>
  </si>
  <si>
    <t>20/09/23</t>
  </si>
  <si>
    <t>21/09/23</t>
  </si>
  <si>
    <t>22/09/23</t>
  </si>
  <si>
    <t>23/09/23</t>
  </si>
  <si>
    <t>24/09/23</t>
  </si>
  <si>
    <t>HI
NU
RE</t>
  </si>
  <si>
    <t>25/09/23</t>
  </si>
  <si>
    <t>BG
TCC</t>
  </si>
  <si>
    <t>26/09/23</t>
  </si>
  <si>
    <t>27/09/23</t>
  </si>
  <si>
    <t>BG
HI
RE</t>
  </si>
  <si>
    <t>28/09/23</t>
  </si>
  <si>
    <t>29/09/23</t>
  </si>
  <si>
    <t>30/09/23</t>
  </si>
  <si>
    <t>Fuentes: OMIE y 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</si>
</sst>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4">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3"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xf numFmtId="4" fontId="23" fillId="7" borderId="2">
      <alignment horizontal="right" vertical="center"/>
    </xf>
  </cellStyleXfs>
  <cellXfs count="273">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4" fillId="5" borderId="0" xfId="20" applyFont="1" applyFill="1"/>
    <xf numFmtId="164" fontId="74"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2"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4" fillId="3" borderId="2" xfId="60" quotePrefix="1" applyAlignment="1"/>
    <xf numFmtId="0" fontId="24" fillId="3" borderId="7" xfId="60" quotePrefix="1" applyBorder="1" applyAlignment="1"/>
    <xf numFmtId="4" fontId="76"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6" fillId="5" borderId="4" xfId="0" applyFont="1" applyFill="1" applyBorder="1" applyAlignment="1">
      <alignment horizontal="center"/>
    </xf>
    <xf numFmtId="2" fontId="77" fillId="0" borderId="0" xfId="0" applyNumberFormat="1" applyFont="1"/>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0" fontId="26" fillId="0" borderId="0" xfId="9" applyNumberFormat="1" applyFont="1" applyFill="1" applyBorder="1" applyAlignment="1" applyProtection="1">
      <alignment horizontal="left"/>
    </xf>
    <xf numFmtId="173" fontId="0" fillId="0" borderId="0" xfId="9" applyNumberFormat="1" applyFont="1"/>
    <xf numFmtId="168" fontId="26" fillId="0" borderId="0" xfId="9" applyNumberFormat="1" applyFont="1" applyFill="1" applyBorder="1" applyAlignment="1" applyProtection="1">
      <alignment horizontal="left"/>
    </xf>
    <xf numFmtId="0" fontId="0" fillId="0" borderId="0" xfId="0" applyBorder="1"/>
    <xf numFmtId="0" fontId="24" fillId="3" borderId="2" xfId="60" quotePrefix="1" applyAlignment="1">
      <alignment horizontal="right"/>
    </xf>
    <xf numFmtId="0" fontId="0" fillId="0" borderId="0" xfId="0" applyFill="1"/>
    <xf numFmtId="0" fontId="64" fillId="0" borderId="0" xfId="0" applyFont="1" applyFill="1"/>
    <xf numFmtId="0" fontId="10" fillId="0" borderId="0" xfId="0" applyFont="1" applyBorder="1"/>
    <xf numFmtId="0" fontId="15" fillId="0" borderId="0" xfId="32" applyFont="1" applyBorder="1" applyAlignment="1">
      <alignment horizontal="right"/>
    </xf>
    <xf numFmtId="0" fontId="15" fillId="0" borderId="0" xfId="0" applyFont="1" applyBorder="1" applyAlignment="1">
      <alignment horizontal="right"/>
    </xf>
    <xf numFmtId="170" fontId="23" fillId="7" borderId="2" xfId="43">
      <alignment horizontal="right" vertical="center"/>
    </xf>
    <xf numFmtId="164" fontId="23" fillId="7" borderId="2" xfId="80">
      <alignment horizontal="right" vertical="center"/>
    </xf>
    <xf numFmtId="4" fontId="23" fillId="2" borderId="2" xfId="81">
      <alignment horizontal="right" vertical="center"/>
    </xf>
    <xf numFmtId="4" fontId="23" fillId="7" borderId="2" xfId="83">
      <alignment horizontal="right" vertical="center"/>
    </xf>
    <xf numFmtId="0" fontId="24" fillId="3" borderId="2" xfId="60" quotePrefix="1" applyAlignment="1">
      <alignment horizontal="center"/>
    </xf>
    <xf numFmtId="49" fontId="27" fillId="5" borderId="0" xfId="0" applyNumberFormat="1" applyFont="1" applyFill="1" applyBorder="1"/>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4">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127.82</c:v>
                </c:pt>
                <c:pt idx="1">
                  <c:v>131.31</c:v>
                </c:pt>
                <c:pt idx="2">
                  <c:v>110.78</c:v>
                </c:pt>
                <c:pt idx="3">
                  <c:v>138.33000000000001</c:v>
                </c:pt>
                <c:pt idx="4">
                  <c:v>149.22999999999999</c:v>
                </c:pt>
                <c:pt idx="5">
                  <c:v>152.5</c:v>
                </c:pt>
                <c:pt idx="6">
                  <c:v>146.75</c:v>
                </c:pt>
                <c:pt idx="7">
                  <c:v>149.05000000000001</c:v>
                </c:pt>
                <c:pt idx="8">
                  <c:v>137.66999999999999</c:v>
                </c:pt>
                <c:pt idx="9">
                  <c:v>131.57</c:v>
                </c:pt>
                <c:pt idx="10">
                  <c:v>148.80000000000001</c:v>
                </c:pt>
                <c:pt idx="11">
                  <c:v>147.47</c:v>
                </c:pt>
                <c:pt idx="12">
                  <c:v>137.5</c:v>
                </c:pt>
                <c:pt idx="13">
                  <c:v>145.91</c:v>
                </c:pt>
                <c:pt idx="14">
                  <c:v>130.5</c:v>
                </c:pt>
                <c:pt idx="15">
                  <c:v>122.69</c:v>
                </c:pt>
                <c:pt idx="16">
                  <c:v>122.69</c:v>
                </c:pt>
                <c:pt idx="17">
                  <c:v>164.12</c:v>
                </c:pt>
                <c:pt idx="18">
                  <c:v>143</c:v>
                </c:pt>
                <c:pt idx="19">
                  <c:v>116.61</c:v>
                </c:pt>
                <c:pt idx="20">
                  <c:v>121.38</c:v>
                </c:pt>
                <c:pt idx="21">
                  <c:v>133.59</c:v>
                </c:pt>
                <c:pt idx="22">
                  <c:v>150.82</c:v>
                </c:pt>
                <c:pt idx="23">
                  <c:v>160.51</c:v>
                </c:pt>
                <c:pt idx="24">
                  <c:v>160</c:v>
                </c:pt>
                <c:pt idx="25">
                  <c:v>163.77000000000001</c:v>
                </c:pt>
                <c:pt idx="26">
                  <c:v>170</c:v>
                </c:pt>
                <c:pt idx="27">
                  <c:v>147.65</c:v>
                </c:pt>
                <c:pt idx="28">
                  <c:v>149.25</c:v>
                </c:pt>
                <c:pt idx="29">
                  <c:v>150.58000000000001</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74.459999999999994</c:v>
                </c:pt>
                <c:pt idx="1">
                  <c:v>79.45</c:v>
                </c:pt>
                <c:pt idx="2">
                  <c:v>4.3</c:v>
                </c:pt>
                <c:pt idx="3">
                  <c:v>52.14</c:v>
                </c:pt>
                <c:pt idx="4">
                  <c:v>80.31</c:v>
                </c:pt>
                <c:pt idx="5">
                  <c:v>79.27</c:v>
                </c:pt>
                <c:pt idx="6">
                  <c:v>81.709999999999994</c:v>
                </c:pt>
                <c:pt idx="7">
                  <c:v>80</c:v>
                </c:pt>
                <c:pt idx="8">
                  <c:v>57.89</c:v>
                </c:pt>
                <c:pt idx="9">
                  <c:v>54</c:v>
                </c:pt>
                <c:pt idx="10">
                  <c:v>90</c:v>
                </c:pt>
                <c:pt idx="11">
                  <c:v>97.2</c:v>
                </c:pt>
                <c:pt idx="12">
                  <c:v>90.55</c:v>
                </c:pt>
                <c:pt idx="13">
                  <c:v>88.99</c:v>
                </c:pt>
                <c:pt idx="14">
                  <c:v>94.75</c:v>
                </c:pt>
                <c:pt idx="15">
                  <c:v>73.41</c:v>
                </c:pt>
                <c:pt idx="16">
                  <c:v>4.08</c:v>
                </c:pt>
                <c:pt idx="17">
                  <c:v>80.2</c:v>
                </c:pt>
                <c:pt idx="18">
                  <c:v>85.51</c:v>
                </c:pt>
                <c:pt idx="19">
                  <c:v>35</c:v>
                </c:pt>
                <c:pt idx="20">
                  <c:v>70</c:v>
                </c:pt>
                <c:pt idx="21">
                  <c:v>70.77</c:v>
                </c:pt>
                <c:pt idx="22">
                  <c:v>60</c:v>
                </c:pt>
                <c:pt idx="23">
                  <c:v>0</c:v>
                </c:pt>
                <c:pt idx="24">
                  <c:v>85.93</c:v>
                </c:pt>
                <c:pt idx="25">
                  <c:v>98</c:v>
                </c:pt>
                <c:pt idx="26">
                  <c:v>77.14</c:v>
                </c:pt>
                <c:pt idx="27">
                  <c:v>82.18</c:v>
                </c:pt>
                <c:pt idx="28">
                  <c:v>90.87</c:v>
                </c:pt>
                <c:pt idx="29">
                  <c:v>40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103.9745206905</c:v>
                </c:pt>
                <c:pt idx="1">
                  <c:v>101.8029101919</c:v>
                </c:pt>
                <c:pt idx="2">
                  <c:v>55.849198872700001</c:v>
                </c:pt>
                <c:pt idx="3">
                  <c:v>86.809790540700007</c:v>
                </c:pt>
                <c:pt idx="4">
                  <c:v>103.7999098495</c:v>
                </c:pt>
                <c:pt idx="5">
                  <c:v>105.8690899799</c:v>
                </c:pt>
                <c:pt idx="6">
                  <c:v>106.2393075661</c:v>
                </c:pt>
                <c:pt idx="7">
                  <c:v>102.4845415265</c:v>
                </c:pt>
                <c:pt idx="8">
                  <c:v>98.292299549500001</c:v>
                </c:pt>
                <c:pt idx="9">
                  <c:v>99.491058799599998</c:v>
                </c:pt>
                <c:pt idx="10">
                  <c:v>115.9334994993</c:v>
                </c:pt>
                <c:pt idx="11">
                  <c:v>115.91102818100001</c:v>
                </c:pt>
                <c:pt idx="12">
                  <c:v>107.8062401233</c:v>
                </c:pt>
                <c:pt idx="13">
                  <c:v>105.87618043259999</c:v>
                </c:pt>
                <c:pt idx="14">
                  <c:v>115.3528302372</c:v>
                </c:pt>
                <c:pt idx="15">
                  <c:v>97.569855687599997</c:v>
                </c:pt>
                <c:pt idx="16">
                  <c:v>55.161422074000001</c:v>
                </c:pt>
                <c:pt idx="17">
                  <c:v>106.4726328949</c:v>
                </c:pt>
                <c:pt idx="18">
                  <c:v>108.1833385673</c:v>
                </c:pt>
                <c:pt idx="19">
                  <c:v>90.266558406800002</c:v>
                </c:pt>
                <c:pt idx="20">
                  <c:v>91.957217430200004</c:v>
                </c:pt>
                <c:pt idx="21">
                  <c:v>99.558978550800006</c:v>
                </c:pt>
                <c:pt idx="22">
                  <c:v>106.76798243650001</c:v>
                </c:pt>
                <c:pt idx="23">
                  <c:v>69.923375686900002</c:v>
                </c:pt>
                <c:pt idx="24">
                  <c:v>116.7217047747</c:v>
                </c:pt>
                <c:pt idx="25">
                  <c:v>121.74234686219999</c:v>
                </c:pt>
                <c:pt idx="26">
                  <c:v>112.46172998340001</c:v>
                </c:pt>
                <c:pt idx="27">
                  <c:v>111.4830994869</c:v>
                </c:pt>
                <c:pt idx="28">
                  <c:v>116.87825900110001</c:v>
                </c:pt>
                <c:pt idx="29">
                  <c:v>99.015259132500006</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815.74097222222497</c:v>
                </c:pt>
                <c:pt idx="1">
                  <c:v>822.44496644294998</c:v>
                </c:pt>
                <c:pt idx="2">
                  <c:v>823.82916666667495</c:v>
                </c:pt>
                <c:pt idx="3">
                  <c:v>816.37231182795006</c:v>
                </c:pt>
                <c:pt idx="4">
                  <c:v>821.40826612902504</c:v>
                </c:pt>
                <c:pt idx="5">
                  <c:v>825.95238095237505</c:v>
                </c:pt>
                <c:pt idx="6">
                  <c:v>824.18304172274998</c:v>
                </c:pt>
                <c:pt idx="7">
                  <c:v>824.38055555555002</c:v>
                </c:pt>
                <c:pt idx="8">
                  <c:v>823.33736559140004</c:v>
                </c:pt>
                <c:pt idx="9">
                  <c:v>823.52083333332496</c:v>
                </c:pt>
                <c:pt idx="10">
                  <c:v>823.92842741934999</c:v>
                </c:pt>
                <c:pt idx="11">
                  <c:v>824.32795698924997</c:v>
                </c:pt>
                <c:pt idx="12">
                  <c:v>822.96006944445003</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Dat_01!$B$192:$N$192</c:f>
              <c:numCache>
                <c:formatCode>#,##0;\(#,##0\)</c:formatCode>
                <c:ptCount val="13"/>
                <c:pt idx="0">
                  <c:v>95.748275000000007</c:v>
                </c:pt>
                <c:pt idx="1">
                  <c:v>118.914025</c:v>
                </c:pt>
                <c:pt idx="2">
                  <c:v>126.6534</c:v>
                </c:pt>
                <c:pt idx="3">
                  <c:v>143.00412499999999</c:v>
                </c:pt>
                <c:pt idx="4">
                  <c:v>166.86167499999999</c:v>
                </c:pt>
                <c:pt idx="5">
                  <c:v>132.923225</c:v>
                </c:pt>
                <c:pt idx="6">
                  <c:v>185.84370000000001</c:v>
                </c:pt>
                <c:pt idx="7">
                  <c:v>310.96409999999997</c:v>
                </c:pt>
                <c:pt idx="8">
                  <c:v>263.08567499999998</c:v>
                </c:pt>
                <c:pt idx="9">
                  <c:v>155.79734999999999</c:v>
                </c:pt>
                <c:pt idx="10">
                  <c:v>150.423925</c:v>
                </c:pt>
                <c:pt idx="11">
                  <c:v>179.72805</c:v>
                </c:pt>
                <c:pt idx="12">
                  <c:v>160.777525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Septiembre</c:v>
                </c:pt>
                <c:pt idx="1">
                  <c:v>2022 Octubre</c:v>
                </c:pt>
                <c:pt idx="2">
                  <c:v>2022 Noviembre</c:v>
                </c:pt>
                <c:pt idx="3">
                  <c:v>2022 Diciembre</c:v>
                </c:pt>
                <c:pt idx="4">
                  <c:v>2023 Enero</c:v>
                </c:pt>
                <c:pt idx="5">
                  <c:v>2023 Febrero</c:v>
                </c:pt>
                <c:pt idx="6">
                  <c:v>2023 Marzo</c:v>
                </c:pt>
                <c:pt idx="7">
                  <c:v>2023 Abril</c:v>
                </c:pt>
                <c:pt idx="8">
                  <c:v>2023 Mayo</c:v>
                </c:pt>
                <c:pt idx="9">
                  <c:v>2023 Junio</c:v>
                </c:pt>
                <c:pt idx="10">
                  <c:v>2023 Julio</c:v>
                </c:pt>
                <c:pt idx="11">
                  <c:v>2023 Agosto</c:v>
                </c:pt>
                <c:pt idx="12">
                  <c:v>2023 Septiembre</c:v>
                </c:pt>
              </c:strCache>
            </c:strRef>
          </c:cat>
          <c:val>
            <c:numRef>
              <c:f>Dat_01!$C$414:$O$414</c:f>
              <c:numCache>
                <c:formatCode>#,##0.00</c:formatCode>
                <c:ptCount val="13"/>
                <c:pt idx="0">
                  <c:v>140.30466800319999</c:v>
                </c:pt>
                <c:pt idx="1">
                  <c:v>138.64936758089999</c:v>
                </c:pt>
                <c:pt idx="2">
                  <c:v>128.36727925580001</c:v>
                </c:pt>
                <c:pt idx="3">
                  <c:v>97.877178291199996</c:v>
                </c:pt>
                <c:pt idx="4">
                  <c:v>83.332852025500003</c:v>
                </c:pt>
                <c:pt idx="5">
                  <c:v>140.15181252560001</c:v>
                </c:pt>
                <c:pt idx="6">
                  <c:v>86.798486252199993</c:v>
                </c:pt>
                <c:pt idx="7">
                  <c:v>89.324436662500005</c:v>
                </c:pt>
                <c:pt idx="8">
                  <c:v>89.9952372682</c:v>
                </c:pt>
                <c:pt idx="9">
                  <c:v>112.0051348162</c:v>
                </c:pt>
                <c:pt idx="10">
                  <c:v>111.7470922129</c:v>
                </c:pt>
                <c:pt idx="11">
                  <c:v>115.351411164</c:v>
                </c:pt>
                <c:pt idx="12">
                  <c:v>115.7818378377</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Dat_01!$B$191:$N$191</c:f>
              <c:numCache>
                <c:formatCode>#,##0;\(#,##0\)</c:formatCode>
                <c:ptCount val="13"/>
                <c:pt idx="0">
                  <c:v>234.98352499999999</c:v>
                </c:pt>
                <c:pt idx="1">
                  <c:v>218.68865</c:v>
                </c:pt>
                <c:pt idx="2">
                  <c:v>176.11584999999999</c:v>
                </c:pt>
                <c:pt idx="3">
                  <c:v>183.60487499999999</c:v>
                </c:pt>
                <c:pt idx="4">
                  <c:v>165.83975000000001</c:v>
                </c:pt>
                <c:pt idx="5">
                  <c:v>184.155</c:v>
                </c:pt>
                <c:pt idx="6">
                  <c:v>182.0497</c:v>
                </c:pt>
                <c:pt idx="7">
                  <c:v>93.895724999999999</c:v>
                </c:pt>
                <c:pt idx="8">
                  <c:v>120.06345</c:v>
                </c:pt>
                <c:pt idx="9">
                  <c:v>197.6866</c:v>
                </c:pt>
                <c:pt idx="10">
                  <c:v>191.74680000000001</c:v>
                </c:pt>
                <c:pt idx="11">
                  <c:v>148.50980000000001</c:v>
                </c:pt>
                <c:pt idx="12">
                  <c:v>162.49619999999999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75.266723696900002</c:v>
                </c:pt>
                <c:pt idx="1">
                  <c:v>90.5693916054</c:v>
                </c:pt>
                <c:pt idx="2">
                  <c:v>82.8762789508</c:v>
                </c:pt>
                <c:pt idx="3">
                  <c:v>42.527694256499998</c:v>
                </c:pt>
                <c:pt idx="4">
                  <c:v>39.726481476799997</c:v>
                </c:pt>
                <c:pt idx="5">
                  <c:v>99.2996122383</c:v>
                </c:pt>
                <c:pt idx="6">
                  <c:v>56.5960249289</c:v>
                </c:pt>
                <c:pt idx="7">
                  <c:v>44.337853981099997</c:v>
                </c:pt>
                <c:pt idx="8">
                  <c:v>46.024680650100002</c:v>
                </c:pt>
                <c:pt idx="9">
                  <c:v>65.082740136400005</c:v>
                </c:pt>
                <c:pt idx="10">
                  <c:v>65.059494391800001</c:v>
                </c:pt>
                <c:pt idx="11">
                  <c:v>69.759672764000001</c:v>
                </c:pt>
                <c:pt idx="12">
                  <c:v>70.620135029300002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Dat_01!$C$217:$O$217</c:f>
              <c:numCache>
                <c:formatCode>#,##0.0</c:formatCode>
                <c:ptCount val="13"/>
                <c:pt idx="0">
                  <c:v>4138.5</c:v>
                </c:pt>
                <c:pt idx="1">
                  <c:v>766.42499999999995</c:v>
                </c:pt>
                <c:pt idx="2">
                  <c:v>882.24900000000002</c:v>
                </c:pt>
                <c:pt idx="3">
                  <c:v>1625.5329999999999</c:v>
                </c:pt>
                <c:pt idx="4">
                  <c:v>624.15</c:v>
                </c:pt>
                <c:pt idx="5">
                  <c:v>573.29999999999995</c:v>
                </c:pt>
                <c:pt idx="6">
                  <c:v>501.25</c:v>
                </c:pt>
                <c:pt idx="7">
                  <c:v>170</c:v>
                </c:pt>
                <c:pt idx="8">
                  <c:v>320.375</c:v>
                </c:pt>
                <c:pt idx="9">
                  <c:v>92.075000000000003</c:v>
                </c:pt>
                <c:pt idx="10">
                  <c:v>322.92500000000001</c:v>
                </c:pt>
                <c:pt idx="11">
                  <c:v>791.02499999999998</c:v>
                </c:pt>
                <c:pt idx="12">
                  <c:v>1345.508</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Dat_01!$C$218:$O$218</c:f>
              <c:numCache>
                <c:formatCode>#,##0.0</c:formatCode>
                <c:ptCount val="13"/>
                <c:pt idx="0">
                  <c:v>84055.788</c:v>
                </c:pt>
                <c:pt idx="1">
                  <c:v>22723.1</c:v>
                </c:pt>
                <c:pt idx="2">
                  <c:v>33437.298999999999</c:v>
                </c:pt>
                <c:pt idx="3">
                  <c:v>18353.308000000001</c:v>
                </c:pt>
                <c:pt idx="4">
                  <c:v>20714.774000000001</c:v>
                </c:pt>
                <c:pt idx="5">
                  <c:v>35710.625</c:v>
                </c:pt>
                <c:pt idx="6">
                  <c:v>32124.392</c:v>
                </c:pt>
                <c:pt idx="7">
                  <c:v>20766.184000000001</c:v>
                </c:pt>
                <c:pt idx="8">
                  <c:v>21993.7</c:v>
                </c:pt>
                <c:pt idx="9">
                  <c:v>31710.184000000001</c:v>
                </c:pt>
                <c:pt idx="10">
                  <c:v>29487.87</c:v>
                </c:pt>
                <c:pt idx="11">
                  <c:v>23383.803</c:v>
                </c:pt>
                <c:pt idx="12">
                  <c:v>50563.017999999996</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Dat_01!$C$219:$O$219</c:f>
              <c:numCache>
                <c:formatCode>#,##0.0</c:formatCode>
                <c:ptCount val="13"/>
                <c:pt idx="0">
                  <c:v>26</c:v>
                </c:pt>
                <c:pt idx="1">
                  <c:v>23.25</c:v>
                </c:pt>
                <c:pt idx="2">
                  <c:v>73.349999999999994</c:v>
                </c:pt>
                <c:pt idx="3">
                  <c:v>50.674999999999997</c:v>
                </c:pt>
                <c:pt idx="4">
                  <c:v>137.81700000000001</c:v>
                </c:pt>
                <c:pt idx="5">
                  <c:v>48.25</c:v>
                </c:pt>
                <c:pt idx="6">
                  <c:v>164.517</c:v>
                </c:pt>
                <c:pt idx="7">
                  <c:v>571.72500000000002</c:v>
                </c:pt>
                <c:pt idx="8">
                  <c:v>252.92500000000001</c:v>
                </c:pt>
                <c:pt idx="9">
                  <c:v>28.016999999999999</c:v>
                </c:pt>
                <c:pt idx="10">
                  <c:v>56.5</c:v>
                </c:pt>
                <c:pt idx="11">
                  <c:v>61.5</c:v>
                </c:pt>
                <c:pt idx="12">
                  <c:v>49</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Dat_01!$C$220:$O$220</c:f>
              <c:numCache>
                <c:formatCode>#,##0.0</c:formatCode>
                <c:ptCount val="13"/>
                <c:pt idx="0">
                  <c:v>53462.35</c:v>
                </c:pt>
                <c:pt idx="1">
                  <c:v>38873.508000000002</c:v>
                </c:pt>
                <c:pt idx="2">
                  <c:v>57054.7</c:v>
                </c:pt>
                <c:pt idx="3">
                  <c:v>44452.158000000003</c:v>
                </c:pt>
                <c:pt idx="4">
                  <c:v>66005.482000000004</c:v>
                </c:pt>
                <c:pt idx="5">
                  <c:v>49890.275000000001</c:v>
                </c:pt>
                <c:pt idx="6">
                  <c:v>88685.498000000007</c:v>
                </c:pt>
                <c:pt idx="7">
                  <c:v>76937.455000000002</c:v>
                </c:pt>
                <c:pt idx="8">
                  <c:v>54297.65</c:v>
                </c:pt>
                <c:pt idx="9">
                  <c:v>39954.500999999997</c:v>
                </c:pt>
                <c:pt idx="10">
                  <c:v>36148.449999999997</c:v>
                </c:pt>
                <c:pt idx="11">
                  <c:v>41567.114999999998</c:v>
                </c:pt>
                <c:pt idx="12">
                  <c:v>74303.001000000004</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Dat_01!$C$222:$O$222</c:f>
              <c:numCache>
                <c:formatCode>#,##0.0</c:formatCode>
                <c:ptCount val="13"/>
                <c:pt idx="0">
                  <c:v>21071.171999999999</c:v>
                </c:pt>
                <c:pt idx="1">
                  <c:v>13638.3</c:v>
                </c:pt>
                <c:pt idx="2">
                  <c:v>20324.707999999999</c:v>
                </c:pt>
                <c:pt idx="3">
                  <c:v>31169.809000000001</c:v>
                </c:pt>
                <c:pt idx="4">
                  <c:v>48358.133000000002</c:v>
                </c:pt>
                <c:pt idx="5">
                  <c:v>24355.325000000001</c:v>
                </c:pt>
                <c:pt idx="6">
                  <c:v>98417.967999999993</c:v>
                </c:pt>
                <c:pt idx="7">
                  <c:v>86761.120999999999</c:v>
                </c:pt>
                <c:pt idx="8">
                  <c:v>85403.657999999996</c:v>
                </c:pt>
                <c:pt idx="9">
                  <c:v>15416.333000000001</c:v>
                </c:pt>
                <c:pt idx="10">
                  <c:v>26555.431</c:v>
                </c:pt>
                <c:pt idx="11">
                  <c:v>35359.803999999996</c:v>
                </c:pt>
                <c:pt idx="12">
                  <c:v>34150.357000000004</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Dat_01!$C$224:$O$224</c:f>
              <c:numCache>
                <c:formatCode>#,##0.0</c:formatCode>
                <c:ptCount val="13"/>
                <c:pt idx="0">
                  <c:v>6988.7529999999997</c:v>
                </c:pt>
                <c:pt idx="1">
                  <c:v>3548.9749999999999</c:v>
                </c:pt>
                <c:pt idx="2">
                  <c:v>13802.882</c:v>
                </c:pt>
                <c:pt idx="3">
                  <c:v>17718.258999999998</c:v>
                </c:pt>
                <c:pt idx="4">
                  <c:v>29783.674999999999</c:v>
                </c:pt>
                <c:pt idx="5">
                  <c:v>25831</c:v>
                </c:pt>
                <c:pt idx="6">
                  <c:v>18612.511999999999</c:v>
                </c:pt>
                <c:pt idx="7">
                  <c:v>10133.333000000001</c:v>
                </c:pt>
                <c:pt idx="8">
                  <c:v>12766.316999999999</c:v>
                </c:pt>
                <c:pt idx="9">
                  <c:v>10344.86</c:v>
                </c:pt>
                <c:pt idx="10">
                  <c:v>9322.9470000000001</c:v>
                </c:pt>
                <c:pt idx="11">
                  <c:v>6042.4390000000003</c:v>
                </c:pt>
                <c:pt idx="12">
                  <c:v>24005.525000000001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Dat_01!$C$227:$O$227</c:f>
              <c:numCache>
                <c:formatCode>#,##0.0</c:formatCode>
                <c:ptCount val="13"/>
                <c:pt idx="0">
                  <c:v>0</c:v>
                </c:pt>
                <c:pt idx="1">
                  <c:v>0</c:v>
                </c:pt>
                <c:pt idx="2">
                  <c:v>172</c:v>
                </c:pt>
                <c:pt idx="3">
                  <c:v>225.52500000000001</c:v>
                </c:pt>
                <c:pt idx="4">
                  <c:v>0</c:v>
                </c:pt>
                <c:pt idx="5">
                  <c:v>0</c:v>
                </c:pt>
                <c:pt idx="6">
                  <c:v>448.75</c:v>
                </c:pt>
                <c:pt idx="7">
                  <c:v>40.924999999999997</c:v>
                </c:pt>
                <c:pt idx="8">
                  <c:v>1357.65</c:v>
                </c:pt>
                <c:pt idx="9">
                  <c:v>11.25</c:v>
                </c:pt>
                <c:pt idx="10">
                  <c:v>0</c:v>
                </c:pt>
                <c:pt idx="11">
                  <c:v>0</c:v>
                </c:pt>
                <c:pt idx="12">
                  <c:v>791.75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Dat_01!$C$228:$O$228</c:f>
              <c:numCache>
                <c:formatCode>#,##0.0</c:formatCode>
                <c:ptCount val="13"/>
                <c:pt idx="0">
                  <c:v>0.85</c:v>
                </c:pt>
                <c:pt idx="1">
                  <c:v>0</c:v>
                </c:pt>
                <c:pt idx="2">
                  <c:v>5.375</c:v>
                </c:pt>
                <c:pt idx="3">
                  <c:v>7.75</c:v>
                </c:pt>
                <c:pt idx="4">
                  <c:v>1</c:v>
                </c:pt>
                <c:pt idx="5">
                  <c:v>0</c:v>
                </c:pt>
                <c:pt idx="6">
                  <c:v>16.574999999999999</c:v>
                </c:pt>
                <c:pt idx="7">
                  <c:v>0</c:v>
                </c:pt>
                <c:pt idx="8">
                  <c:v>14.475</c:v>
                </c:pt>
                <c:pt idx="9">
                  <c:v>38.75</c:v>
                </c:pt>
                <c:pt idx="10">
                  <c:v>27.5</c:v>
                </c:pt>
                <c:pt idx="11">
                  <c:v>145.07499999999999</c:v>
                </c:pt>
                <c:pt idx="12">
                  <c:v>160.27500000000001</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Dat_01!$C$230:$O$230</c:f>
              <c:numCache>
                <c:formatCode>#,##0.0</c:formatCode>
                <c:ptCount val="13"/>
                <c:pt idx="0">
                  <c:v>7069.1989999999996</c:v>
                </c:pt>
                <c:pt idx="1">
                  <c:v>2254.0749999999998</c:v>
                </c:pt>
                <c:pt idx="2">
                  <c:v>4519.2669999999998</c:v>
                </c:pt>
                <c:pt idx="3">
                  <c:v>2457.35</c:v>
                </c:pt>
                <c:pt idx="4">
                  <c:v>1942.8579999999999</c:v>
                </c:pt>
                <c:pt idx="5">
                  <c:v>3780.125</c:v>
                </c:pt>
                <c:pt idx="6">
                  <c:v>11880.15</c:v>
                </c:pt>
                <c:pt idx="7">
                  <c:v>14988.025</c:v>
                </c:pt>
                <c:pt idx="8">
                  <c:v>23573.032999999999</c:v>
                </c:pt>
                <c:pt idx="9">
                  <c:v>16255.674999999999</c:v>
                </c:pt>
                <c:pt idx="10">
                  <c:v>9428.357</c:v>
                </c:pt>
                <c:pt idx="11">
                  <c:v>7086.59</c:v>
                </c:pt>
                <c:pt idx="12">
                  <c:v>11766.108</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Dat_01!$C$231:$O$231</c:f>
              <c:numCache>
                <c:formatCode>#,##0.0</c:formatCode>
                <c:ptCount val="13"/>
                <c:pt idx="0">
                  <c:v>219.625</c:v>
                </c:pt>
                <c:pt idx="1">
                  <c:v>15.75</c:v>
                </c:pt>
                <c:pt idx="2">
                  <c:v>0</c:v>
                </c:pt>
                <c:pt idx="3">
                  <c:v>4.2249999999999996</c:v>
                </c:pt>
                <c:pt idx="4">
                  <c:v>28.625</c:v>
                </c:pt>
                <c:pt idx="5">
                  <c:v>69.224999999999994</c:v>
                </c:pt>
                <c:pt idx="6">
                  <c:v>572.625</c:v>
                </c:pt>
                <c:pt idx="7">
                  <c:v>2004.65</c:v>
                </c:pt>
                <c:pt idx="8">
                  <c:v>453.85</c:v>
                </c:pt>
                <c:pt idx="9">
                  <c:v>192.1</c:v>
                </c:pt>
                <c:pt idx="10">
                  <c:v>218.77500000000001</c:v>
                </c:pt>
                <c:pt idx="11">
                  <c:v>334.92500000000001</c:v>
                </c:pt>
                <c:pt idx="12">
                  <c:v>299.95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Dat_01!$C$232:$O$232</c:f>
              <c:numCache>
                <c:formatCode>#,##0.0</c:formatCode>
                <c:ptCount val="13"/>
                <c:pt idx="0">
                  <c:v>10948.251</c:v>
                </c:pt>
                <c:pt idx="1">
                  <c:v>10421.953</c:v>
                </c:pt>
                <c:pt idx="2">
                  <c:v>14514.075000000001</c:v>
                </c:pt>
                <c:pt idx="3">
                  <c:v>23848.400000000001</c:v>
                </c:pt>
                <c:pt idx="4">
                  <c:v>21792.308000000001</c:v>
                </c:pt>
                <c:pt idx="5">
                  <c:v>12196.8</c:v>
                </c:pt>
                <c:pt idx="6">
                  <c:v>20112.843000000001</c:v>
                </c:pt>
                <c:pt idx="7">
                  <c:v>12082.525</c:v>
                </c:pt>
                <c:pt idx="8">
                  <c:v>11577.424999999999</c:v>
                </c:pt>
                <c:pt idx="9">
                  <c:v>14074.424999999999</c:v>
                </c:pt>
                <c:pt idx="10">
                  <c:v>4884.7749999999996</c:v>
                </c:pt>
                <c:pt idx="11">
                  <c:v>10897.775</c:v>
                </c:pt>
                <c:pt idx="12">
                  <c:v>19108.924999999999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52.745664346799998</c:v>
                </c:pt>
                <c:pt idx="1">
                  <c:v>67.867796556299993</c:v>
                </c:pt>
                <c:pt idx="2">
                  <c:v>63.754311870000002</c:v>
                </c:pt>
                <c:pt idx="3">
                  <c:v>37.166520726000002</c:v>
                </c:pt>
                <c:pt idx="4">
                  <c:v>34.267489543300002</c:v>
                </c:pt>
                <c:pt idx="5">
                  <c:v>78.681202935300007</c:v>
                </c:pt>
                <c:pt idx="6">
                  <c:v>16.409020056599999</c:v>
                </c:pt>
                <c:pt idx="7">
                  <c:v>5.7235154766000003</c:v>
                </c:pt>
                <c:pt idx="8">
                  <c:v>15.6039784763</c:v>
                </c:pt>
                <c:pt idx="9">
                  <c:v>46.277294217399998</c:v>
                </c:pt>
                <c:pt idx="10">
                  <c:v>37.594154153200002</c:v>
                </c:pt>
                <c:pt idx="11">
                  <c:v>25.633295555</c:v>
                </c:pt>
                <c:pt idx="12">
                  <c:v>51.570766712100003</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Dat_01!$C$199:$O$199</c:f>
              <c:numCache>
                <c:formatCode>#,##0.0</c:formatCode>
                <c:ptCount val="13"/>
                <c:pt idx="0">
                  <c:v>2432.4749999999999</c:v>
                </c:pt>
                <c:pt idx="1">
                  <c:v>1876.1</c:v>
                </c:pt>
                <c:pt idx="2">
                  <c:v>1396.0250000000001</c:v>
                </c:pt>
                <c:pt idx="3">
                  <c:v>1126.2080000000001</c:v>
                </c:pt>
                <c:pt idx="4">
                  <c:v>478.95</c:v>
                </c:pt>
                <c:pt idx="5">
                  <c:v>2850.9250000000002</c:v>
                </c:pt>
                <c:pt idx="6">
                  <c:v>1195.0250000000001</c:v>
                </c:pt>
                <c:pt idx="7">
                  <c:v>218.875</c:v>
                </c:pt>
                <c:pt idx="8">
                  <c:v>150.482</c:v>
                </c:pt>
                <c:pt idx="9">
                  <c:v>1968.9749999999999</c:v>
                </c:pt>
                <c:pt idx="10">
                  <c:v>1606.69</c:v>
                </c:pt>
                <c:pt idx="11">
                  <c:v>2991.569</c:v>
                </c:pt>
                <c:pt idx="12">
                  <c:v>1098.8820000000001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Dat_01!$C$200:$O$200</c:f>
              <c:numCache>
                <c:formatCode>#,##0.0</c:formatCode>
                <c:ptCount val="13"/>
                <c:pt idx="0">
                  <c:v>52018.85</c:v>
                </c:pt>
                <c:pt idx="1">
                  <c:v>110603.205</c:v>
                </c:pt>
                <c:pt idx="2">
                  <c:v>61724.955000000002</c:v>
                </c:pt>
                <c:pt idx="3">
                  <c:v>59335.684000000001</c:v>
                </c:pt>
                <c:pt idx="4">
                  <c:v>39560.875</c:v>
                </c:pt>
                <c:pt idx="5">
                  <c:v>76083.274999999994</c:v>
                </c:pt>
                <c:pt idx="6">
                  <c:v>52392.533000000003</c:v>
                </c:pt>
                <c:pt idx="7">
                  <c:v>57485.65</c:v>
                </c:pt>
                <c:pt idx="8">
                  <c:v>86315.464999999997</c:v>
                </c:pt>
                <c:pt idx="9">
                  <c:v>142738.351</c:v>
                </c:pt>
                <c:pt idx="10">
                  <c:v>149175.946</c:v>
                </c:pt>
                <c:pt idx="11">
                  <c:v>115032.711</c:v>
                </c:pt>
                <c:pt idx="12">
                  <c:v>67978.899999999994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Dat_01!$C$201:$O$201</c:f>
              <c:numCache>
                <c:formatCode>#,##0.0</c:formatCode>
                <c:ptCount val="13"/>
                <c:pt idx="0">
                  <c:v>0.5</c:v>
                </c:pt>
                <c:pt idx="1">
                  <c:v>45</c:v>
                </c:pt>
                <c:pt idx="2">
                  <c:v>198.00800000000001</c:v>
                </c:pt>
                <c:pt idx="3">
                  <c:v>104.85</c:v>
                </c:pt>
                <c:pt idx="4">
                  <c:v>26.867000000000001</c:v>
                </c:pt>
                <c:pt idx="5">
                  <c:v>1.55</c:v>
                </c:pt>
                <c:pt idx="6">
                  <c:v>3.3</c:v>
                </c:pt>
                <c:pt idx="7">
                  <c:v>46.225000000000001</c:v>
                </c:pt>
                <c:pt idx="8">
                  <c:v>30</c:v>
                </c:pt>
                <c:pt idx="9">
                  <c:v>35.225000000000001</c:v>
                </c:pt>
                <c:pt idx="10">
                  <c:v>137.97499999999999</c:v>
                </c:pt>
                <c:pt idx="11">
                  <c:v>108.25</c:v>
                </c:pt>
                <c:pt idx="12">
                  <c:v>0.25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Dat_01!$C$202:$O$202</c:f>
              <c:numCache>
                <c:formatCode>#,##0.0</c:formatCode>
                <c:ptCount val="13"/>
                <c:pt idx="0">
                  <c:v>16627</c:v>
                </c:pt>
                <c:pt idx="1">
                  <c:v>25745.4</c:v>
                </c:pt>
                <c:pt idx="2">
                  <c:v>21869.974999999999</c:v>
                </c:pt>
                <c:pt idx="3">
                  <c:v>37837.800000000003</c:v>
                </c:pt>
                <c:pt idx="4">
                  <c:v>43909.241999999998</c:v>
                </c:pt>
                <c:pt idx="5">
                  <c:v>6739.65</c:v>
                </c:pt>
                <c:pt idx="6">
                  <c:v>16393.157999999999</c:v>
                </c:pt>
                <c:pt idx="7">
                  <c:v>15258.174999999999</c:v>
                </c:pt>
                <c:pt idx="8">
                  <c:v>13099.874</c:v>
                </c:pt>
                <c:pt idx="9">
                  <c:v>27797.375</c:v>
                </c:pt>
                <c:pt idx="10">
                  <c:v>35048.925000000003</c:v>
                </c:pt>
                <c:pt idx="11">
                  <c:v>37912.341</c:v>
                </c:pt>
                <c:pt idx="12">
                  <c:v>23304.2</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Dat_01!$C$204:$O$204</c:f>
              <c:numCache>
                <c:formatCode>#,##0.0</c:formatCode>
                <c:ptCount val="13"/>
                <c:pt idx="0">
                  <c:v>8549.8250000000007</c:v>
                </c:pt>
                <c:pt idx="1">
                  <c:v>17659.375</c:v>
                </c:pt>
                <c:pt idx="2">
                  <c:v>11579.495000000001</c:v>
                </c:pt>
                <c:pt idx="3">
                  <c:v>20596.98</c:v>
                </c:pt>
                <c:pt idx="4">
                  <c:v>28275.092000000001</c:v>
                </c:pt>
                <c:pt idx="5">
                  <c:v>9661.1749999999993</c:v>
                </c:pt>
                <c:pt idx="6">
                  <c:v>13789.6</c:v>
                </c:pt>
                <c:pt idx="7">
                  <c:v>18096.25</c:v>
                </c:pt>
                <c:pt idx="8">
                  <c:v>12607.441000000001</c:v>
                </c:pt>
                <c:pt idx="9">
                  <c:v>14167.174999999999</c:v>
                </c:pt>
                <c:pt idx="10">
                  <c:v>16290.2</c:v>
                </c:pt>
                <c:pt idx="11">
                  <c:v>14171.547</c:v>
                </c:pt>
                <c:pt idx="12">
                  <c:v>10673.95</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Dat_01!$C$206:$O$206</c:f>
              <c:numCache>
                <c:formatCode>#,##0.0</c:formatCode>
                <c:ptCount val="13"/>
                <c:pt idx="0">
                  <c:v>9810.2999999999993</c:v>
                </c:pt>
                <c:pt idx="1">
                  <c:v>17006.05</c:v>
                </c:pt>
                <c:pt idx="2">
                  <c:v>12449.174999999999</c:v>
                </c:pt>
                <c:pt idx="3">
                  <c:v>45465.167999999998</c:v>
                </c:pt>
                <c:pt idx="4">
                  <c:v>20601.292000000001</c:v>
                </c:pt>
                <c:pt idx="5">
                  <c:v>19240.099999999999</c:v>
                </c:pt>
                <c:pt idx="6">
                  <c:v>16980.517</c:v>
                </c:pt>
                <c:pt idx="7">
                  <c:v>24086.65</c:v>
                </c:pt>
                <c:pt idx="8">
                  <c:v>17784.925999999999</c:v>
                </c:pt>
                <c:pt idx="9">
                  <c:v>51399.925000000003</c:v>
                </c:pt>
                <c:pt idx="10">
                  <c:v>39637.497000000003</c:v>
                </c:pt>
                <c:pt idx="11">
                  <c:v>50649.252</c:v>
                </c:pt>
                <c:pt idx="12">
                  <c:v>16895.894</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Dat_01!$C$209:$O$209</c:f>
              <c:numCache>
                <c:formatCode>#,##0.0</c:formatCode>
                <c:ptCount val="13"/>
                <c:pt idx="0">
                  <c:v>0</c:v>
                </c:pt>
                <c:pt idx="1">
                  <c:v>12.824999999999999</c:v>
                </c:pt>
                <c:pt idx="2">
                  <c:v>266.72500000000002</c:v>
                </c:pt>
                <c:pt idx="3">
                  <c:v>544.29999999999995</c:v>
                </c:pt>
                <c:pt idx="4">
                  <c:v>143.6</c:v>
                </c:pt>
                <c:pt idx="5">
                  <c:v>0</c:v>
                </c:pt>
                <c:pt idx="6">
                  <c:v>40.625</c:v>
                </c:pt>
                <c:pt idx="7">
                  <c:v>63.45</c:v>
                </c:pt>
                <c:pt idx="8">
                  <c:v>256.32499999999999</c:v>
                </c:pt>
                <c:pt idx="9">
                  <c:v>228.125</c:v>
                </c:pt>
                <c:pt idx="10">
                  <c:v>0</c:v>
                </c:pt>
                <c:pt idx="11">
                  <c:v>261.17500000000001</c:v>
                </c:pt>
                <c:pt idx="12">
                  <c:v>188.6</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Dat_01!$C$210:$O$210</c:f>
              <c:numCache>
                <c:formatCode>#,##0.0</c:formatCode>
                <c:ptCount val="13"/>
                <c:pt idx="0">
                  <c:v>23</c:v>
                </c:pt>
                <c:pt idx="1">
                  <c:v>16.600000000000001</c:v>
                </c:pt>
                <c:pt idx="2">
                  <c:v>0</c:v>
                </c:pt>
                <c:pt idx="3">
                  <c:v>0</c:v>
                </c:pt>
                <c:pt idx="4">
                  <c:v>0</c:v>
                </c:pt>
                <c:pt idx="5">
                  <c:v>0</c:v>
                </c:pt>
                <c:pt idx="6">
                  <c:v>4.5</c:v>
                </c:pt>
                <c:pt idx="7">
                  <c:v>0</c:v>
                </c:pt>
                <c:pt idx="8">
                  <c:v>2</c:v>
                </c:pt>
                <c:pt idx="9">
                  <c:v>0</c:v>
                </c:pt>
                <c:pt idx="10">
                  <c:v>5</c:v>
                </c:pt>
                <c:pt idx="11">
                  <c:v>69.900000000000006</c:v>
                </c:pt>
                <c:pt idx="12">
                  <c:v>32.700000000000003</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Dat_01!$C$212:$O$212</c:f>
              <c:numCache>
                <c:formatCode>#,##0.0</c:formatCode>
                <c:ptCount val="13"/>
                <c:pt idx="0">
                  <c:v>777.17499999999995</c:v>
                </c:pt>
                <c:pt idx="1">
                  <c:v>1409.7750000000001</c:v>
                </c:pt>
                <c:pt idx="2">
                  <c:v>996.22500000000002</c:v>
                </c:pt>
                <c:pt idx="3">
                  <c:v>1011.875</c:v>
                </c:pt>
                <c:pt idx="4">
                  <c:v>2603.2420000000002</c:v>
                </c:pt>
                <c:pt idx="5">
                  <c:v>962.67499999999995</c:v>
                </c:pt>
                <c:pt idx="6">
                  <c:v>911.6</c:v>
                </c:pt>
                <c:pt idx="7">
                  <c:v>3316.0749999999998</c:v>
                </c:pt>
                <c:pt idx="8">
                  <c:v>2256.9630000000002</c:v>
                </c:pt>
                <c:pt idx="9">
                  <c:v>5290.65</c:v>
                </c:pt>
                <c:pt idx="10">
                  <c:v>4774.95</c:v>
                </c:pt>
                <c:pt idx="11">
                  <c:v>4696.2</c:v>
                </c:pt>
                <c:pt idx="12">
                  <c:v>2616.3249999999998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Dat_01!$C$213:$O$213</c:f>
              <c:numCache>
                <c:formatCode>#,##0.0</c:formatCode>
                <c:ptCount val="13"/>
                <c:pt idx="0">
                  <c:v>6.75</c:v>
                </c:pt>
                <c:pt idx="1">
                  <c:v>15.5</c:v>
                </c:pt>
                <c:pt idx="2">
                  <c:v>0</c:v>
                </c:pt>
                <c:pt idx="3">
                  <c:v>1.5</c:v>
                </c:pt>
                <c:pt idx="4">
                  <c:v>1.5</c:v>
                </c:pt>
                <c:pt idx="5">
                  <c:v>47.25</c:v>
                </c:pt>
                <c:pt idx="6">
                  <c:v>43.15</c:v>
                </c:pt>
                <c:pt idx="7">
                  <c:v>0</c:v>
                </c:pt>
                <c:pt idx="8">
                  <c:v>1.5</c:v>
                </c:pt>
                <c:pt idx="9">
                  <c:v>319.5</c:v>
                </c:pt>
                <c:pt idx="10">
                  <c:v>398.125</c:v>
                </c:pt>
                <c:pt idx="11">
                  <c:v>414.625</c:v>
                </c:pt>
                <c:pt idx="12">
                  <c:v>77.25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Dat_01!$C$214:$O$214</c:f>
              <c:numCache>
                <c:formatCode>#,##0.0</c:formatCode>
                <c:ptCount val="13"/>
                <c:pt idx="0">
                  <c:v>19642.325000000001</c:v>
                </c:pt>
                <c:pt idx="1">
                  <c:v>40055.836000000003</c:v>
                </c:pt>
                <c:pt idx="2">
                  <c:v>34713.224000000002</c:v>
                </c:pt>
                <c:pt idx="3">
                  <c:v>35471.985999999997</c:v>
                </c:pt>
                <c:pt idx="4">
                  <c:v>34937.332999999999</c:v>
                </c:pt>
                <c:pt idx="5">
                  <c:v>16781.025000000001</c:v>
                </c:pt>
                <c:pt idx="6">
                  <c:v>14940.475</c:v>
                </c:pt>
                <c:pt idx="7">
                  <c:v>23819.559000000001</c:v>
                </c:pt>
                <c:pt idx="8">
                  <c:v>24199.004000000001</c:v>
                </c:pt>
                <c:pt idx="9">
                  <c:v>35835.25</c:v>
                </c:pt>
                <c:pt idx="10">
                  <c:v>50276.3</c:v>
                </c:pt>
                <c:pt idx="11">
                  <c:v>38918.209000000003</c:v>
                </c:pt>
                <c:pt idx="12">
                  <c:v>25361.951000000001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Dat_01!$C$416:$O$416</c:f>
              <c:numCache>
                <c:formatCode>#,##0.00</c:formatCode>
                <c:ptCount val="13"/>
                <c:pt idx="0">
                  <c:v>172.8239896254</c:v>
                </c:pt>
                <c:pt idx="1">
                  <c:v>179.2085387262</c:v>
                </c:pt>
                <c:pt idx="2">
                  <c:v>146.54289268510001</c:v>
                </c:pt>
                <c:pt idx="3">
                  <c:v>145.6099592672</c:v>
                </c:pt>
                <c:pt idx="4">
                  <c:v>84.625320058300005</c:v>
                </c:pt>
                <c:pt idx="5">
                  <c:v>150.08736883169999</c:v>
                </c:pt>
                <c:pt idx="6">
                  <c:v>123.99003672080001</c:v>
                </c:pt>
                <c:pt idx="7">
                  <c:v>111.1141584783</c:v>
                </c:pt>
                <c:pt idx="8">
                  <c:v>114.2808641133</c:v>
                </c:pt>
                <c:pt idx="9">
                  <c:v>125.53714159810001</c:v>
                </c:pt>
                <c:pt idx="10">
                  <c:v>126.1184174301</c:v>
                </c:pt>
                <c:pt idx="11">
                  <c:v>131.2121146906</c:v>
                </c:pt>
                <c:pt idx="12">
                  <c:v>126.5209824362</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4777.8999999999996</c:v>
                </c:pt>
                <c:pt idx="1">
                  <c:v>2339.9499999999998</c:v>
                </c:pt>
                <c:pt idx="2">
                  <c:v>804</c:v>
                </c:pt>
                <c:pt idx="3">
                  <c:v>1954</c:v>
                </c:pt>
                <c:pt idx="4">
                  <c:v>1013</c:v>
                </c:pt>
                <c:pt idx="5">
                  <c:v>883</c:v>
                </c:pt>
                <c:pt idx="6">
                  <c:v>906</c:v>
                </c:pt>
                <c:pt idx="7">
                  <c:v>552</c:v>
                </c:pt>
                <c:pt idx="8">
                  <c:v>807.25</c:v>
                </c:pt>
                <c:pt idx="9">
                  <c:v>106</c:v>
                </c:pt>
                <c:pt idx="10">
                  <c:v>579.20000000000005</c:v>
                </c:pt>
                <c:pt idx="11">
                  <c:v>1158</c:v>
                </c:pt>
                <c:pt idx="12">
                  <c:v>1320</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72027.574999999997</c:v>
                </c:pt>
                <c:pt idx="1">
                  <c:v>31212.45</c:v>
                </c:pt>
                <c:pt idx="2">
                  <c:v>22741.325000000001</c:v>
                </c:pt>
                <c:pt idx="3">
                  <c:v>18792.900000000001</c:v>
                </c:pt>
                <c:pt idx="4">
                  <c:v>15498.975</c:v>
                </c:pt>
                <c:pt idx="5">
                  <c:v>17650.875</c:v>
                </c:pt>
                <c:pt idx="6">
                  <c:v>19278.900000000001</c:v>
                </c:pt>
                <c:pt idx="7">
                  <c:v>22218.15</c:v>
                </c:pt>
                <c:pt idx="8">
                  <c:v>25335.65</c:v>
                </c:pt>
                <c:pt idx="9">
                  <c:v>17047.924999999999</c:v>
                </c:pt>
                <c:pt idx="10">
                  <c:v>20963.400000000001</c:v>
                </c:pt>
                <c:pt idx="11">
                  <c:v>24501.45</c:v>
                </c:pt>
                <c:pt idx="12">
                  <c:v>26201.875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369</c:v>
                </c:pt>
                <c:pt idx="1">
                  <c:v>309</c:v>
                </c:pt>
                <c:pt idx="2">
                  <c:v>259.55</c:v>
                </c:pt>
                <c:pt idx="3">
                  <c:v>569.42499999999995</c:v>
                </c:pt>
                <c:pt idx="4">
                  <c:v>284.05</c:v>
                </c:pt>
                <c:pt idx="5">
                  <c:v>181.5</c:v>
                </c:pt>
                <c:pt idx="6">
                  <c:v>1400.95</c:v>
                </c:pt>
                <c:pt idx="7">
                  <c:v>797.8</c:v>
                </c:pt>
                <c:pt idx="8">
                  <c:v>347.3</c:v>
                </c:pt>
                <c:pt idx="9">
                  <c:v>126.5</c:v>
                </c:pt>
                <c:pt idx="10">
                  <c:v>137.5</c:v>
                </c:pt>
                <c:pt idx="11">
                  <c:v>317.67500000000001</c:v>
                </c:pt>
                <c:pt idx="12">
                  <c:v>114.97499999999999</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96009.824999999997</c:v>
                </c:pt>
                <c:pt idx="1">
                  <c:v>63146.125</c:v>
                </c:pt>
                <c:pt idx="2">
                  <c:v>76959.399999999994</c:v>
                </c:pt>
                <c:pt idx="3">
                  <c:v>60395.65</c:v>
                </c:pt>
                <c:pt idx="4">
                  <c:v>67580.25</c:v>
                </c:pt>
                <c:pt idx="5">
                  <c:v>57086.474999999999</c:v>
                </c:pt>
                <c:pt idx="6">
                  <c:v>144482.17499999999</c:v>
                </c:pt>
                <c:pt idx="7">
                  <c:v>108258.5</c:v>
                </c:pt>
                <c:pt idx="8">
                  <c:v>108093.3</c:v>
                </c:pt>
                <c:pt idx="9">
                  <c:v>29117.95</c:v>
                </c:pt>
                <c:pt idx="10">
                  <c:v>30788.55</c:v>
                </c:pt>
                <c:pt idx="11">
                  <c:v>54673.8</c:v>
                </c:pt>
                <c:pt idx="12">
                  <c:v>52169.95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41297.175000000003</c:v>
                </c:pt>
                <c:pt idx="1">
                  <c:v>35992.6</c:v>
                </c:pt>
                <c:pt idx="2">
                  <c:v>36430.1</c:v>
                </c:pt>
                <c:pt idx="3">
                  <c:v>48803.7</c:v>
                </c:pt>
                <c:pt idx="4">
                  <c:v>60658.55</c:v>
                </c:pt>
                <c:pt idx="5">
                  <c:v>38624.324999999997</c:v>
                </c:pt>
                <c:pt idx="6">
                  <c:v>180813.55</c:v>
                </c:pt>
                <c:pt idx="7">
                  <c:v>142089.65</c:v>
                </c:pt>
                <c:pt idx="8">
                  <c:v>133344.02499999999</c:v>
                </c:pt>
                <c:pt idx="9">
                  <c:v>23568.5</c:v>
                </c:pt>
                <c:pt idx="10">
                  <c:v>34164.875</c:v>
                </c:pt>
                <c:pt idx="11">
                  <c:v>75655.3</c:v>
                </c:pt>
                <c:pt idx="12">
                  <c:v>62410.574999999997</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9161.7250000000004</c:v>
                </c:pt>
                <c:pt idx="1">
                  <c:v>9536.0750000000007</c:v>
                </c:pt>
                <c:pt idx="2">
                  <c:v>16893</c:v>
                </c:pt>
                <c:pt idx="3">
                  <c:v>22168.6</c:v>
                </c:pt>
                <c:pt idx="4">
                  <c:v>27501.4</c:v>
                </c:pt>
                <c:pt idx="5">
                  <c:v>35109.699999999997</c:v>
                </c:pt>
                <c:pt idx="6">
                  <c:v>26734.575000000001</c:v>
                </c:pt>
                <c:pt idx="7">
                  <c:v>16666.150000000001</c:v>
                </c:pt>
                <c:pt idx="8">
                  <c:v>24879.7</c:v>
                </c:pt>
                <c:pt idx="9">
                  <c:v>12502.85</c:v>
                </c:pt>
                <c:pt idx="10">
                  <c:v>11525.424999999999</c:v>
                </c:pt>
                <c:pt idx="11">
                  <c:v>7633.3</c:v>
                </c:pt>
                <c:pt idx="12">
                  <c:v>19581.95</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20</c:v>
                </c:pt>
                <c:pt idx="2">
                  <c:v>82</c:v>
                </c:pt>
                <c:pt idx="3">
                  <c:v>540.72500000000002</c:v>
                </c:pt>
                <c:pt idx="4">
                  <c:v>0</c:v>
                </c:pt>
                <c:pt idx="5">
                  <c:v>186</c:v>
                </c:pt>
                <c:pt idx="6">
                  <c:v>692.75</c:v>
                </c:pt>
                <c:pt idx="7">
                  <c:v>246.5</c:v>
                </c:pt>
                <c:pt idx="8">
                  <c:v>2223.5</c:v>
                </c:pt>
                <c:pt idx="9">
                  <c:v>1151.2750000000001</c:v>
                </c:pt>
                <c:pt idx="10">
                  <c:v>0</c:v>
                </c:pt>
                <c:pt idx="11">
                  <c:v>0</c:v>
                </c:pt>
                <c:pt idx="12">
                  <c:v>749.72500000000002</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0</c:v>
                </c:pt>
                <c:pt idx="3">
                  <c:v>0</c:v>
                </c:pt>
                <c:pt idx="4">
                  <c:v>0</c:v>
                </c:pt>
                <c:pt idx="5">
                  <c:v>16</c:v>
                </c:pt>
                <c:pt idx="6">
                  <c:v>22</c:v>
                </c:pt>
                <c:pt idx="7">
                  <c:v>0</c:v>
                </c:pt>
                <c:pt idx="8">
                  <c:v>0</c:v>
                </c:pt>
                <c:pt idx="9">
                  <c:v>77.25</c:v>
                </c:pt>
                <c:pt idx="10">
                  <c:v>54.75</c:v>
                </c:pt>
                <c:pt idx="11">
                  <c:v>222.25</c:v>
                </c:pt>
                <c:pt idx="12">
                  <c:v>79.5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8173.5</c:v>
                </c:pt>
                <c:pt idx="1">
                  <c:v>2519.6</c:v>
                </c:pt>
                <c:pt idx="2">
                  <c:v>2101.3249999999998</c:v>
                </c:pt>
                <c:pt idx="3">
                  <c:v>2191.9749999999999</c:v>
                </c:pt>
                <c:pt idx="4">
                  <c:v>2682.8249999999998</c:v>
                </c:pt>
                <c:pt idx="5">
                  <c:v>4912.9250000000002</c:v>
                </c:pt>
                <c:pt idx="6">
                  <c:v>11477.9</c:v>
                </c:pt>
                <c:pt idx="7">
                  <c:v>25852.05</c:v>
                </c:pt>
                <c:pt idx="8">
                  <c:v>24040.15</c:v>
                </c:pt>
                <c:pt idx="9">
                  <c:v>15574.875</c:v>
                </c:pt>
                <c:pt idx="10">
                  <c:v>12384.3</c:v>
                </c:pt>
                <c:pt idx="11">
                  <c:v>21301.724999999999</c:v>
                </c:pt>
                <c:pt idx="12">
                  <c:v>15213.95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11</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40164.949999999997</c:v>
                </c:pt>
                <c:pt idx="1">
                  <c:v>19037.974999999999</c:v>
                </c:pt>
                <c:pt idx="2">
                  <c:v>20947.55</c:v>
                </c:pt>
                <c:pt idx="3">
                  <c:v>32969.35</c:v>
                </c:pt>
                <c:pt idx="4">
                  <c:v>33526.625</c:v>
                </c:pt>
                <c:pt idx="5">
                  <c:v>31800.3</c:v>
                </c:pt>
                <c:pt idx="6">
                  <c:v>34001.625</c:v>
                </c:pt>
                <c:pt idx="7">
                  <c:v>26149.599999999999</c:v>
                </c:pt>
                <c:pt idx="8">
                  <c:v>18092.95</c:v>
                </c:pt>
                <c:pt idx="9">
                  <c:v>17276.575000000001</c:v>
                </c:pt>
                <c:pt idx="10">
                  <c:v>5908.5</c:v>
                </c:pt>
                <c:pt idx="11">
                  <c:v>15716.4</c:v>
                </c:pt>
                <c:pt idx="12">
                  <c:v>17984.525000000001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55.445883250999998</c:v>
                </c:pt>
                <c:pt idx="1">
                  <c:v>70.6538989461</c:v>
                </c:pt>
                <c:pt idx="2">
                  <c:v>73.423315210499993</c:v>
                </c:pt>
                <c:pt idx="3">
                  <c:v>33.954989745900001</c:v>
                </c:pt>
                <c:pt idx="4">
                  <c:v>35.151198765700002</c:v>
                </c:pt>
                <c:pt idx="5">
                  <c:v>87.954398650300007</c:v>
                </c:pt>
                <c:pt idx="6">
                  <c:v>23.4894162778</c:v>
                </c:pt>
                <c:pt idx="7">
                  <c:v>11.4916384497</c:v>
                </c:pt>
                <c:pt idx="8">
                  <c:v>20.970125781</c:v>
                </c:pt>
                <c:pt idx="9">
                  <c:v>44.753410009900001</c:v>
                </c:pt>
                <c:pt idx="10">
                  <c:v>34.492524096399997</c:v>
                </c:pt>
                <c:pt idx="11">
                  <c:v>18.189216001599998</c:v>
                </c:pt>
                <c:pt idx="12">
                  <c:v>58.8299594</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Dat_01!$C$262:$O$262</c:f>
              <c:numCache>
                <c:formatCode>#,##0.0</c:formatCode>
                <c:ptCount val="13"/>
                <c:pt idx="0">
                  <c:v>2236</c:v>
                </c:pt>
                <c:pt idx="1">
                  <c:v>4283</c:v>
                </c:pt>
                <c:pt idx="2">
                  <c:v>861.375</c:v>
                </c:pt>
                <c:pt idx="3">
                  <c:v>2372.9499999999998</c:v>
                </c:pt>
                <c:pt idx="4">
                  <c:v>1284.5</c:v>
                </c:pt>
                <c:pt idx="5">
                  <c:v>5209.75</c:v>
                </c:pt>
                <c:pt idx="6">
                  <c:v>1206.25</c:v>
                </c:pt>
                <c:pt idx="7">
                  <c:v>95</c:v>
                </c:pt>
                <c:pt idx="8">
                  <c:v>53</c:v>
                </c:pt>
                <c:pt idx="9">
                  <c:v>1199.5</c:v>
                </c:pt>
                <c:pt idx="10">
                  <c:v>468.8</c:v>
                </c:pt>
                <c:pt idx="11">
                  <c:v>2071.15</c:v>
                </c:pt>
                <c:pt idx="12">
                  <c:v>242.5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Dat_01!$C$263:$O$263</c:f>
              <c:numCache>
                <c:formatCode>#,##0.0</c:formatCode>
                <c:ptCount val="13"/>
                <c:pt idx="0">
                  <c:v>82926.675000000003</c:v>
                </c:pt>
                <c:pt idx="1">
                  <c:v>144842.47500000001</c:v>
                </c:pt>
                <c:pt idx="2">
                  <c:v>97623.7</c:v>
                </c:pt>
                <c:pt idx="3">
                  <c:v>155746.54999999999</c:v>
                </c:pt>
                <c:pt idx="4">
                  <c:v>71547.399999999994</c:v>
                </c:pt>
                <c:pt idx="5">
                  <c:v>162258.02499999999</c:v>
                </c:pt>
                <c:pt idx="6">
                  <c:v>95878.75</c:v>
                </c:pt>
                <c:pt idx="7">
                  <c:v>62173.25</c:v>
                </c:pt>
                <c:pt idx="8">
                  <c:v>93854.15</c:v>
                </c:pt>
                <c:pt idx="9">
                  <c:v>200824.35</c:v>
                </c:pt>
                <c:pt idx="10">
                  <c:v>174954.2</c:v>
                </c:pt>
                <c:pt idx="11">
                  <c:v>170328.85</c:v>
                </c:pt>
                <c:pt idx="12">
                  <c:v>105492.6</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Dat_01!$C$264:$O$264</c:f>
              <c:numCache>
                <c:formatCode>#,##0.0</c:formatCode>
                <c:ptCount val="13"/>
                <c:pt idx="0">
                  <c:v>23</c:v>
                </c:pt>
                <c:pt idx="1">
                  <c:v>127.925</c:v>
                </c:pt>
                <c:pt idx="2">
                  <c:v>419.15</c:v>
                </c:pt>
                <c:pt idx="3">
                  <c:v>697.65</c:v>
                </c:pt>
                <c:pt idx="4">
                  <c:v>0</c:v>
                </c:pt>
                <c:pt idx="5">
                  <c:v>4.5</c:v>
                </c:pt>
                <c:pt idx="6">
                  <c:v>28.524999999999999</c:v>
                </c:pt>
                <c:pt idx="7">
                  <c:v>34.424999999999997</c:v>
                </c:pt>
                <c:pt idx="8">
                  <c:v>22.625</c:v>
                </c:pt>
                <c:pt idx="9">
                  <c:v>314.8</c:v>
                </c:pt>
                <c:pt idx="10">
                  <c:v>648.625</c:v>
                </c:pt>
                <c:pt idx="11">
                  <c:v>646.32500000000005</c:v>
                </c:pt>
                <c:pt idx="12">
                  <c:v>2.25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Dat_01!$C$265:$O$265</c:f>
              <c:numCache>
                <c:formatCode>#,##0.0</c:formatCode>
                <c:ptCount val="13"/>
                <c:pt idx="0">
                  <c:v>10509.975</c:v>
                </c:pt>
                <c:pt idx="1">
                  <c:v>26134.799999999999</c:v>
                </c:pt>
                <c:pt idx="2">
                  <c:v>20591.575000000001</c:v>
                </c:pt>
                <c:pt idx="3">
                  <c:v>39478.974999999999</c:v>
                </c:pt>
                <c:pt idx="4">
                  <c:v>53164.775000000001</c:v>
                </c:pt>
                <c:pt idx="5">
                  <c:v>5734.4</c:v>
                </c:pt>
                <c:pt idx="6">
                  <c:v>8412.5249999999996</c:v>
                </c:pt>
                <c:pt idx="7">
                  <c:v>4159.95</c:v>
                </c:pt>
                <c:pt idx="8">
                  <c:v>3893.75</c:v>
                </c:pt>
                <c:pt idx="9">
                  <c:v>11178.5</c:v>
                </c:pt>
                <c:pt idx="10">
                  <c:v>14357.5</c:v>
                </c:pt>
                <c:pt idx="11">
                  <c:v>15367.25</c:v>
                </c:pt>
                <c:pt idx="12">
                  <c:v>7781</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Dat_01!$C$267:$O$267</c:f>
              <c:numCache>
                <c:formatCode>#,##0.0</c:formatCode>
                <c:ptCount val="13"/>
                <c:pt idx="0">
                  <c:v>7386.4250000000002</c:v>
                </c:pt>
                <c:pt idx="1">
                  <c:v>18277.325000000001</c:v>
                </c:pt>
                <c:pt idx="2">
                  <c:v>14440</c:v>
                </c:pt>
                <c:pt idx="3">
                  <c:v>22031.424999999999</c:v>
                </c:pt>
                <c:pt idx="4">
                  <c:v>45462.95</c:v>
                </c:pt>
                <c:pt idx="5">
                  <c:v>10650.1</c:v>
                </c:pt>
                <c:pt idx="6">
                  <c:v>10950.5</c:v>
                </c:pt>
                <c:pt idx="7">
                  <c:v>9407.7749999999996</c:v>
                </c:pt>
                <c:pt idx="8">
                  <c:v>7479.9750000000004</c:v>
                </c:pt>
                <c:pt idx="9">
                  <c:v>17206.650000000001</c:v>
                </c:pt>
                <c:pt idx="10">
                  <c:v>21420.05</c:v>
                </c:pt>
                <c:pt idx="11">
                  <c:v>18494.75</c:v>
                </c:pt>
                <c:pt idx="12">
                  <c:v>9960.15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Dat_01!$C$269:$O$269</c:f>
              <c:numCache>
                <c:formatCode>#,##0.0</c:formatCode>
                <c:ptCount val="13"/>
                <c:pt idx="0">
                  <c:v>8900.7250000000004</c:v>
                </c:pt>
                <c:pt idx="1">
                  <c:v>11041.025</c:v>
                </c:pt>
                <c:pt idx="2">
                  <c:v>9978.1749999999993</c:v>
                </c:pt>
                <c:pt idx="3">
                  <c:v>33537.4</c:v>
                </c:pt>
                <c:pt idx="4">
                  <c:v>28173.35</c:v>
                </c:pt>
                <c:pt idx="5">
                  <c:v>22890.65</c:v>
                </c:pt>
                <c:pt idx="6">
                  <c:v>11649.375</c:v>
                </c:pt>
                <c:pt idx="7">
                  <c:v>15400.95</c:v>
                </c:pt>
                <c:pt idx="8">
                  <c:v>9063.875</c:v>
                </c:pt>
                <c:pt idx="9">
                  <c:v>30102.474999999999</c:v>
                </c:pt>
                <c:pt idx="10">
                  <c:v>18314.474999999999</c:v>
                </c:pt>
                <c:pt idx="11">
                  <c:v>30120.575000000001</c:v>
                </c:pt>
                <c:pt idx="12">
                  <c:v>9303.9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Dat_01!$C$272:$O$272</c:f>
              <c:numCache>
                <c:formatCode>#,##0.0</c:formatCode>
                <c:ptCount val="13"/>
                <c:pt idx="0">
                  <c:v>0</c:v>
                </c:pt>
                <c:pt idx="1">
                  <c:v>22.5</c:v>
                </c:pt>
                <c:pt idx="2">
                  <c:v>722.07500000000005</c:v>
                </c:pt>
                <c:pt idx="3">
                  <c:v>2006.425</c:v>
                </c:pt>
                <c:pt idx="4">
                  <c:v>832.7</c:v>
                </c:pt>
                <c:pt idx="5">
                  <c:v>0</c:v>
                </c:pt>
                <c:pt idx="6">
                  <c:v>291.07499999999999</c:v>
                </c:pt>
                <c:pt idx="7">
                  <c:v>65.5</c:v>
                </c:pt>
                <c:pt idx="8">
                  <c:v>377.57499999999999</c:v>
                </c:pt>
                <c:pt idx="9">
                  <c:v>201.5</c:v>
                </c:pt>
                <c:pt idx="10">
                  <c:v>0</c:v>
                </c:pt>
                <c:pt idx="11">
                  <c:v>0</c:v>
                </c:pt>
                <c:pt idx="12">
                  <c:v>1998.5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1</c:v>
                </c:pt>
                <c:pt idx="3">
                  <c:v>0</c:v>
                </c:pt>
                <c:pt idx="4">
                  <c:v>0</c:v>
                </c:pt>
                <c:pt idx="5">
                  <c:v>26</c:v>
                </c:pt>
                <c:pt idx="6">
                  <c:v>0</c:v>
                </c:pt>
                <c:pt idx="7">
                  <c:v>0</c:v>
                </c:pt>
                <c:pt idx="8">
                  <c:v>0</c:v>
                </c:pt>
                <c:pt idx="9">
                  <c:v>0</c:v>
                </c:pt>
                <c:pt idx="10">
                  <c:v>0</c:v>
                </c:pt>
                <c:pt idx="11">
                  <c:v>0</c:v>
                </c:pt>
                <c:pt idx="12">
                  <c:v>2</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Dat_01!$C$275:$O$275</c:f>
              <c:numCache>
                <c:formatCode>#,##0.0</c:formatCode>
                <c:ptCount val="13"/>
                <c:pt idx="0">
                  <c:v>476.125</c:v>
                </c:pt>
                <c:pt idx="1">
                  <c:v>1111.175</c:v>
                </c:pt>
                <c:pt idx="2">
                  <c:v>1239.075</c:v>
                </c:pt>
                <c:pt idx="3">
                  <c:v>1334.875</c:v>
                </c:pt>
                <c:pt idx="4">
                  <c:v>3920.5250000000001</c:v>
                </c:pt>
                <c:pt idx="5">
                  <c:v>1697.2</c:v>
                </c:pt>
                <c:pt idx="6">
                  <c:v>997.65</c:v>
                </c:pt>
                <c:pt idx="7">
                  <c:v>1513.55</c:v>
                </c:pt>
                <c:pt idx="8">
                  <c:v>1716.575</c:v>
                </c:pt>
                <c:pt idx="9">
                  <c:v>6216.85</c:v>
                </c:pt>
                <c:pt idx="10">
                  <c:v>3759.55</c:v>
                </c:pt>
                <c:pt idx="11">
                  <c:v>4976.7749999999996</c:v>
                </c:pt>
                <c:pt idx="12">
                  <c:v>5033.1000000000004</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Dat_01!$C$277:$O$277</c:f>
              <c:numCache>
                <c:formatCode>#,##0.0</c:formatCode>
                <c:ptCount val="13"/>
                <c:pt idx="0">
                  <c:v>13369.775</c:v>
                </c:pt>
                <c:pt idx="1">
                  <c:v>32778.949999999997</c:v>
                </c:pt>
                <c:pt idx="2">
                  <c:v>28866.575000000001</c:v>
                </c:pt>
                <c:pt idx="3">
                  <c:v>38128.574999999997</c:v>
                </c:pt>
                <c:pt idx="4">
                  <c:v>37262.824999999997</c:v>
                </c:pt>
                <c:pt idx="5">
                  <c:v>14370.575000000001</c:v>
                </c:pt>
                <c:pt idx="6">
                  <c:v>18026.625</c:v>
                </c:pt>
                <c:pt idx="7">
                  <c:v>13985.1</c:v>
                </c:pt>
                <c:pt idx="8">
                  <c:v>17696.400000000001</c:v>
                </c:pt>
                <c:pt idx="9">
                  <c:v>29529.224999999999</c:v>
                </c:pt>
                <c:pt idx="10">
                  <c:v>38182.800000000003</c:v>
                </c:pt>
                <c:pt idx="11">
                  <c:v>45807.425000000003</c:v>
                </c:pt>
                <c:pt idx="12">
                  <c:v>21057.1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10948.251</c:v>
                </c:pt>
                <c:pt idx="1">
                  <c:v>10421.953</c:v>
                </c:pt>
                <c:pt idx="2">
                  <c:v>14514.075000000001</c:v>
                </c:pt>
                <c:pt idx="3">
                  <c:v>23848.400000000001</c:v>
                </c:pt>
                <c:pt idx="4">
                  <c:v>21792.308000000001</c:v>
                </c:pt>
                <c:pt idx="5">
                  <c:v>12196.8</c:v>
                </c:pt>
                <c:pt idx="6">
                  <c:v>20112.843000000001</c:v>
                </c:pt>
                <c:pt idx="7">
                  <c:v>12082.525</c:v>
                </c:pt>
                <c:pt idx="8">
                  <c:v>11577.424999999999</c:v>
                </c:pt>
                <c:pt idx="9">
                  <c:v>14074.424999999999</c:v>
                </c:pt>
                <c:pt idx="10">
                  <c:v>4884.7749999999996</c:v>
                </c:pt>
                <c:pt idx="11">
                  <c:v>10897.775</c:v>
                </c:pt>
                <c:pt idx="12">
                  <c:v>19108.924999999999</c:v>
                </c:pt>
              </c:numCache>
            </c:numRef>
          </c:cat>
          <c:val>
            <c:numRef>
              <c:f>Dat_01!$C$415:$O$415</c:f>
              <c:numCache>
                <c:formatCode>#,##0.00</c:formatCode>
                <c:ptCount val="13"/>
                <c:pt idx="0">
                  <c:v>170.1994632036</c:v>
                </c:pt>
                <c:pt idx="1">
                  <c:v>170.114810119</c:v>
                </c:pt>
                <c:pt idx="2">
                  <c:v>133.04789605639999</c:v>
                </c:pt>
                <c:pt idx="3">
                  <c:v>149.77792291809999</c:v>
                </c:pt>
                <c:pt idx="4">
                  <c:v>80.298669485900007</c:v>
                </c:pt>
                <c:pt idx="5">
                  <c:v>153.30472160389999</c:v>
                </c:pt>
                <c:pt idx="6">
                  <c:v>136.2718317671</c:v>
                </c:pt>
                <c:pt idx="7">
                  <c:v>122.270807525</c:v>
                </c:pt>
                <c:pt idx="8">
                  <c:v>114.5849161916</c:v>
                </c:pt>
                <c:pt idx="9">
                  <c:v>120.7040797997</c:v>
                </c:pt>
                <c:pt idx="10">
                  <c:v>121.01276356050001</c:v>
                </c:pt>
                <c:pt idx="11">
                  <c:v>131.3598311982</c:v>
                </c:pt>
                <c:pt idx="12">
                  <c:v>122.48809194739999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10948.251</c:v>
                </c:pt>
                <c:pt idx="1">
                  <c:v>10421.953</c:v>
                </c:pt>
                <c:pt idx="2">
                  <c:v>14514.075000000001</c:v>
                </c:pt>
                <c:pt idx="3">
                  <c:v>23848.400000000001</c:v>
                </c:pt>
                <c:pt idx="4">
                  <c:v>21792.308000000001</c:v>
                </c:pt>
                <c:pt idx="5">
                  <c:v>12196.8</c:v>
                </c:pt>
                <c:pt idx="6">
                  <c:v>20112.843000000001</c:v>
                </c:pt>
                <c:pt idx="7">
                  <c:v>12082.525</c:v>
                </c:pt>
                <c:pt idx="8">
                  <c:v>11577.424999999999</c:v>
                </c:pt>
                <c:pt idx="9">
                  <c:v>14074.424999999999</c:v>
                </c:pt>
                <c:pt idx="10">
                  <c:v>4884.7749999999996</c:v>
                </c:pt>
                <c:pt idx="11">
                  <c:v>10897.775</c:v>
                </c:pt>
                <c:pt idx="12">
                  <c:v>19108.924999999999</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Dat_01!$C$278:$O$278</c:f>
              <c:numCache>
                <c:formatCode>#,##0.0</c:formatCode>
                <c:ptCount val="13"/>
                <c:pt idx="0">
                  <c:v>125828.7</c:v>
                </c:pt>
                <c:pt idx="1">
                  <c:v>238619.17499999999</c:v>
                </c:pt>
                <c:pt idx="2">
                  <c:v>174742.7</c:v>
                </c:pt>
                <c:pt idx="3">
                  <c:v>295334.82500000001</c:v>
                </c:pt>
                <c:pt idx="4">
                  <c:v>241649.02499999999</c:v>
                </c:pt>
                <c:pt idx="5">
                  <c:v>222841.2</c:v>
                </c:pt>
                <c:pt idx="6">
                  <c:v>147441.27499999999</c:v>
                </c:pt>
                <c:pt idx="7">
                  <c:v>106835.5</c:v>
                </c:pt>
                <c:pt idx="8">
                  <c:v>134157.92499999999</c:v>
                </c:pt>
                <c:pt idx="9">
                  <c:v>296773.84999999998</c:v>
                </c:pt>
                <c:pt idx="10">
                  <c:v>272106</c:v>
                </c:pt>
                <c:pt idx="11">
                  <c:v>287813.09999999998</c:v>
                </c:pt>
                <c:pt idx="12">
                  <c:v>160873.1</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Dat_01!$D$323:$P$323</c:f>
              <c:numCache>
                <c:formatCode>#,##0.0</c:formatCode>
                <c:ptCount val="13"/>
                <c:pt idx="0">
                  <c:v>1385</c:v>
                </c:pt>
                <c:pt idx="1">
                  <c:v>28420.1</c:v>
                </c:pt>
                <c:pt idx="2">
                  <c:v>19231.900000000001</c:v>
                </c:pt>
                <c:pt idx="3">
                  <c:v>7715.1</c:v>
                </c:pt>
                <c:pt idx="4">
                  <c:v>13030.5</c:v>
                </c:pt>
                <c:pt idx="5">
                  <c:v>23234.400000000001</c:v>
                </c:pt>
                <c:pt idx="6">
                  <c:v>6126.3</c:v>
                </c:pt>
                <c:pt idx="7">
                  <c:v>6210.9</c:v>
                </c:pt>
                <c:pt idx="8">
                  <c:v>15418.6</c:v>
                </c:pt>
                <c:pt idx="9">
                  <c:v>23610.9</c:v>
                </c:pt>
                <c:pt idx="10">
                  <c:v>9754</c:v>
                </c:pt>
                <c:pt idx="11">
                  <c:v>14419.4</c:v>
                </c:pt>
                <c:pt idx="12">
                  <c:v>10544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Dat_01!$D$324:$P$324</c:f>
              <c:numCache>
                <c:formatCode>#,##0.0</c:formatCode>
                <c:ptCount val="13"/>
                <c:pt idx="0">
                  <c:v>85885</c:v>
                </c:pt>
                <c:pt idx="1">
                  <c:v>102571.3</c:v>
                </c:pt>
                <c:pt idx="2">
                  <c:v>62469.599999999999</c:v>
                </c:pt>
                <c:pt idx="3">
                  <c:v>37807.199999999997</c:v>
                </c:pt>
                <c:pt idx="4">
                  <c:v>39359.9</c:v>
                </c:pt>
                <c:pt idx="5">
                  <c:v>29375.8</c:v>
                </c:pt>
                <c:pt idx="6">
                  <c:v>91808.3</c:v>
                </c:pt>
                <c:pt idx="7">
                  <c:v>74632.600000000006</c:v>
                </c:pt>
                <c:pt idx="8">
                  <c:v>70990</c:v>
                </c:pt>
                <c:pt idx="9">
                  <c:v>33804.6</c:v>
                </c:pt>
                <c:pt idx="10">
                  <c:v>56632.6</c:v>
                </c:pt>
                <c:pt idx="11">
                  <c:v>78281</c:v>
                </c:pt>
                <c:pt idx="12">
                  <c:v>39388.9</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92309.5</c:v>
                </c:pt>
                <c:pt idx="1">
                  <c:v>225778</c:v>
                </c:pt>
                <c:pt idx="2">
                  <c:v>139151.25</c:v>
                </c:pt>
                <c:pt idx="3">
                  <c:v>211467</c:v>
                </c:pt>
                <c:pt idx="4">
                  <c:v>171470.25</c:v>
                </c:pt>
                <c:pt idx="5">
                  <c:v>136980.75</c:v>
                </c:pt>
                <c:pt idx="6">
                  <c:v>91593.75</c:v>
                </c:pt>
                <c:pt idx="7">
                  <c:v>70595</c:v>
                </c:pt>
                <c:pt idx="8">
                  <c:v>78732.25</c:v>
                </c:pt>
                <c:pt idx="9">
                  <c:v>222328.25</c:v>
                </c:pt>
                <c:pt idx="10">
                  <c:v>226607.5</c:v>
                </c:pt>
                <c:pt idx="11">
                  <c:v>240958.25</c:v>
                </c:pt>
                <c:pt idx="12">
                  <c:v>79070</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271981.65000000002</c:v>
                </c:pt>
                <c:pt idx="1">
                  <c:v>164113.77499999999</c:v>
                </c:pt>
                <c:pt idx="2">
                  <c:v>177218.25</c:v>
                </c:pt>
                <c:pt idx="3">
                  <c:v>188386.32500000001</c:v>
                </c:pt>
                <c:pt idx="4">
                  <c:v>208745.67499999999</c:v>
                </c:pt>
                <c:pt idx="5">
                  <c:v>186451.1</c:v>
                </c:pt>
                <c:pt idx="6">
                  <c:v>419821.42499999999</c:v>
                </c:pt>
                <c:pt idx="7">
                  <c:v>342830.4</c:v>
                </c:pt>
                <c:pt idx="8">
                  <c:v>337163.82500000001</c:v>
                </c:pt>
                <c:pt idx="9">
                  <c:v>116549.7</c:v>
                </c:pt>
                <c:pt idx="10">
                  <c:v>116506.5</c:v>
                </c:pt>
                <c:pt idx="11">
                  <c:v>201179.9</c:v>
                </c:pt>
                <c:pt idx="12">
                  <c:v>195827.02499999999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130</c:v>
                </c:pt>
                <c:pt idx="1">
                  <c:v>18818.7</c:v>
                </c:pt>
                <c:pt idx="2">
                  <c:v>12730.4</c:v>
                </c:pt>
                <c:pt idx="3">
                  <c:v>6515.6</c:v>
                </c:pt>
                <c:pt idx="4">
                  <c:v>11423.2</c:v>
                </c:pt>
                <c:pt idx="5">
                  <c:v>24373.9</c:v>
                </c:pt>
                <c:pt idx="6">
                  <c:v>14091.1</c:v>
                </c:pt>
                <c:pt idx="7">
                  <c:v>19044.400000000001</c:v>
                </c:pt>
                <c:pt idx="8">
                  <c:v>28792</c:v>
                </c:pt>
                <c:pt idx="9">
                  <c:v>30280</c:v>
                </c:pt>
                <c:pt idx="10">
                  <c:v>38015.1</c:v>
                </c:pt>
                <c:pt idx="11">
                  <c:v>37645.699999999997</c:v>
                </c:pt>
                <c:pt idx="12">
                  <c:v>43063.3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39763.300000000003</c:v>
                </c:pt>
                <c:pt idx="1">
                  <c:v>39543.599999999999</c:v>
                </c:pt>
                <c:pt idx="2">
                  <c:v>48945.8</c:v>
                </c:pt>
                <c:pt idx="3">
                  <c:v>79746.7</c:v>
                </c:pt>
                <c:pt idx="4">
                  <c:v>72605.3</c:v>
                </c:pt>
                <c:pt idx="5">
                  <c:v>76706.399999999994</c:v>
                </c:pt>
                <c:pt idx="6">
                  <c:v>50867.1</c:v>
                </c:pt>
                <c:pt idx="7">
                  <c:v>37683.699999999997</c:v>
                </c:pt>
                <c:pt idx="8">
                  <c:v>47265.2</c:v>
                </c:pt>
                <c:pt idx="9">
                  <c:v>65872.399999999994</c:v>
                </c:pt>
                <c:pt idx="10">
                  <c:v>43669.5</c:v>
                </c:pt>
                <c:pt idx="11">
                  <c:v>53874.9</c:v>
                </c:pt>
                <c:pt idx="12">
                  <c:v>89231.9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191085.75</c:v>
                </c:pt>
                <c:pt idx="1">
                  <c:v>78643.5</c:v>
                </c:pt>
                <c:pt idx="2">
                  <c:v>121601.5</c:v>
                </c:pt>
                <c:pt idx="3">
                  <c:v>145258.5</c:v>
                </c:pt>
                <c:pt idx="4">
                  <c:v>170205</c:v>
                </c:pt>
                <c:pt idx="5">
                  <c:v>149060.75</c:v>
                </c:pt>
                <c:pt idx="6">
                  <c:v>330997.5</c:v>
                </c:pt>
                <c:pt idx="7">
                  <c:v>282474.5</c:v>
                </c:pt>
                <c:pt idx="8">
                  <c:v>271386.75</c:v>
                </c:pt>
                <c:pt idx="9">
                  <c:v>80841</c:v>
                </c:pt>
                <c:pt idx="10">
                  <c:v>86306</c:v>
                </c:pt>
                <c:pt idx="11">
                  <c:v>153145.25</c:v>
                </c:pt>
                <c:pt idx="12">
                  <c:v>196386</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20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1489.0419999999999</c:v>
                </c:pt>
                <c:pt idx="1">
                  <c:v>1431.5</c:v>
                </c:pt>
                <c:pt idx="2">
                  <c:v>4345.8999999999996</c:v>
                </c:pt>
                <c:pt idx="3">
                  <c:v>3059.067</c:v>
                </c:pt>
                <c:pt idx="4">
                  <c:v>0</c:v>
                </c:pt>
                <c:pt idx="5">
                  <c:v>1578.425</c:v>
                </c:pt>
                <c:pt idx="6">
                  <c:v>1682.35</c:v>
                </c:pt>
                <c:pt idx="7">
                  <c:v>2896.5250000000001</c:v>
                </c:pt>
                <c:pt idx="8">
                  <c:v>199.85</c:v>
                </c:pt>
                <c:pt idx="9">
                  <c:v>2332.3249999999998</c:v>
                </c:pt>
                <c:pt idx="10">
                  <c:v>8570.1929999999993</c:v>
                </c:pt>
                <c:pt idx="11">
                  <c:v>898.7</c:v>
                </c:pt>
                <c:pt idx="12">
                  <c:v>958.3</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599.78599999999994</c:v>
                </c:pt>
                <c:pt idx="1">
                  <c:v>183.958</c:v>
                </c:pt>
                <c:pt idx="2">
                  <c:v>27.314</c:v>
                </c:pt>
                <c:pt idx="3">
                  <c:v>0</c:v>
                </c:pt>
                <c:pt idx="4">
                  <c:v>655.67499999999995</c:v>
                </c:pt>
                <c:pt idx="5">
                  <c:v>97.391000000000005</c:v>
                </c:pt>
                <c:pt idx="6">
                  <c:v>1288.318</c:v>
                </c:pt>
                <c:pt idx="7">
                  <c:v>1320.7940000000001</c:v>
                </c:pt>
                <c:pt idx="8">
                  <c:v>1687.6179999999999</c:v>
                </c:pt>
                <c:pt idx="9">
                  <c:v>837.54200000000003</c:v>
                </c:pt>
                <c:pt idx="10">
                  <c:v>1044.5419999999999</c:v>
                </c:pt>
                <c:pt idx="11">
                  <c:v>918.51900000000001</c:v>
                </c:pt>
                <c:pt idx="12">
                  <c:v>215.17699999999999</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18456.273000000001</c:v>
                </c:pt>
                <c:pt idx="1">
                  <c:v>50768.847000000002</c:v>
                </c:pt>
                <c:pt idx="2">
                  <c:v>15616.296</c:v>
                </c:pt>
                <c:pt idx="3">
                  <c:v>24243.491999999998</c:v>
                </c:pt>
                <c:pt idx="4">
                  <c:v>11045.084000000001</c:v>
                </c:pt>
                <c:pt idx="5">
                  <c:v>31105.358</c:v>
                </c:pt>
                <c:pt idx="6">
                  <c:v>35237.998</c:v>
                </c:pt>
                <c:pt idx="7">
                  <c:v>22481.383999999998</c:v>
                </c:pt>
                <c:pt idx="8">
                  <c:v>25714.166000000001</c:v>
                </c:pt>
                <c:pt idx="9">
                  <c:v>39583.667999999998</c:v>
                </c:pt>
                <c:pt idx="10">
                  <c:v>22062.469000000001</c:v>
                </c:pt>
                <c:pt idx="11">
                  <c:v>21253.542000000001</c:v>
                </c:pt>
                <c:pt idx="12">
                  <c:v>27683.021000000001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20881.86</c:v>
                </c:pt>
                <c:pt idx="1">
                  <c:v>5100.2079999999996</c:v>
                </c:pt>
                <c:pt idx="2">
                  <c:v>6806.4530000000004</c:v>
                </c:pt>
                <c:pt idx="3">
                  <c:v>10425.232</c:v>
                </c:pt>
                <c:pt idx="4">
                  <c:v>19430.530999999999</c:v>
                </c:pt>
                <c:pt idx="5">
                  <c:v>14760.555</c:v>
                </c:pt>
                <c:pt idx="6">
                  <c:v>26715.501</c:v>
                </c:pt>
                <c:pt idx="7">
                  <c:v>46423.207000000002</c:v>
                </c:pt>
                <c:pt idx="8">
                  <c:v>34475.114000000001</c:v>
                </c:pt>
                <c:pt idx="9">
                  <c:v>13865.681</c:v>
                </c:pt>
                <c:pt idx="10">
                  <c:v>29099.06</c:v>
                </c:pt>
                <c:pt idx="11">
                  <c:v>97910.857999999993</c:v>
                </c:pt>
                <c:pt idx="12">
                  <c:v>3999.4050000000002</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87.748000000000005</c:v>
                </c:pt>
                <c:pt idx="1">
                  <c:v>273.47399999999999</c:v>
                </c:pt>
                <c:pt idx="2">
                  <c:v>2149.971</c:v>
                </c:pt>
                <c:pt idx="3">
                  <c:v>13.795999999999999</c:v>
                </c:pt>
                <c:pt idx="4">
                  <c:v>3297.1370000000002</c:v>
                </c:pt>
                <c:pt idx="5">
                  <c:v>0.52500000000000002</c:v>
                </c:pt>
                <c:pt idx="6">
                  <c:v>538.93600000000004</c:v>
                </c:pt>
                <c:pt idx="7">
                  <c:v>245.29300000000001</c:v>
                </c:pt>
                <c:pt idx="8">
                  <c:v>354.46100000000001</c:v>
                </c:pt>
                <c:pt idx="9">
                  <c:v>874.01700000000005</c:v>
                </c:pt>
                <c:pt idx="10">
                  <c:v>778.52099999999996</c:v>
                </c:pt>
                <c:pt idx="11">
                  <c:v>671.55</c:v>
                </c:pt>
                <c:pt idx="12">
                  <c:v>139.92500000000001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304.72399999999999</c:v>
                </c:pt>
                <c:pt idx="1">
                  <c:v>90.045000000000002</c:v>
                </c:pt>
                <c:pt idx="2">
                  <c:v>152.334</c:v>
                </c:pt>
                <c:pt idx="3">
                  <c:v>0</c:v>
                </c:pt>
                <c:pt idx="4">
                  <c:v>1221.2</c:v>
                </c:pt>
                <c:pt idx="5">
                  <c:v>6.9</c:v>
                </c:pt>
                <c:pt idx="6">
                  <c:v>327.46600000000001</c:v>
                </c:pt>
                <c:pt idx="7">
                  <c:v>655.22699999999998</c:v>
                </c:pt>
                <c:pt idx="8">
                  <c:v>851.95500000000004</c:v>
                </c:pt>
                <c:pt idx="9">
                  <c:v>764.25099999999998</c:v>
                </c:pt>
                <c:pt idx="10">
                  <c:v>1951.3109999999999</c:v>
                </c:pt>
                <c:pt idx="11">
                  <c:v>1839.655</c:v>
                </c:pt>
                <c:pt idx="12">
                  <c:v>560.625</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12.55</c:v>
                </c:pt>
                <c:pt idx="1">
                  <c:v>0</c:v>
                </c:pt>
                <c:pt idx="2">
                  <c:v>42.654000000000003</c:v>
                </c:pt>
                <c:pt idx="3">
                  <c:v>0</c:v>
                </c:pt>
                <c:pt idx="4">
                  <c:v>4.5750000000000002</c:v>
                </c:pt>
                <c:pt idx="5">
                  <c:v>0</c:v>
                </c:pt>
                <c:pt idx="6">
                  <c:v>97.456999999999994</c:v>
                </c:pt>
                <c:pt idx="7">
                  <c:v>248.36199999999999</c:v>
                </c:pt>
                <c:pt idx="8">
                  <c:v>108.267</c:v>
                </c:pt>
                <c:pt idx="9">
                  <c:v>122.4</c:v>
                </c:pt>
                <c:pt idx="10">
                  <c:v>135.5</c:v>
                </c:pt>
                <c:pt idx="11">
                  <c:v>0</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573.46199999999999</c:v>
                </c:pt>
                <c:pt idx="1">
                  <c:v>2259.4050000000002</c:v>
                </c:pt>
                <c:pt idx="2">
                  <c:v>44.067</c:v>
                </c:pt>
                <c:pt idx="3">
                  <c:v>9.1940000000000008</c:v>
                </c:pt>
                <c:pt idx="4">
                  <c:v>380.93400000000003</c:v>
                </c:pt>
                <c:pt idx="5">
                  <c:v>610.12800000000004</c:v>
                </c:pt>
                <c:pt idx="6">
                  <c:v>3459.7950000000001</c:v>
                </c:pt>
                <c:pt idx="7">
                  <c:v>8080.1790000000001</c:v>
                </c:pt>
                <c:pt idx="8">
                  <c:v>3215.4839999999999</c:v>
                </c:pt>
                <c:pt idx="9">
                  <c:v>51660.192000000003</c:v>
                </c:pt>
                <c:pt idx="10">
                  <c:v>94698.2</c:v>
                </c:pt>
                <c:pt idx="11">
                  <c:v>43222.777999999998</c:v>
                </c:pt>
                <c:pt idx="12">
                  <c:v>31670.609</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1034.5889999999999</c:v>
                </c:pt>
                <c:pt idx="1">
                  <c:v>2752.0419999999999</c:v>
                </c:pt>
                <c:pt idx="2">
                  <c:v>19</c:v>
                </c:pt>
                <c:pt idx="3">
                  <c:v>0</c:v>
                </c:pt>
                <c:pt idx="4">
                  <c:v>279.19</c:v>
                </c:pt>
                <c:pt idx="5">
                  <c:v>0</c:v>
                </c:pt>
                <c:pt idx="6">
                  <c:v>7401.3389999999999</c:v>
                </c:pt>
                <c:pt idx="7">
                  <c:v>7222.3050000000003</c:v>
                </c:pt>
                <c:pt idx="8">
                  <c:v>949.05700000000002</c:v>
                </c:pt>
                <c:pt idx="9">
                  <c:v>10959.39</c:v>
                </c:pt>
                <c:pt idx="10">
                  <c:v>24041.496999999999</c:v>
                </c:pt>
                <c:pt idx="11">
                  <c:v>33235.192000000003</c:v>
                </c:pt>
                <c:pt idx="12">
                  <c:v>13214.049000000001</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0</c:v>
                </c:pt>
                <c:pt idx="1">
                  <c:v>3910.5079999999998</c:v>
                </c:pt>
                <c:pt idx="2">
                  <c:v>204.333</c:v>
                </c:pt>
                <c:pt idx="3">
                  <c:v>1113.3</c:v>
                </c:pt>
                <c:pt idx="4">
                  <c:v>100</c:v>
                </c:pt>
                <c:pt idx="5">
                  <c:v>0</c:v>
                </c:pt>
                <c:pt idx="6">
                  <c:v>450.58300000000003</c:v>
                </c:pt>
                <c:pt idx="7">
                  <c:v>292.5</c:v>
                </c:pt>
                <c:pt idx="8">
                  <c:v>183.208</c:v>
                </c:pt>
                <c:pt idx="9">
                  <c:v>140</c:v>
                </c:pt>
                <c:pt idx="10">
                  <c:v>242.13300000000001</c:v>
                </c:pt>
                <c:pt idx="11">
                  <c:v>1586.933</c:v>
                </c:pt>
                <c:pt idx="12">
                  <c:v>1776.567</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34.183283697199997</c:v>
                </c:pt>
                <c:pt idx="1">
                  <c:v>54.630306118500002</c:v>
                </c:pt>
                <c:pt idx="2">
                  <c:v>32.681396425400003</c:v>
                </c:pt>
                <c:pt idx="3">
                  <c:v>36.669874418200003</c:v>
                </c:pt>
                <c:pt idx="4">
                  <c:v>15.446199738000001</c:v>
                </c:pt>
                <c:pt idx="5">
                  <c:v>40.734617836300004</c:v>
                </c:pt>
                <c:pt idx="6">
                  <c:v>27.0519405776</c:v>
                </c:pt>
                <c:pt idx="7">
                  <c:v>14.6202312332</c:v>
                </c:pt>
                <c:pt idx="8">
                  <c:v>16.128899559899999</c:v>
                </c:pt>
                <c:pt idx="9">
                  <c:v>16.443804452399998</c:v>
                </c:pt>
                <c:pt idx="10">
                  <c:v>6.4875056998999998</c:v>
                </c:pt>
                <c:pt idx="11">
                  <c:v>6.9685262458999997</c:v>
                </c:pt>
                <c:pt idx="12">
                  <c:v>20.7928198006</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Dat_01!$C$426:$C$438</c:f>
              <c:numCache>
                <c:formatCode>0.0</c:formatCode>
                <c:ptCount val="13"/>
                <c:pt idx="0">
                  <c:v>23.93518518518519</c:v>
                </c:pt>
                <c:pt idx="1">
                  <c:v>23.207885304659499</c:v>
                </c:pt>
                <c:pt idx="2">
                  <c:v>35.972222222222214</c:v>
                </c:pt>
                <c:pt idx="3">
                  <c:v>41.662186379928315</c:v>
                </c:pt>
                <c:pt idx="4">
                  <c:v>39.852150537634408</c:v>
                </c:pt>
                <c:pt idx="5">
                  <c:v>48.164682539682531</c:v>
                </c:pt>
                <c:pt idx="6">
                  <c:v>33.299685957828615</c:v>
                </c:pt>
                <c:pt idx="7">
                  <c:v>36.770833333333336</c:v>
                </c:pt>
                <c:pt idx="8">
                  <c:v>29.480286738351253</c:v>
                </c:pt>
                <c:pt idx="9">
                  <c:v>32.303240740740733</c:v>
                </c:pt>
                <c:pt idx="10">
                  <c:v>31.193996415770613</c:v>
                </c:pt>
                <c:pt idx="11">
                  <c:v>30.275537634408607</c:v>
                </c:pt>
                <c:pt idx="12">
                  <c:v>31.7361111111111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Dat_01!$D$426:$D$438</c:f>
              <c:numCache>
                <c:formatCode>0.0</c:formatCode>
                <c:ptCount val="13"/>
                <c:pt idx="0">
                  <c:v>14.513888888888888</c:v>
                </c:pt>
                <c:pt idx="1">
                  <c:v>12.92562724014337</c:v>
                </c:pt>
                <c:pt idx="2">
                  <c:v>9.5370370370370363</c:v>
                </c:pt>
                <c:pt idx="3">
                  <c:v>13.189964157706092</c:v>
                </c:pt>
                <c:pt idx="4">
                  <c:v>9.4198028673835115</c:v>
                </c:pt>
                <c:pt idx="5">
                  <c:v>11.656746031746033</c:v>
                </c:pt>
                <c:pt idx="6">
                  <c:v>11.518618214445942</c:v>
                </c:pt>
                <c:pt idx="7">
                  <c:v>14.432870370370368</c:v>
                </c:pt>
                <c:pt idx="8">
                  <c:v>13.418458781362006</c:v>
                </c:pt>
                <c:pt idx="9">
                  <c:v>14.467592592592593</c:v>
                </c:pt>
                <c:pt idx="10">
                  <c:v>9.2181899641577054</c:v>
                </c:pt>
                <c:pt idx="11">
                  <c:v>11.279121863799284</c:v>
                </c:pt>
                <c:pt idx="12">
                  <c:v>7.9398148148148149</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Dat_01!$F$426:$F$438</c:f>
              <c:numCache>
                <c:formatCode>0.0</c:formatCode>
                <c:ptCount val="13"/>
                <c:pt idx="0">
                  <c:v>0</c:v>
                </c:pt>
                <c:pt idx="1">
                  <c:v>0</c:v>
                </c:pt>
                <c:pt idx="2">
                  <c:v>0</c:v>
                </c:pt>
                <c:pt idx="3">
                  <c:v>0</c:v>
                </c:pt>
                <c:pt idx="4">
                  <c:v>0.13440860215053765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Dat_01!$G$426:$G$438</c:f>
              <c:numCache>
                <c:formatCode>0.0</c:formatCode>
                <c:ptCount val="13"/>
                <c:pt idx="0">
                  <c:v>42.939814814814817</c:v>
                </c:pt>
                <c:pt idx="1">
                  <c:v>40.456989247311824</c:v>
                </c:pt>
                <c:pt idx="2">
                  <c:v>28.63425925925926</c:v>
                </c:pt>
                <c:pt idx="3">
                  <c:v>12.589605734767023</c:v>
                </c:pt>
                <c:pt idx="4">
                  <c:v>7.493279569892473</c:v>
                </c:pt>
                <c:pt idx="5">
                  <c:v>23.263888888888889</c:v>
                </c:pt>
                <c:pt idx="6">
                  <c:v>7.9744279946164207</c:v>
                </c:pt>
                <c:pt idx="7">
                  <c:v>9.2708333333333339</c:v>
                </c:pt>
                <c:pt idx="8">
                  <c:v>22.222222222222225</c:v>
                </c:pt>
                <c:pt idx="9">
                  <c:v>27.905092592592595</c:v>
                </c:pt>
                <c:pt idx="10">
                  <c:v>31.888440860215056</c:v>
                </c:pt>
                <c:pt idx="11">
                  <c:v>31.362007168458781</c:v>
                </c:pt>
                <c:pt idx="12">
                  <c:v>28.611111111111111</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Dat_01!$H$426:$H$438</c:f>
              <c:numCache>
                <c:formatCode>0.0</c:formatCode>
                <c:ptCount val="13"/>
                <c:pt idx="0">
                  <c:v>3.2638888888888893</c:v>
                </c:pt>
                <c:pt idx="1">
                  <c:v>2.4193548387096775</c:v>
                </c:pt>
                <c:pt idx="2">
                  <c:v>1.9444444444444444</c:v>
                </c:pt>
                <c:pt idx="3">
                  <c:v>0.91397849462365588</c:v>
                </c:pt>
                <c:pt idx="4">
                  <c:v>1.7025089605734767</c:v>
                </c:pt>
                <c:pt idx="5">
                  <c:v>1.4880952380952379</c:v>
                </c:pt>
                <c:pt idx="6">
                  <c:v>0.8299685957828622</c:v>
                </c:pt>
                <c:pt idx="7">
                  <c:v>0.87962962962962954</c:v>
                </c:pt>
                <c:pt idx="8">
                  <c:v>0.53763440860215062</c:v>
                </c:pt>
                <c:pt idx="9">
                  <c:v>3.4722222222222224E-2</c:v>
                </c:pt>
                <c:pt idx="10">
                  <c:v>0.51523297491039421</c:v>
                </c:pt>
                <c:pt idx="11">
                  <c:v>0.79525089605734767</c:v>
                </c:pt>
                <c:pt idx="12">
                  <c:v>0.46296296296296297</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Dat_01!$I$426:$I$438</c:f>
              <c:numCache>
                <c:formatCode>0.0</c:formatCode>
                <c:ptCount val="13"/>
                <c:pt idx="0">
                  <c:v>0</c:v>
                </c:pt>
                <c:pt idx="1">
                  <c:v>0</c:v>
                </c:pt>
                <c:pt idx="2">
                  <c:v>0</c:v>
                </c:pt>
                <c:pt idx="3">
                  <c:v>0</c:v>
                </c:pt>
                <c:pt idx="4">
                  <c:v>0</c:v>
                </c:pt>
                <c:pt idx="5">
                  <c:v>0</c:v>
                </c:pt>
                <c:pt idx="6">
                  <c:v>0</c:v>
                </c:pt>
                <c:pt idx="7">
                  <c:v>6.9444444444444448E-2</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Dat_01!$J$426:$J$438</c:f>
              <c:numCache>
                <c:formatCode>0.0</c:formatCode>
                <c:ptCount val="13"/>
                <c:pt idx="0">
                  <c:v>15.34722222222222</c:v>
                </c:pt>
                <c:pt idx="1">
                  <c:v>20.99014336917563</c:v>
                </c:pt>
                <c:pt idx="2">
                  <c:v>23.912037037037042</c:v>
                </c:pt>
                <c:pt idx="3">
                  <c:v>31.536738351254485</c:v>
                </c:pt>
                <c:pt idx="4">
                  <c:v>41.397849462365592</c:v>
                </c:pt>
                <c:pt idx="5">
                  <c:v>15.426587301587302</c:v>
                </c:pt>
                <c:pt idx="6">
                  <c:v>46.377299237326156</c:v>
                </c:pt>
                <c:pt idx="7">
                  <c:v>38.576388888888893</c:v>
                </c:pt>
                <c:pt idx="8">
                  <c:v>34.341397849462368</c:v>
                </c:pt>
                <c:pt idx="9">
                  <c:v>25.289351851851855</c:v>
                </c:pt>
                <c:pt idx="10">
                  <c:v>27.184139784946236</c:v>
                </c:pt>
                <c:pt idx="11">
                  <c:v>26.288082437275989</c:v>
                </c:pt>
                <c:pt idx="12">
                  <c:v>31.250000000000007</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Dat_01!$C$340:$O$340</c:f>
              <c:numCache>
                <c:formatCode>#,##0.0</c:formatCode>
                <c:ptCount val="13"/>
                <c:pt idx="0">
                  <c:v>555</c:v>
                </c:pt>
                <c:pt idx="1">
                  <c:v>4836.8</c:v>
                </c:pt>
                <c:pt idx="2">
                  <c:v>2212.6999999999998</c:v>
                </c:pt>
                <c:pt idx="3">
                  <c:v>5478</c:v>
                </c:pt>
                <c:pt idx="4">
                  <c:v>11268</c:v>
                </c:pt>
                <c:pt idx="5">
                  <c:v>48958</c:v>
                </c:pt>
                <c:pt idx="6">
                  <c:v>138130.4</c:v>
                </c:pt>
                <c:pt idx="7">
                  <c:v>43920</c:v>
                </c:pt>
                <c:pt idx="8">
                  <c:v>8172.8</c:v>
                </c:pt>
                <c:pt idx="9">
                  <c:v>3400</c:v>
                </c:pt>
                <c:pt idx="10">
                  <c:v>2260</c:v>
                </c:pt>
                <c:pt idx="11">
                  <c:v>2834</c:v>
                </c:pt>
                <c:pt idx="12">
                  <c:v>38425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Dat_01!$C$341:$O$341</c:f>
              <c:numCache>
                <c:formatCode>#,##0.0</c:formatCode>
                <c:ptCount val="13"/>
                <c:pt idx="0">
                  <c:v>232710.6</c:v>
                </c:pt>
                <c:pt idx="1">
                  <c:v>227776.45499999999</c:v>
                </c:pt>
                <c:pt idx="2">
                  <c:v>174006.85399999999</c:v>
                </c:pt>
                <c:pt idx="3">
                  <c:v>334554.35800000001</c:v>
                </c:pt>
                <c:pt idx="4">
                  <c:v>387716.67499999999</c:v>
                </c:pt>
                <c:pt idx="5">
                  <c:v>280733.853</c:v>
                </c:pt>
                <c:pt idx="6">
                  <c:v>224071.01699999999</c:v>
                </c:pt>
                <c:pt idx="7">
                  <c:v>122955.6</c:v>
                </c:pt>
                <c:pt idx="8">
                  <c:v>230037.60800000001</c:v>
                </c:pt>
                <c:pt idx="9">
                  <c:v>321495.908</c:v>
                </c:pt>
                <c:pt idx="10">
                  <c:v>255417.44200000001</c:v>
                </c:pt>
                <c:pt idx="11">
                  <c:v>221717.226</c:v>
                </c:pt>
                <c:pt idx="12">
                  <c:v>287082.59399999998</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Dat_01!$C$343:$O$343</c:f>
              <c:numCache>
                <c:formatCode>#,##0.0</c:formatCode>
                <c:ptCount val="13"/>
                <c:pt idx="0">
                  <c:v>982.5</c:v>
                </c:pt>
                <c:pt idx="1">
                  <c:v>2792.6</c:v>
                </c:pt>
                <c:pt idx="2">
                  <c:v>126</c:v>
                </c:pt>
                <c:pt idx="3">
                  <c:v>258.25</c:v>
                </c:pt>
                <c:pt idx="4">
                  <c:v>572.57299999999998</c:v>
                </c:pt>
                <c:pt idx="5">
                  <c:v>43.033000000000001</c:v>
                </c:pt>
                <c:pt idx="6">
                  <c:v>316.875</c:v>
                </c:pt>
                <c:pt idx="7">
                  <c:v>4435.0169999999998</c:v>
                </c:pt>
                <c:pt idx="8">
                  <c:v>6374.2</c:v>
                </c:pt>
                <c:pt idx="9">
                  <c:v>191.083</c:v>
                </c:pt>
                <c:pt idx="10">
                  <c:v>8045.5839999999998</c:v>
                </c:pt>
                <c:pt idx="11">
                  <c:v>11049.55</c:v>
                </c:pt>
                <c:pt idx="12">
                  <c:v>5227.5839999999998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Dat_01!$C$344:$O$344</c:f>
              <c:numCache>
                <c:formatCode>#,##0.0</c:formatCode>
                <c:ptCount val="13"/>
                <c:pt idx="0">
                  <c:v>388.7</c:v>
                </c:pt>
                <c:pt idx="1">
                  <c:v>0</c:v>
                </c:pt>
                <c:pt idx="2">
                  <c:v>0</c:v>
                </c:pt>
                <c:pt idx="3">
                  <c:v>0</c:v>
                </c:pt>
                <c:pt idx="4">
                  <c:v>681.8</c:v>
                </c:pt>
                <c:pt idx="5">
                  <c:v>0</c:v>
                </c:pt>
                <c:pt idx="6">
                  <c:v>152.4</c:v>
                </c:pt>
                <c:pt idx="7">
                  <c:v>148.1</c:v>
                </c:pt>
                <c:pt idx="8">
                  <c:v>1318.3</c:v>
                </c:pt>
                <c:pt idx="9">
                  <c:v>1224</c:v>
                </c:pt>
                <c:pt idx="10">
                  <c:v>1144</c:v>
                </c:pt>
                <c:pt idx="11">
                  <c:v>362</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175.97499999999999</c:v>
                </c:pt>
                <c:pt idx="10">
                  <c:v>41.665999999999997</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Dat_01!$C$346:$O$346</c:f>
              <c:numCache>
                <c:formatCode>#,##0.0</c:formatCode>
                <c:ptCount val="13"/>
                <c:pt idx="0">
                  <c:v>418.25</c:v>
                </c:pt>
                <c:pt idx="1">
                  <c:v>208.75</c:v>
                </c:pt>
                <c:pt idx="2">
                  <c:v>449.2</c:v>
                </c:pt>
                <c:pt idx="3">
                  <c:v>227.92500000000001</c:v>
                </c:pt>
                <c:pt idx="4">
                  <c:v>835.85</c:v>
                </c:pt>
                <c:pt idx="5">
                  <c:v>0</c:v>
                </c:pt>
                <c:pt idx="6">
                  <c:v>0</c:v>
                </c:pt>
                <c:pt idx="7">
                  <c:v>0</c:v>
                </c:pt>
                <c:pt idx="8">
                  <c:v>0</c:v>
                </c:pt>
                <c:pt idx="9">
                  <c:v>0</c:v>
                </c:pt>
                <c:pt idx="10">
                  <c:v>475</c:v>
                </c:pt>
                <c:pt idx="11">
                  <c:v>144.32499999999999</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Dat_01!$C$348:$O$348</c:f>
              <c:numCache>
                <c:formatCode>#,##0.0</c:formatCode>
                <c:ptCount val="13"/>
                <c:pt idx="0">
                  <c:v>0</c:v>
                </c:pt>
                <c:pt idx="1">
                  <c:v>3824.8</c:v>
                </c:pt>
                <c:pt idx="2">
                  <c:v>613.33299999999997</c:v>
                </c:pt>
                <c:pt idx="3">
                  <c:v>0</c:v>
                </c:pt>
                <c:pt idx="4">
                  <c:v>0</c:v>
                </c:pt>
                <c:pt idx="5">
                  <c:v>0</c:v>
                </c:pt>
                <c:pt idx="6">
                  <c:v>0</c:v>
                </c:pt>
                <c:pt idx="7">
                  <c:v>0</c:v>
                </c:pt>
                <c:pt idx="8">
                  <c:v>0</c:v>
                </c:pt>
                <c:pt idx="9">
                  <c:v>0</c:v>
                </c:pt>
                <c:pt idx="10">
                  <c:v>647.79999999999995</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Dat_01!$C$353:$O$353</c:f>
              <c:numCache>
                <c:formatCode>#,##0.0</c:formatCode>
                <c:ptCount val="13"/>
                <c:pt idx="0">
                  <c:v>708.4</c:v>
                </c:pt>
                <c:pt idx="1">
                  <c:v>1365.5</c:v>
                </c:pt>
                <c:pt idx="2">
                  <c:v>1312.25</c:v>
                </c:pt>
                <c:pt idx="3">
                  <c:v>1594.663</c:v>
                </c:pt>
                <c:pt idx="4">
                  <c:v>77.5</c:v>
                </c:pt>
                <c:pt idx="5">
                  <c:v>1846.75</c:v>
                </c:pt>
                <c:pt idx="6">
                  <c:v>717.66700000000003</c:v>
                </c:pt>
                <c:pt idx="7">
                  <c:v>13251.877</c:v>
                </c:pt>
                <c:pt idx="8">
                  <c:v>9849.2919999999995</c:v>
                </c:pt>
                <c:pt idx="9">
                  <c:v>4721.7749999999996</c:v>
                </c:pt>
                <c:pt idx="10">
                  <c:v>5129.95</c:v>
                </c:pt>
                <c:pt idx="11">
                  <c:v>2296.991</c:v>
                </c:pt>
                <c:pt idx="12">
                  <c:v>2105.7669999999998</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582.93753290100005</c:v>
                </c:pt>
                <c:pt idx="1">
                  <c:v>514.43905077429997</c:v>
                </c:pt>
                <c:pt idx="2">
                  <c:v>377.54791190890001</c:v>
                </c:pt>
                <c:pt idx="3">
                  <c:v>406.10943323570001</c:v>
                </c:pt>
                <c:pt idx="4">
                  <c:v>355.08184961889998</c:v>
                </c:pt>
                <c:pt idx="5">
                  <c:v>348.11719256369997</c:v>
                </c:pt>
                <c:pt idx="6">
                  <c:v>301.9047639058</c:v>
                </c:pt>
                <c:pt idx="7">
                  <c:v>300.40473139670002</c:v>
                </c:pt>
                <c:pt idx="8">
                  <c:v>248.4554459801</c:v>
                </c:pt>
                <c:pt idx="9">
                  <c:v>286.84197673390003</c:v>
                </c:pt>
                <c:pt idx="10">
                  <c:v>246.8257444621</c:v>
                </c:pt>
                <c:pt idx="11">
                  <c:v>294.65056971659999</c:v>
                </c:pt>
                <c:pt idx="12">
                  <c:v>306.26898012800001</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Dat_01!$D$454:$D$466</c:f>
              <c:numCache>
                <c:formatCode>0.00</c:formatCode>
                <c:ptCount val="13"/>
                <c:pt idx="0">
                  <c:v>142.07</c:v>
                </c:pt>
                <c:pt idx="1">
                  <c:v>128.70000000000002</c:v>
                </c:pt>
                <c:pt idx="2">
                  <c:v>117.14</c:v>
                </c:pt>
                <c:pt idx="3">
                  <c:v>101.16999999999999</c:v>
                </c:pt>
                <c:pt idx="4">
                  <c:v>73.09</c:v>
                </c:pt>
                <c:pt idx="5">
                  <c:v>135.41999999999999</c:v>
                </c:pt>
                <c:pt idx="6">
                  <c:v>91.899999999999991</c:v>
                </c:pt>
                <c:pt idx="7">
                  <c:v>74.070000000000007</c:v>
                </c:pt>
                <c:pt idx="8">
                  <c:v>74.231999999999999</c:v>
                </c:pt>
                <c:pt idx="9">
                  <c:v>93.62</c:v>
                </c:pt>
                <c:pt idx="10">
                  <c:v>90.89</c:v>
                </c:pt>
                <c:pt idx="11">
                  <c:v>97.02</c:v>
                </c:pt>
                <c:pt idx="12">
                  <c:v>104.16</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Dat_01!$E$454:$E$466</c:f>
              <c:numCache>
                <c:formatCode>0.00</c:formatCode>
                <c:ptCount val="13"/>
                <c:pt idx="0">
                  <c:v>8.9699999999999971</c:v>
                </c:pt>
                <c:pt idx="1">
                  <c:v>9.92</c:v>
                </c:pt>
                <c:pt idx="2">
                  <c:v>7.3</c:v>
                </c:pt>
                <c:pt idx="3">
                  <c:v>12.19</c:v>
                </c:pt>
                <c:pt idx="4">
                  <c:v>13.3</c:v>
                </c:pt>
                <c:pt idx="5">
                  <c:v>8.35</c:v>
                </c:pt>
                <c:pt idx="6">
                  <c:v>12.55</c:v>
                </c:pt>
                <c:pt idx="7">
                  <c:v>13.35</c:v>
                </c:pt>
                <c:pt idx="8">
                  <c:v>11.563000000000001</c:v>
                </c:pt>
                <c:pt idx="9">
                  <c:v>9.11</c:v>
                </c:pt>
                <c:pt idx="10">
                  <c:v>7.9399999999999977</c:v>
                </c:pt>
                <c:pt idx="11">
                  <c:v>7.99</c:v>
                </c:pt>
                <c:pt idx="12">
                  <c:v>8.8999999999999986</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Dat_01!$F$454:$F$466</c:f>
              <c:numCache>
                <c:formatCode>0.00</c:formatCode>
                <c:ptCount val="13"/>
                <c:pt idx="0">
                  <c:v>0.26</c:v>
                </c:pt>
                <c:pt idx="1">
                  <c:v>0.21</c:v>
                </c:pt>
                <c:pt idx="2">
                  <c:v>0.31</c:v>
                </c:pt>
                <c:pt idx="3">
                  <c:v>0.43</c:v>
                </c:pt>
                <c:pt idx="4">
                  <c:v>0.34</c:v>
                </c:pt>
                <c:pt idx="5">
                  <c:v>0.35</c:v>
                </c:pt>
                <c:pt idx="6">
                  <c:v>0.24</c:v>
                </c:pt>
                <c:pt idx="7">
                  <c:v>0.16</c:v>
                </c:pt>
                <c:pt idx="8">
                  <c:v>0.17100000000000001</c:v>
                </c:pt>
                <c:pt idx="9">
                  <c:v>0.19</c:v>
                </c:pt>
                <c:pt idx="10">
                  <c:v>0.33</c:v>
                </c:pt>
                <c:pt idx="11">
                  <c:v>0.19</c:v>
                </c:pt>
                <c:pt idx="12">
                  <c:v>0.18</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Dat_01!$G$454:$G$466</c:f>
              <c:numCache>
                <c:formatCode>0.00</c:formatCode>
                <c:ptCount val="13"/>
                <c:pt idx="0">
                  <c:v>64.97</c:v>
                </c:pt>
                <c:pt idx="1">
                  <c:v>22.46</c:v>
                </c:pt>
                <c:pt idx="2">
                  <c:v>7.1199999999999992</c:v>
                </c:pt>
                <c:pt idx="3">
                  <c:v>32.159999999999997</c:v>
                </c:pt>
                <c:pt idx="4">
                  <c:v>2.9</c:v>
                </c:pt>
                <c:pt idx="5">
                  <c:v>-0.71</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104.16</c:v>
                </c:pt>
                <c:pt idx="1">
                  <c:v>0.18</c:v>
                </c:pt>
                <c:pt idx="2">
                  <c:v>0</c:v>
                </c:pt>
                <c:pt idx="3">
                  <c:v>8.8999999999999986</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Dat_01!$B$82:$N$82</c:f>
              <c:numCache>
                <c:formatCode>#,##0.00</c:formatCode>
                <c:ptCount val="13"/>
                <c:pt idx="0">
                  <c:v>0.89</c:v>
                </c:pt>
                <c:pt idx="1">
                  <c:v>1.76</c:v>
                </c:pt>
                <c:pt idx="2">
                  <c:v>2.42</c:v>
                </c:pt>
                <c:pt idx="3">
                  <c:v>4.16</c:v>
                </c:pt>
                <c:pt idx="4">
                  <c:v>5.72</c:v>
                </c:pt>
                <c:pt idx="5">
                  <c:v>3.1</c:v>
                </c:pt>
                <c:pt idx="6">
                  <c:v>5.22</c:v>
                </c:pt>
                <c:pt idx="7">
                  <c:v>7.72</c:v>
                </c:pt>
                <c:pt idx="8">
                  <c:v>5.85</c:v>
                </c:pt>
                <c:pt idx="9">
                  <c:v>3.69</c:v>
                </c:pt>
                <c:pt idx="10">
                  <c:v>3.34</c:v>
                </c:pt>
                <c:pt idx="11">
                  <c:v>2.76</c:v>
                </c:pt>
                <c:pt idx="12">
                  <c:v>2.85</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Dat_01!$B$83:$N$83</c:f>
              <c:numCache>
                <c:formatCode>#,##0.00</c:formatCode>
                <c:ptCount val="13"/>
                <c:pt idx="0">
                  <c:v>5.0999999999999996</c:v>
                </c:pt>
                <c:pt idx="1">
                  <c:v>4.95</c:v>
                </c:pt>
                <c:pt idx="2">
                  <c:v>2.4300000000000002</c:v>
                </c:pt>
                <c:pt idx="3">
                  <c:v>4.99</c:v>
                </c:pt>
                <c:pt idx="4">
                  <c:v>4.63</c:v>
                </c:pt>
                <c:pt idx="5">
                  <c:v>3.47</c:v>
                </c:pt>
                <c:pt idx="6">
                  <c:v>3.66</c:v>
                </c:pt>
                <c:pt idx="7">
                  <c:v>2.38</c:v>
                </c:pt>
                <c:pt idx="8">
                  <c:v>2.5630000000000002</c:v>
                </c:pt>
                <c:pt idx="9">
                  <c:v>3.36</c:v>
                </c:pt>
                <c:pt idx="10">
                  <c:v>2.44</c:v>
                </c:pt>
                <c:pt idx="11">
                  <c:v>2.76</c:v>
                </c:pt>
                <c:pt idx="12">
                  <c:v>3.59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Dat_01!$B$84:$N$84</c:f>
              <c:numCache>
                <c:formatCode>#,##0.00</c:formatCode>
                <c:ptCount val="13"/>
                <c:pt idx="0">
                  <c:v>2.5299999999999998</c:v>
                </c:pt>
                <c:pt idx="1">
                  <c:v>3.0500000000000003</c:v>
                </c:pt>
                <c:pt idx="2">
                  <c:v>3.1999999999999997</c:v>
                </c:pt>
                <c:pt idx="3">
                  <c:v>3.1999999999999997</c:v>
                </c:pt>
                <c:pt idx="4">
                  <c:v>3.15</c:v>
                </c:pt>
                <c:pt idx="5">
                  <c:v>2.25</c:v>
                </c:pt>
                <c:pt idx="6">
                  <c:v>3.23</c:v>
                </c:pt>
                <c:pt idx="7">
                  <c:v>3.29</c:v>
                </c:pt>
                <c:pt idx="8">
                  <c:v>3.1899999999999995</c:v>
                </c:pt>
                <c:pt idx="9">
                  <c:v>2.2999999999999994</c:v>
                </c:pt>
                <c:pt idx="10">
                  <c:v>2.34</c:v>
                </c:pt>
                <c:pt idx="11">
                  <c:v>2.23</c:v>
                </c:pt>
                <c:pt idx="12">
                  <c:v>2.41</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Dat_01!$B$85:$N$85</c:f>
              <c:numCache>
                <c:formatCode>#,##0.00</c:formatCode>
                <c:ptCount val="13"/>
                <c:pt idx="0">
                  <c:v>-0.25</c:v>
                </c:pt>
                <c:pt idx="1">
                  <c:v>-0.34</c:v>
                </c:pt>
                <c:pt idx="2">
                  <c:v>-0.25</c:v>
                </c:pt>
                <c:pt idx="3">
                  <c:v>-0.32</c:v>
                </c:pt>
                <c:pt idx="4">
                  <c:v>-0.19</c:v>
                </c:pt>
                <c:pt idx="5">
                  <c:v>-0.25</c:v>
                </c:pt>
                <c:pt idx="6">
                  <c:v>-0.18</c:v>
                </c:pt>
                <c:pt idx="7">
                  <c:v>-0.18</c:v>
                </c:pt>
                <c:pt idx="8">
                  <c:v>-0.19</c:v>
                </c:pt>
                <c:pt idx="9">
                  <c:v>-0.31</c:v>
                </c:pt>
                <c:pt idx="10">
                  <c:v>-0.25</c:v>
                </c:pt>
                <c:pt idx="11">
                  <c:v>-0.3</c:v>
                </c:pt>
                <c:pt idx="12">
                  <c:v>-0.22</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Dat_01!$B$86:$N$86</c:f>
              <c:numCache>
                <c:formatCode>#,##0.00</c:formatCode>
                <c:ptCount val="13"/>
                <c:pt idx="0">
                  <c:v>0.7</c:v>
                </c:pt>
                <c:pt idx="1">
                  <c:v>0.72</c:v>
                </c:pt>
                <c:pt idx="2">
                  <c:v>0.46</c:v>
                </c:pt>
                <c:pt idx="3">
                  <c:v>0.72</c:v>
                </c:pt>
                <c:pt idx="4">
                  <c:v>0.55000000000000004</c:v>
                </c:pt>
                <c:pt idx="5">
                  <c:v>0.31</c:v>
                </c:pt>
                <c:pt idx="6">
                  <c:v>0.73</c:v>
                </c:pt>
                <c:pt idx="7">
                  <c:v>0.6</c:v>
                </c:pt>
                <c:pt idx="8">
                  <c:v>0.42</c:v>
                </c:pt>
                <c:pt idx="9">
                  <c:v>0.51</c:v>
                </c:pt>
                <c:pt idx="10">
                  <c:v>0.44</c:v>
                </c:pt>
                <c:pt idx="11">
                  <c:v>0.79</c:v>
                </c:pt>
                <c:pt idx="12">
                  <c:v>0.87</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Dat_01!$B$87:$N$87</c:f>
              <c:numCache>
                <c:formatCode>#,##0.00</c:formatCode>
                <c:ptCount val="13"/>
                <c:pt idx="0">
                  <c:v>0.04</c:v>
                </c:pt>
                <c:pt idx="1">
                  <c:v>-0.17</c:v>
                </c:pt>
                <c:pt idx="2">
                  <c:v>-0.25</c:v>
                </c:pt>
                <c:pt idx="3">
                  <c:v>0</c:v>
                </c:pt>
                <c:pt idx="4">
                  <c:v>0.01</c:v>
                </c:pt>
                <c:pt idx="5">
                  <c:v>0.11</c:v>
                </c:pt>
                <c:pt idx="6">
                  <c:v>0.17</c:v>
                </c:pt>
                <c:pt idx="7">
                  <c:v>-0.21</c:v>
                </c:pt>
                <c:pt idx="8">
                  <c:v>0.02</c:v>
                </c:pt>
                <c:pt idx="9">
                  <c:v>-0.08</c:v>
                </c:pt>
                <c:pt idx="10">
                  <c:v>-0.14000000000000001</c:v>
                </c:pt>
                <c:pt idx="11">
                  <c:v>0</c:v>
                </c:pt>
                <c:pt idx="12">
                  <c:v>7.0000000000000007E-2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Dat_01!$B$88:$N$88</c:f>
              <c:numCache>
                <c:formatCode>#,##0.00</c:formatCode>
                <c:ptCount val="13"/>
                <c:pt idx="0">
                  <c:v>-7.0000000000000007E-2</c:v>
                </c:pt>
                <c:pt idx="1">
                  <c:v>-0.08</c:v>
                </c:pt>
                <c:pt idx="2">
                  <c:v>-0.09</c:v>
                </c:pt>
                <c:pt idx="3">
                  <c:v>-0.08</c:v>
                </c:pt>
                <c:pt idx="4">
                  <c:v>-0.08</c:v>
                </c:pt>
                <c:pt idx="5">
                  <c:v>-0.08</c:v>
                </c:pt>
                <c:pt idx="6">
                  <c:v>-0.09</c:v>
                </c:pt>
                <c:pt idx="7">
                  <c:v>-0.09</c:v>
                </c:pt>
                <c:pt idx="8">
                  <c:v>-0.09</c:v>
                </c:pt>
                <c:pt idx="9">
                  <c:v>-0.09</c:v>
                </c:pt>
                <c:pt idx="10">
                  <c:v>-7.0000000000000007E-2</c:v>
                </c:pt>
                <c:pt idx="11">
                  <c:v>-0.08</c:v>
                </c:pt>
                <c:pt idx="12">
                  <c:v>-7.0000000000000007E-2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-0.64</c:v>
                </c:pt>
                <c:pt idx="3">
                  <c:v>-0.55000000000000004</c:v>
                </c:pt>
                <c:pt idx="4">
                  <c:v>-0.53</c:v>
                </c:pt>
                <c:pt idx="5">
                  <c:v>-0.56999999999999995</c:v>
                </c:pt>
                <c:pt idx="6">
                  <c:v>-0.24</c:v>
                </c:pt>
                <c:pt idx="7">
                  <c:v>-0.22</c:v>
                </c:pt>
                <c:pt idx="8">
                  <c:v>-0.25</c:v>
                </c:pt>
                <c:pt idx="9">
                  <c:v>-0.25</c:v>
                </c:pt>
                <c:pt idx="10">
                  <c:v>-0.2</c:v>
                </c:pt>
                <c:pt idx="11">
                  <c:v>-0.22</c:v>
                </c:pt>
                <c:pt idx="12">
                  <c:v>-0.65</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Dat_01!$B$90:$N$90</c:f>
              <c:numCache>
                <c:formatCode>0.00</c:formatCode>
                <c:ptCount val="13"/>
                <c:pt idx="0">
                  <c:v>0.03</c:v>
                </c:pt>
                <c:pt idx="1">
                  <c:v>0.03</c:v>
                </c:pt>
                <c:pt idx="2">
                  <c:v>0.02</c:v>
                </c:pt>
                <c:pt idx="3">
                  <c:v>7.0000000000000007E-2</c:v>
                </c:pt>
                <c:pt idx="4">
                  <c:v>0.04</c:v>
                </c:pt>
                <c:pt idx="5">
                  <c:v>0.01</c:v>
                </c:pt>
                <c:pt idx="6">
                  <c:v>0.05</c:v>
                </c:pt>
                <c:pt idx="7">
                  <c:v>0.06</c:v>
                </c:pt>
                <c:pt idx="8">
                  <c:v>0.05</c:v>
                </c:pt>
                <c:pt idx="9">
                  <c:v>-0.02</c:v>
                </c:pt>
                <c:pt idx="10">
                  <c:v>0.04</c:v>
                </c:pt>
                <c:pt idx="11">
                  <c:v>0.05</c:v>
                </c:pt>
                <c:pt idx="12">
                  <c:v>0.05</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Septiembre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795.11680000000001</c:v>
                </c:pt>
                <c:pt idx="1">
                  <c:v>412.77544799999998</c:v>
                </c:pt>
                <c:pt idx="2">
                  <c:v>323.27601099999998</c:v>
                </c:pt>
                <c:pt idx="3">
                  <c:v>364.77231899999998</c:v>
                </c:pt>
                <c:pt idx="4">
                  <c:v>275.45600000000002</c:v>
                </c:pt>
                <c:pt idx="5">
                  <c:v>81.478992000000005</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Septiembre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274.39049999999997</c:v>
                </c:pt>
                <c:pt idx="1">
                  <c:v>278.85276699999997</c:v>
                </c:pt>
                <c:pt idx="2">
                  <c:v>330.73074700000001</c:v>
                </c:pt>
                <c:pt idx="3">
                  <c:v>297.86868800000002</c:v>
                </c:pt>
                <c:pt idx="4">
                  <c:v>283.39524999999998</c:v>
                </c:pt>
                <c:pt idx="5">
                  <c:v>41.336744999999993</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Dat_01!$C$137:$O$137</c:f>
              <c:numCache>
                <c:formatCode>#,##0;\(#,##0\)</c:formatCode>
                <c:ptCount val="13"/>
                <c:pt idx="0">
                  <c:v>2508</c:v>
                </c:pt>
                <c:pt idx="1">
                  <c:v>55771</c:v>
                </c:pt>
                <c:pt idx="2">
                  <c:v>92910</c:v>
                </c:pt>
                <c:pt idx="3">
                  <c:v>82210</c:v>
                </c:pt>
                <c:pt idx="4">
                  <c:v>198667</c:v>
                </c:pt>
                <c:pt idx="5">
                  <c:v>158446.79999999999</c:v>
                </c:pt>
                <c:pt idx="6">
                  <c:v>205470</c:v>
                </c:pt>
                <c:pt idx="7">
                  <c:v>165579</c:v>
                </c:pt>
                <c:pt idx="8">
                  <c:v>194640</c:v>
                </c:pt>
                <c:pt idx="9">
                  <c:v>241510</c:v>
                </c:pt>
                <c:pt idx="10">
                  <c:v>184698</c:v>
                </c:pt>
                <c:pt idx="11">
                  <c:v>151988</c:v>
                </c:pt>
                <c:pt idx="12">
                  <c:v>180894</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Dat_01!$C$139:$O$139</c:f>
              <c:numCache>
                <c:formatCode>#,##0;\(#,##0\)</c:formatCode>
                <c:ptCount val="13"/>
                <c:pt idx="0">
                  <c:v>177724.1</c:v>
                </c:pt>
                <c:pt idx="1">
                  <c:v>250950.8</c:v>
                </c:pt>
                <c:pt idx="2">
                  <c:v>369242.3</c:v>
                </c:pt>
                <c:pt idx="3">
                  <c:v>505508.6</c:v>
                </c:pt>
                <c:pt idx="4">
                  <c:v>672278.9</c:v>
                </c:pt>
                <c:pt idx="5">
                  <c:v>448230.6</c:v>
                </c:pt>
                <c:pt idx="6">
                  <c:v>431456.4</c:v>
                </c:pt>
                <c:pt idx="7">
                  <c:v>574881.6</c:v>
                </c:pt>
                <c:pt idx="8">
                  <c:v>639265.9</c:v>
                </c:pt>
                <c:pt idx="9">
                  <c:v>518484.5</c:v>
                </c:pt>
                <c:pt idx="10">
                  <c:v>569012.5</c:v>
                </c:pt>
                <c:pt idx="11">
                  <c:v>524255.8</c:v>
                </c:pt>
                <c:pt idx="12">
                  <c:v>537393.30000000005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Dat_01!$C$143:$O$143</c:f>
              <c:numCache>
                <c:formatCode>#,##0;\(#,##0\)</c:formatCode>
                <c:ptCount val="13"/>
                <c:pt idx="0">
                  <c:v>0</c:v>
                </c:pt>
                <c:pt idx="1">
                  <c:v>0</c:v>
                </c:pt>
                <c:pt idx="2">
                  <c:v>0</c:v>
                </c:pt>
                <c:pt idx="3">
                  <c:v>0</c:v>
                </c:pt>
                <c:pt idx="4">
                  <c:v>0</c:v>
                </c:pt>
                <c:pt idx="5">
                  <c:v>0</c:v>
                </c:pt>
                <c:pt idx="6">
                  <c:v>0</c:v>
                </c:pt>
                <c:pt idx="7">
                  <c:v>0</c:v>
                </c:pt>
                <c:pt idx="8">
                  <c:v>701</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Dat_01!$C$146:$O$146</c:f>
              <c:numCache>
                <c:formatCode>#,##0;\(#,##0\)</c:formatCode>
                <c:ptCount val="13"/>
                <c:pt idx="0">
                  <c:v>4233</c:v>
                </c:pt>
                <c:pt idx="1">
                  <c:v>16354.2</c:v>
                </c:pt>
                <c:pt idx="2">
                  <c:v>0</c:v>
                </c:pt>
                <c:pt idx="3">
                  <c:v>3568.7</c:v>
                </c:pt>
                <c:pt idx="4">
                  <c:v>600</c:v>
                </c:pt>
                <c:pt idx="5">
                  <c:v>876</c:v>
                </c:pt>
                <c:pt idx="6">
                  <c:v>3844</c:v>
                </c:pt>
                <c:pt idx="7">
                  <c:v>7190</c:v>
                </c:pt>
                <c:pt idx="8">
                  <c:v>19503.3</c:v>
                </c:pt>
                <c:pt idx="9">
                  <c:v>20561.8</c:v>
                </c:pt>
                <c:pt idx="10">
                  <c:v>49075.9</c:v>
                </c:pt>
                <c:pt idx="11">
                  <c:v>30631.599999999999</c:v>
                </c:pt>
                <c:pt idx="12">
                  <c:v>4681.3</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Dat_01!$C$134:$O$134</c:f>
              <c:numCache>
                <c:formatCode>#,##0;\(#,##0\)</c:formatCode>
                <c:ptCount val="13"/>
                <c:pt idx="0">
                  <c:v>0</c:v>
                </c:pt>
                <c:pt idx="1">
                  <c:v>3609</c:v>
                </c:pt>
                <c:pt idx="2">
                  <c:v>0</c:v>
                </c:pt>
                <c:pt idx="3">
                  <c:v>0</c:v>
                </c:pt>
                <c:pt idx="4">
                  <c:v>167.2</c:v>
                </c:pt>
                <c:pt idx="5">
                  <c:v>0</c:v>
                </c:pt>
                <c:pt idx="6">
                  <c:v>0</c:v>
                </c:pt>
                <c:pt idx="7">
                  <c:v>954</c:v>
                </c:pt>
                <c:pt idx="8">
                  <c:v>0</c:v>
                </c:pt>
                <c:pt idx="9">
                  <c:v>350.1</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Dat_01!$C$144:$O$144</c:f>
              <c:numCache>
                <c:formatCode>#,##0;\(#,##0\)</c:formatCode>
                <c:ptCount val="13"/>
                <c:pt idx="0">
                  <c:v>52.5</c:v>
                </c:pt>
                <c:pt idx="1">
                  <c:v>27</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184.1020718417</c:v>
                </c:pt>
                <c:pt idx="1">
                  <c:v>195.19125945120001</c:v>
                </c:pt>
                <c:pt idx="2">
                  <c:v>191.23630298169999</c:v>
                </c:pt>
                <c:pt idx="3">
                  <c:v>191.06587897739999</c:v>
                </c:pt>
                <c:pt idx="4">
                  <c:v>192.84633039600001</c:v>
                </c:pt>
                <c:pt idx="5">
                  <c:v>204.4128831729</c:v>
                </c:pt>
                <c:pt idx="6">
                  <c:v>189.8800114428</c:v>
                </c:pt>
                <c:pt idx="7">
                  <c:v>182.0146293901</c:v>
                </c:pt>
                <c:pt idx="8">
                  <c:v>155.72205038769999</c:v>
                </c:pt>
                <c:pt idx="9">
                  <c:v>147.74014442149999</c:v>
                </c:pt>
                <c:pt idx="10">
                  <c:v>154.34322896969999</c:v>
                </c:pt>
                <c:pt idx="11">
                  <c:v>156.77560588750001</c:v>
                </c:pt>
                <c:pt idx="12">
                  <c:v>165.89159940740001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38168.9</c:v>
                </c:pt>
                <c:pt idx="1">
                  <c:v>7357.7</c:v>
                </c:pt>
                <c:pt idx="2">
                  <c:v>0</c:v>
                </c:pt>
                <c:pt idx="3">
                  <c:v>1594</c:v>
                </c:pt>
                <c:pt idx="4">
                  <c:v>0</c:v>
                </c:pt>
                <c:pt idx="5">
                  <c:v>2180.9</c:v>
                </c:pt>
                <c:pt idx="6">
                  <c:v>0</c:v>
                </c:pt>
                <c:pt idx="7">
                  <c:v>2280</c:v>
                </c:pt>
                <c:pt idx="8">
                  <c:v>0</c:v>
                </c:pt>
                <c:pt idx="9">
                  <c:v>5564.7</c:v>
                </c:pt>
                <c:pt idx="10">
                  <c:v>16258.4</c:v>
                </c:pt>
                <c:pt idx="11">
                  <c:v>22358.6</c:v>
                </c:pt>
                <c:pt idx="12">
                  <c:v>1223.5</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488.4</c:v>
                </c:pt>
                <c:pt idx="1">
                  <c:v>1214.8</c:v>
                </c:pt>
                <c:pt idx="2">
                  <c:v>195.2</c:v>
                </c:pt>
                <c:pt idx="3">
                  <c:v>466.5</c:v>
                </c:pt>
                <c:pt idx="4">
                  <c:v>5902.2</c:v>
                </c:pt>
                <c:pt idx="5">
                  <c:v>2937.8</c:v>
                </c:pt>
                <c:pt idx="6">
                  <c:v>18046.2</c:v>
                </c:pt>
                <c:pt idx="7">
                  <c:v>11810.8</c:v>
                </c:pt>
                <c:pt idx="8">
                  <c:v>17047.5</c:v>
                </c:pt>
                <c:pt idx="9">
                  <c:v>13323.5</c:v>
                </c:pt>
                <c:pt idx="10">
                  <c:v>19750</c:v>
                </c:pt>
                <c:pt idx="11">
                  <c:v>20882.5</c:v>
                </c:pt>
                <c:pt idx="12">
                  <c:v>6632.4</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26054.9</c:v>
                </c:pt>
                <c:pt idx="1">
                  <c:v>7240.9</c:v>
                </c:pt>
                <c:pt idx="2">
                  <c:v>11271.7</c:v>
                </c:pt>
                <c:pt idx="3">
                  <c:v>10201.799999999999</c:v>
                </c:pt>
                <c:pt idx="4">
                  <c:v>40924.6</c:v>
                </c:pt>
                <c:pt idx="5">
                  <c:v>30839.8</c:v>
                </c:pt>
                <c:pt idx="6">
                  <c:v>47159</c:v>
                </c:pt>
                <c:pt idx="7">
                  <c:v>43127.1</c:v>
                </c:pt>
                <c:pt idx="8">
                  <c:v>112869.5</c:v>
                </c:pt>
                <c:pt idx="9">
                  <c:v>59321.599999999999</c:v>
                </c:pt>
                <c:pt idx="10">
                  <c:v>65114.400000000001</c:v>
                </c:pt>
                <c:pt idx="11">
                  <c:v>113586.9</c:v>
                </c:pt>
                <c:pt idx="12">
                  <c:v>20209.7</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21.9</c:v>
                </c:pt>
                <c:pt idx="1">
                  <c:v>133.6</c:v>
                </c:pt>
                <c:pt idx="2">
                  <c:v>31.8</c:v>
                </c:pt>
                <c:pt idx="3">
                  <c:v>124.4</c:v>
                </c:pt>
                <c:pt idx="4">
                  <c:v>10096</c:v>
                </c:pt>
                <c:pt idx="5">
                  <c:v>1899.6</c:v>
                </c:pt>
                <c:pt idx="6">
                  <c:v>4513.5</c:v>
                </c:pt>
                <c:pt idx="7">
                  <c:v>1164.0999999999999</c:v>
                </c:pt>
                <c:pt idx="8">
                  <c:v>3513.3</c:v>
                </c:pt>
                <c:pt idx="9">
                  <c:v>487.1</c:v>
                </c:pt>
                <c:pt idx="10">
                  <c:v>2681.9</c:v>
                </c:pt>
                <c:pt idx="11">
                  <c:v>821.8</c:v>
                </c:pt>
                <c:pt idx="12">
                  <c:v>842.9</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466.4</c:v>
                </c:pt>
                <c:pt idx="1">
                  <c:v>501.7</c:v>
                </c:pt>
                <c:pt idx="2">
                  <c:v>43.5</c:v>
                </c:pt>
                <c:pt idx="3">
                  <c:v>68.400000000000006</c:v>
                </c:pt>
                <c:pt idx="4">
                  <c:v>2210.8000000000002</c:v>
                </c:pt>
                <c:pt idx="5">
                  <c:v>565.6</c:v>
                </c:pt>
                <c:pt idx="6">
                  <c:v>523.70000000000005</c:v>
                </c:pt>
                <c:pt idx="7">
                  <c:v>1123.7</c:v>
                </c:pt>
                <c:pt idx="8">
                  <c:v>2033.2</c:v>
                </c:pt>
                <c:pt idx="9">
                  <c:v>2690.6</c:v>
                </c:pt>
                <c:pt idx="10">
                  <c:v>4946</c:v>
                </c:pt>
                <c:pt idx="11">
                  <c:v>5978.7</c:v>
                </c:pt>
                <c:pt idx="12">
                  <c:v>1487.4</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541.20000000000005</c:v>
                </c:pt>
                <c:pt idx="5">
                  <c:v>0</c:v>
                </c:pt>
                <c:pt idx="6">
                  <c:v>0</c:v>
                </c:pt>
                <c:pt idx="7">
                  <c:v>0</c:v>
                </c:pt>
                <c:pt idx="8">
                  <c:v>0</c:v>
                </c:pt>
                <c:pt idx="9">
                  <c:v>340</c:v>
                </c:pt>
                <c:pt idx="10">
                  <c:v>396</c:v>
                </c:pt>
                <c:pt idx="11">
                  <c:v>1618</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19329.3</c:v>
                </c:pt>
                <c:pt idx="1">
                  <c:v>12900.5</c:v>
                </c:pt>
                <c:pt idx="2">
                  <c:v>327.2</c:v>
                </c:pt>
                <c:pt idx="3">
                  <c:v>144.30000000000001</c:v>
                </c:pt>
                <c:pt idx="4">
                  <c:v>397.2</c:v>
                </c:pt>
                <c:pt idx="5">
                  <c:v>1849.2</c:v>
                </c:pt>
                <c:pt idx="6">
                  <c:v>19900.599999999999</c:v>
                </c:pt>
                <c:pt idx="7">
                  <c:v>41530.199999999997</c:v>
                </c:pt>
                <c:pt idx="8">
                  <c:v>31386.799999999999</c:v>
                </c:pt>
                <c:pt idx="9">
                  <c:v>78205.899999999994</c:v>
                </c:pt>
                <c:pt idx="10">
                  <c:v>162175.4</c:v>
                </c:pt>
                <c:pt idx="11">
                  <c:v>30024.6</c:v>
                </c:pt>
                <c:pt idx="12">
                  <c:v>32267.599999999999</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4158.8999999999996</c:v>
                </c:pt>
                <c:pt idx="1">
                  <c:v>0</c:v>
                </c:pt>
                <c:pt idx="2">
                  <c:v>72.2</c:v>
                </c:pt>
                <c:pt idx="3">
                  <c:v>50.3</c:v>
                </c:pt>
                <c:pt idx="4">
                  <c:v>861</c:v>
                </c:pt>
                <c:pt idx="5">
                  <c:v>2802</c:v>
                </c:pt>
                <c:pt idx="6">
                  <c:v>2658.1</c:v>
                </c:pt>
                <c:pt idx="7">
                  <c:v>8077.8</c:v>
                </c:pt>
                <c:pt idx="8">
                  <c:v>12440.9</c:v>
                </c:pt>
                <c:pt idx="9">
                  <c:v>6474.7</c:v>
                </c:pt>
                <c:pt idx="10">
                  <c:v>30259.599999999999</c:v>
                </c:pt>
                <c:pt idx="11">
                  <c:v>2441</c:v>
                </c:pt>
                <c:pt idx="12">
                  <c:v>8109.1</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1184.2</c:v>
                </c:pt>
                <c:pt idx="1">
                  <c:v>280</c:v>
                </c:pt>
                <c:pt idx="2">
                  <c:v>190.9</c:v>
                </c:pt>
                <c:pt idx="3">
                  <c:v>5089.6000000000004</c:v>
                </c:pt>
                <c:pt idx="4">
                  <c:v>700</c:v>
                </c:pt>
                <c:pt idx="5">
                  <c:v>1100</c:v>
                </c:pt>
                <c:pt idx="6">
                  <c:v>0</c:v>
                </c:pt>
                <c:pt idx="7">
                  <c:v>3040.7</c:v>
                </c:pt>
                <c:pt idx="8">
                  <c:v>1549.6</c:v>
                </c:pt>
                <c:pt idx="9">
                  <c:v>234.9</c:v>
                </c:pt>
                <c:pt idx="10">
                  <c:v>0</c:v>
                </c:pt>
                <c:pt idx="11">
                  <c:v>100</c:v>
                </c:pt>
                <c:pt idx="12">
                  <c:v>800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111.1255023465</c:v>
                </c:pt>
                <c:pt idx="1">
                  <c:v>101.22938919880001</c:v>
                </c:pt>
                <c:pt idx="2">
                  <c:v>94.411558988699994</c:v>
                </c:pt>
                <c:pt idx="3">
                  <c:v>56.496821129499999</c:v>
                </c:pt>
                <c:pt idx="4">
                  <c:v>55.808575144199999</c:v>
                </c:pt>
                <c:pt idx="5">
                  <c:v>121.30800297730001</c:v>
                </c:pt>
                <c:pt idx="6">
                  <c:v>83.008551964299997</c:v>
                </c:pt>
                <c:pt idx="7">
                  <c:v>64.335214168600004</c:v>
                </c:pt>
                <c:pt idx="8">
                  <c:v>65.628185178500004</c:v>
                </c:pt>
                <c:pt idx="9">
                  <c:v>84.953372216100007</c:v>
                </c:pt>
                <c:pt idx="10">
                  <c:v>82.910978835199998</c:v>
                </c:pt>
                <c:pt idx="11">
                  <c:v>80.456917413799999</c:v>
                </c:pt>
                <c:pt idx="12">
                  <c:v>95.368364084600003</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Dat_01!$B$183:$N$183</c:f>
              <c:numCache>
                <c:formatCode>#,##0</c:formatCode>
                <c:ptCount val="13"/>
                <c:pt idx="0">
                  <c:v>816.21041666667497</c:v>
                </c:pt>
                <c:pt idx="1">
                  <c:v>822.82617449664997</c:v>
                </c:pt>
                <c:pt idx="2">
                  <c:v>823.95694444444996</c:v>
                </c:pt>
                <c:pt idx="3">
                  <c:v>816.37365591397497</c:v>
                </c:pt>
                <c:pt idx="4">
                  <c:v>820.97681451612505</c:v>
                </c:pt>
                <c:pt idx="5">
                  <c:v>826.22172619047501</c:v>
                </c:pt>
                <c:pt idx="6">
                  <c:v>823.77792732167495</c:v>
                </c:pt>
                <c:pt idx="7">
                  <c:v>823.60972222222495</c:v>
                </c:pt>
                <c:pt idx="8">
                  <c:v>822.85887096775002</c:v>
                </c:pt>
                <c:pt idx="9">
                  <c:v>823.94027777777501</c:v>
                </c:pt>
                <c:pt idx="10">
                  <c:v>824.27654569892502</c:v>
                </c:pt>
                <c:pt idx="11">
                  <c:v>824.01747311827501</c:v>
                </c:pt>
                <c:pt idx="12">
                  <c:v>822.56562499999995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41.529405645099999</c:v>
                </c:pt>
                <c:pt idx="1">
                  <c:v>46.999557160800002</c:v>
                </c:pt>
                <c:pt idx="2">
                  <c:v>41.981607207000003</c:v>
                </c:pt>
                <c:pt idx="3">
                  <c:v>45.468116266300001</c:v>
                </c:pt>
                <c:pt idx="4">
                  <c:v>47.575493661899998</c:v>
                </c:pt>
                <c:pt idx="5">
                  <c:v>30.057829753499998</c:v>
                </c:pt>
                <c:pt idx="6">
                  <c:v>49.5538082789</c:v>
                </c:pt>
                <c:pt idx="7">
                  <c:v>44.394119908699999</c:v>
                </c:pt>
                <c:pt idx="8">
                  <c:v>43.735089625000001</c:v>
                </c:pt>
                <c:pt idx="9">
                  <c:v>32.459359452100003</c:v>
                </c:pt>
                <c:pt idx="10">
                  <c:v>38.590141670100003</c:v>
                </c:pt>
                <c:pt idx="11">
                  <c:v>33.333024481199999</c:v>
                </c:pt>
                <c:pt idx="12">
                  <c:v>27.827466568599998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0.651</cdr:x>
      <cdr:y>0.93906</cdr:y>
    </cdr:from>
    <cdr:to>
      <cdr:x>0.74143</cdr:x>
      <cdr:y>1</cdr:y>
    </cdr:to>
    <cdr:sp macro="" textlink="">
      <cdr:nvSpPr>
        <cdr:cNvPr id="3" name="CuadroTexto 1"/>
        <cdr:cNvSpPr txBox="1"/>
      </cdr:nvSpPr>
      <cdr:spPr>
        <a:xfrm xmlns:a="http://schemas.openxmlformats.org/drawingml/2006/main">
          <a:off x="4827172" y="2690519"/>
          <a:ext cx="670535" cy="1746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0.20427</cdr:x>
      <cdr:y>0.93484</cdr:y>
    </cdr:from>
    <cdr:to>
      <cdr:x>0.28408</cdr:x>
      <cdr:y>1</cdr:y>
    </cdr:to>
    <cdr:sp macro="" textlink="">
      <cdr:nvSpPr>
        <cdr:cNvPr id="4" name="CuadroTexto 1"/>
        <cdr:cNvSpPr txBox="1"/>
      </cdr:nvSpPr>
      <cdr:spPr>
        <a:xfrm xmlns:a="http://schemas.openxmlformats.org/drawingml/2006/main">
          <a:off x="1514620"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451101</xdr:colOff>
      <xdr:row>20</xdr:row>
      <xdr:rowOff>29032</xdr:rowOff>
    </xdr:from>
    <xdr:to>
      <xdr:col>9</xdr:col>
      <xdr:colOff>6804</xdr:colOff>
      <xdr:row>21</xdr:row>
      <xdr:rowOff>22156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053805" y="3268828"/>
          <a:ext cx="359172" cy="15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0.33261</cdr:x>
      <cdr:y>0.14255</cdr:y>
    </cdr:from>
    <cdr:to>
      <cdr:x>0.33295</cdr:x>
      <cdr:y>0.84391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31855" y="364126"/>
          <a:ext cx="2589"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0.21737</cdr:x>
      <cdr:y>0.92593</cdr:y>
    </cdr:from>
    <cdr:to>
      <cdr:x>0.25613</cdr:x>
      <cdr:y>0.98737</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745462" y="2317186"/>
          <a:ext cx="311246"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0.33311</cdr:x>
      <cdr:y>0.06079</cdr:y>
    </cdr:from>
    <cdr:to>
      <cdr:x>0.33345</cdr:x>
      <cdr:y>0.76216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35714" y="153187"/>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0.33596</cdr:x>
      <cdr:y>0.12385</cdr:y>
    </cdr:from>
    <cdr:to>
      <cdr:x>0.3367</cdr:x>
      <cdr:y>0.8149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544259" y="293376"/>
          <a:ext cx="5604" cy="16369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0.6175</cdr:x>
      <cdr:y>0.87921</cdr:y>
    </cdr:from>
    <cdr:to>
      <cdr:x>0.6923</cdr:x>
      <cdr:y>0.9578</cdr:y>
    </cdr:to>
    <cdr:sp macro="" textlink="">
      <cdr:nvSpPr>
        <cdr:cNvPr id="4" name="CuadroTexto 1"/>
        <cdr:cNvSpPr txBox="1"/>
      </cdr:nvSpPr>
      <cdr:spPr>
        <a:xfrm xmlns:a="http://schemas.openxmlformats.org/drawingml/2006/main">
          <a:off x="4676463" y="2082693"/>
          <a:ext cx="566475" cy="1861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0.16531</cdr:x>
      <cdr:y>0.88253</cdr:y>
    </cdr:from>
    <cdr:to>
      <cdr:x>0.24011</cdr:x>
      <cdr:y>0.96112</cdr:y>
    </cdr:to>
    <cdr:sp macro="" textlink="">
      <cdr:nvSpPr>
        <cdr:cNvPr id="5" name="CuadroTexto 1"/>
        <cdr:cNvSpPr txBox="1"/>
      </cdr:nvSpPr>
      <cdr:spPr>
        <a:xfrm xmlns:a="http://schemas.openxmlformats.org/drawingml/2006/main">
          <a:off x="1251904" y="2090563"/>
          <a:ext cx="566476" cy="1861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0.33063</cdr:x>
      <cdr:y>0.03686</cdr:y>
    </cdr:from>
    <cdr:to>
      <cdr:x>0.3309</cdr:x>
      <cdr:y>0.86512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504210" y="64425"/>
          <a:ext cx="2045" cy="14474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0.33695</cdr:x>
      <cdr:y>0.11975</cdr:y>
    </cdr:from>
    <cdr:to>
      <cdr:x>0.33713</cdr:x>
      <cdr:y>0.81917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551756" y="286642"/>
          <a:ext cx="1363" cy="167418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0.61715</cdr:x>
      <cdr:y>0.8932</cdr:y>
    </cdr:from>
    <cdr:to>
      <cdr:x>0.69196</cdr:x>
      <cdr:y>0.97098</cdr:y>
    </cdr:to>
    <cdr:sp macro="" textlink="">
      <cdr:nvSpPr>
        <cdr:cNvPr id="4" name="CuadroTexto 1"/>
        <cdr:cNvSpPr txBox="1"/>
      </cdr:nvSpPr>
      <cdr:spPr>
        <a:xfrm xmlns:a="http://schemas.openxmlformats.org/drawingml/2006/main">
          <a:off x="4673836" y="2138019"/>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0.17515</cdr:x>
      <cdr:y>0.88838</cdr:y>
    </cdr:from>
    <cdr:to>
      <cdr:x>0.24994</cdr:x>
      <cdr:y>0.96616</cdr:y>
    </cdr:to>
    <cdr:sp macro="" textlink="">
      <cdr:nvSpPr>
        <cdr:cNvPr id="5" name="CuadroTexto 1"/>
        <cdr:cNvSpPr txBox="1"/>
      </cdr:nvSpPr>
      <cdr:spPr>
        <a:xfrm xmlns:a="http://schemas.openxmlformats.org/drawingml/2006/main">
          <a:off x="1326477" y="2126492"/>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0.33355</cdr:x>
      <cdr:y>0.01543</cdr:y>
    </cdr:from>
    <cdr:to>
      <cdr:x>0.33355</cdr:x>
      <cdr:y>0.86478</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2526356" y="27277"/>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0.33495</cdr:x>
      <cdr:y>0.0931</cdr:y>
    </cdr:from>
    <cdr:to>
      <cdr:x>0.33553</cdr:x>
      <cdr:y>0.80863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15206" y="238383"/>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0.33517</cdr:x>
      <cdr:y>0.16811</cdr:y>
    </cdr:from>
    <cdr:to>
      <cdr:x>0.33585</cdr:x>
      <cdr:y>0.85128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516858" y="446492"/>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0.6176</cdr:x>
      <cdr:y>0.92737</cdr:y>
    </cdr:from>
    <cdr:to>
      <cdr:x>0.6924</cdr:x>
      <cdr:y>0.99782</cdr:y>
    </cdr:to>
    <cdr:sp macro="" textlink="">
      <cdr:nvSpPr>
        <cdr:cNvPr id="4" name="CuadroTexto 1"/>
        <cdr:cNvSpPr txBox="1"/>
      </cdr:nvSpPr>
      <cdr:spPr>
        <a:xfrm xmlns:a="http://schemas.openxmlformats.org/drawingml/2006/main">
          <a:off x="4637680" y="2463017"/>
          <a:ext cx="561688" cy="187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0.1658</cdr:x>
      <cdr:y>0.92901</cdr:y>
    </cdr:from>
    <cdr:to>
      <cdr:x>0.24058</cdr:x>
      <cdr:y>0.99946</cdr:y>
    </cdr:to>
    <cdr:sp macro="" textlink="">
      <cdr:nvSpPr>
        <cdr:cNvPr id="5" name="CuadroTexto 1"/>
        <cdr:cNvSpPr txBox="1"/>
      </cdr:nvSpPr>
      <cdr:spPr>
        <a:xfrm xmlns:a="http://schemas.openxmlformats.org/drawingml/2006/main">
          <a:off x="1245052" y="2467375"/>
          <a:ext cx="561539"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0.33746</cdr:x>
      <cdr:y>0.07495</cdr:y>
    </cdr:from>
    <cdr:to>
      <cdr:x>0.33755</cdr:x>
      <cdr:y>0.69828</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556779" y="249597"/>
          <a:ext cx="682" cy="20757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0.33415</cdr:x>
      <cdr:y>0.09073</cdr:y>
    </cdr:from>
    <cdr:to>
      <cdr:x>0.33505</cdr:x>
      <cdr:y>0.84835</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531733" y="239132"/>
          <a:ext cx="6819" cy="1996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0.65484</cdr:x>
      <cdr:y>0.92231</cdr:y>
    </cdr:from>
    <cdr:to>
      <cdr:x>0.72964</cdr:x>
      <cdr:y>0.99277</cdr:y>
    </cdr:to>
    <cdr:sp macro="" textlink="">
      <cdr:nvSpPr>
        <cdr:cNvPr id="4" name="CuadroTexto 1"/>
        <cdr:cNvSpPr txBox="1"/>
      </cdr:nvSpPr>
      <cdr:spPr>
        <a:xfrm xmlns:a="http://schemas.openxmlformats.org/drawingml/2006/main">
          <a:off x="5188466" y="2383074"/>
          <a:ext cx="592661" cy="18205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0.20429</cdr:x>
      <cdr:y>0.90728</cdr:y>
    </cdr:from>
    <cdr:to>
      <cdr:x>0.27908</cdr:x>
      <cdr:y>0.97773</cdr:y>
    </cdr:to>
    <cdr:sp macro="" textlink="">
      <cdr:nvSpPr>
        <cdr:cNvPr id="5" name="CuadroTexto 1"/>
        <cdr:cNvSpPr txBox="1"/>
      </cdr:nvSpPr>
      <cdr:spPr>
        <a:xfrm xmlns:a="http://schemas.openxmlformats.org/drawingml/2006/main">
          <a:off x="1618607" y="2344237"/>
          <a:ext cx="592582" cy="182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0.54147</cdr:x>
      <cdr:y>0.18447</cdr:y>
    </cdr:from>
    <cdr:to>
      <cdr:x>0.67096</cdr:x>
      <cdr:y>0.24547</cdr:y>
    </cdr:to>
    <cdr:sp macro="" textlink="">
      <cdr:nvSpPr>
        <cdr:cNvPr id="2" name="Texto 7"/>
        <cdr:cNvSpPr txBox="1">
          <a:spLocks xmlns:a="http://schemas.openxmlformats.org/drawingml/2006/main" noChangeArrowheads="1"/>
        </cdr:cNvSpPr>
      </cdr:nvSpPr>
      <cdr:spPr bwMode="auto">
        <a:xfrm xmlns:a="http://schemas.openxmlformats.org/drawingml/2006/main">
          <a:off x="3053250" y="474411"/>
          <a:ext cx="730168" cy="1568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0.38874</cdr:x>
      <cdr:y>0.55457</cdr:y>
    </cdr:from>
    <cdr:to>
      <cdr:x>0.51824</cdr:x>
      <cdr:y>0.61556</cdr:y>
    </cdr:to>
    <cdr:sp macro="" textlink="">
      <cdr:nvSpPr>
        <cdr:cNvPr id="3" name="Texto 7"/>
        <cdr:cNvSpPr txBox="1">
          <a:spLocks xmlns:a="http://schemas.openxmlformats.org/drawingml/2006/main" noChangeArrowheads="1"/>
        </cdr:cNvSpPr>
      </cdr:nvSpPr>
      <cdr:spPr bwMode="auto">
        <a:xfrm xmlns:a="http://schemas.openxmlformats.org/drawingml/2006/main">
          <a:off x="2192048" y="1426213"/>
          <a:ext cx="730225" cy="15685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0.33281</cdr:x>
      <cdr:y>0.09432</cdr:y>
    </cdr:from>
    <cdr:to>
      <cdr:x>0.3348</cdr:x>
      <cdr:y>0.86016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0159" y="254532"/>
          <a:ext cx="14949" cy="206673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0.61679</cdr:x>
      <cdr:y>0.92954</cdr:y>
    </cdr:from>
    <cdr:to>
      <cdr:x>0.69251</cdr:x>
      <cdr:y>1</cdr:y>
    </cdr:to>
    <cdr:sp macro="" textlink="">
      <cdr:nvSpPr>
        <cdr:cNvPr id="4" name="CuadroTexto 1"/>
        <cdr:cNvSpPr txBox="1"/>
      </cdr:nvSpPr>
      <cdr:spPr>
        <a:xfrm xmlns:a="http://schemas.openxmlformats.org/drawingml/2006/main">
          <a:off x="4633422" y="2508507"/>
          <a:ext cx="568824" cy="1901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0.16927</cdr:x>
      <cdr:y>0.92126</cdr:y>
    </cdr:from>
    <cdr:to>
      <cdr:x>0.24498</cdr:x>
      <cdr:y>0.99171</cdr:y>
    </cdr:to>
    <cdr:sp macro="" textlink="">
      <cdr:nvSpPr>
        <cdr:cNvPr id="5" name="CuadroTexto 1"/>
        <cdr:cNvSpPr txBox="1"/>
      </cdr:nvSpPr>
      <cdr:spPr>
        <a:xfrm xmlns:a="http://schemas.openxmlformats.org/drawingml/2006/main">
          <a:off x="1271565" y="2486162"/>
          <a:ext cx="568748" cy="1901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0.33245</cdr:x>
      <cdr:y>0.02937</cdr:y>
    </cdr:from>
    <cdr:to>
      <cdr:x>0.33284</cdr:x>
      <cdr:y>0.79714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497417" y="77855"/>
          <a:ext cx="2930" cy="20353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0.32984</cdr:x>
      <cdr:y>0.09542</cdr:y>
    </cdr:from>
    <cdr:to>
      <cdr:x>0.33012</cdr:x>
      <cdr:y>0.76863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53965" y="284441"/>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0.61505</cdr:x>
      <cdr:y>0.92099</cdr:y>
    </cdr:from>
    <cdr:to>
      <cdr:x>0.69077</cdr:x>
      <cdr:y>0.99145</cdr:y>
    </cdr:to>
    <cdr:sp macro="" textlink="">
      <cdr:nvSpPr>
        <cdr:cNvPr id="4" name="CuadroTexto 1"/>
        <cdr:cNvSpPr txBox="1"/>
      </cdr:nvSpPr>
      <cdr:spPr>
        <a:xfrm xmlns:a="http://schemas.openxmlformats.org/drawingml/2006/main">
          <a:off x="4587671" y="2378702"/>
          <a:ext cx="564797"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0.16189</cdr:x>
      <cdr:y>0.92955</cdr:y>
    </cdr:from>
    <cdr:to>
      <cdr:x>0.2376</cdr:x>
      <cdr:y>1</cdr:y>
    </cdr:to>
    <cdr:sp macro="" textlink="">
      <cdr:nvSpPr>
        <cdr:cNvPr id="5" name="CuadroTexto 1"/>
        <cdr:cNvSpPr txBox="1"/>
      </cdr:nvSpPr>
      <cdr:spPr>
        <a:xfrm xmlns:a="http://schemas.openxmlformats.org/drawingml/2006/main">
          <a:off x="1207545"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0.3325</cdr:x>
      <cdr:y>0.18053</cdr:y>
    </cdr:from>
    <cdr:to>
      <cdr:x>0.33278</cdr:x>
      <cdr:y>0.85374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80123" y="466261"/>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0.35135</cdr:x>
      <cdr:y>0.19354</cdr:y>
    </cdr:from>
    <cdr:to>
      <cdr:x>0.35171</cdr:x>
      <cdr:y>0.87909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476508" y="593597"/>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0.22014</cdr:x>
      <cdr:y>0.92449</cdr:y>
    </cdr:from>
    <cdr:to>
      <cdr:x>0.29995</cdr:x>
      <cdr:y>0.98656</cdr:y>
    </cdr:to>
    <cdr:sp macro="" textlink="">
      <cdr:nvSpPr>
        <cdr:cNvPr id="4" name="CuadroTexto 1"/>
        <cdr:cNvSpPr txBox="1"/>
      </cdr:nvSpPr>
      <cdr:spPr>
        <a:xfrm xmlns:a="http://schemas.openxmlformats.org/drawingml/2006/main">
          <a:off x="1625056" y="2785543"/>
          <a:ext cx="589148"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0.65782</cdr:x>
      <cdr:y>0.92006</cdr:y>
    </cdr:from>
    <cdr:to>
      <cdr:x>0.73763</cdr:x>
      <cdr:y>0.98214</cdr:y>
    </cdr:to>
    <cdr:sp macro="" textlink="">
      <cdr:nvSpPr>
        <cdr:cNvPr id="5" name="CuadroTexto 1"/>
        <cdr:cNvSpPr txBox="1"/>
      </cdr:nvSpPr>
      <cdr:spPr>
        <a:xfrm xmlns:a="http://schemas.openxmlformats.org/drawingml/2006/main">
          <a:off x="4855947" y="2772195"/>
          <a:ext cx="589148"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0.66971</cdr:x>
      <cdr:y>0.92492</cdr:y>
    </cdr:from>
    <cdr:to>
      <cdr:x>0.74952</cdr:x>
      <cdr:y>0.98842</cdr:y>
    </cdr:to>
    <cdr:sp macro="" textlink="">
      <cdr:nvSpPr>
        <cdr:cNvPr id="4" name="CuadroTexto 1"/>
        <cdr:cNvSpPr txBox="1"/>
      </cdr:nvSpPr>
      <cdr:spPr>
        <a:xfrm xmlns:a="http://schemas.openxmlformats.org/drawingml/2006/main">
          <a:off x="4718888" y="2773345"/>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0.34958</cdr:x>
      <cdr:y>0.16315</cdr:y>
    </cdr:from>
    <cdr:to>
      <cdr:x>0.35242</cdr:x>
      <cdr:y>0.84627</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2463182" y="489190"/>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0.17346</cdr:x>
      <cdr:y>0.91898</cdr:y>
    </cdr:from>
    <cdr:to>
      <cdr:x>0.25327</cdr:x>
      <cdr:y>0.98248</cdr:y>
    </cdr:to>
    <cdr:sp macro="" textlink="">
      <cdr:nvSpPr>
        <cdr:cNvPr id="5" name="CuadroTexto 1"/>
        <cdr:cNvSpPr txBox="1"/>
      </cdr:nvSpPr>
      <cdr:spPr>
        <a:xfrm xmlns:a="http://schemas.openxmlformats.org/drawingml/2006/main">
          <a:off x="1222191" y="2755544"/>
          <a:ext cx="56235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2362200</xdr:colOff>
      <xdr:row>10</xdr:row>
      <xdr:rowOff>85725</xdr:rowOff>
    </xdr:from>
    <xdr:to>
      <xdr:col>4</xdr:col>
      <xdr:colOff>2371725</xdr:colOff>
      <xdr:row>22</xdr:row>
      <xdr:rowOff>28575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4229100" y="175260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338</v>
      </c>
    </row>
    <row r="2" spans="1:2">
      <c r="A2" t="s">
        <v>325</v>
      </c>
    </row>
    <row r="3" spans="1:2">
      <c r="A3" t="s">
        <v>332</v>
      </c>
    </row>
    <row r="4" spans="1:2">
      <c r="A4" t="s">
        <v>334</v>
      </c>
    </row>
    <row r="5" spans="1:2">
      <c r="A5" t="s">
        <v>333</v>
      </c>
    </row>
    <row r="6" spans="1:2">
      <c r="A6" t="s">
        <v>328</v>
      </c>
    </row>
    <row r="7" spans="1:2">
      <c r="A7" t="s">
        <v>329</v>
      </c>
    </row>
    <row r="8" spans="1:2">
      <c r="A8" t="s">
        <v>331</v>
      </c>
    </row>
    <row r="9" spans="1:2">
      <c r="A9" t="s">
        <v>335</v>
      </c>
    </row>
    <row r="10" spans="1:2">
      <c r="A10" t="s">
        <v>339</v>
      </c>
    </row>
    <row r="11" spans="1:2">
      <c r="A11" t="s">
        <v>327</v>
      </c>
    </row>
    <row r="12" spans="1:2">
      <c r="A12" t="s">
        <v>326</v>
      </c>
    </row>
    <row r="13" spans="1:2">
      <c r="A13" t="s">
        <v>330</v>
      </c>
    </row>
    <row r="14" spans="1:2">
      <c r="A14" t="s">
        <v>336</v>
      </c>
    </row>
    <row r="15" spans="1:2">
      <c r="A15" t="s">
        <v>337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P22" sqref="P2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Septiembre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8" t="s">
        <v>36</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8"/>
      <c r="F10" s="32"/>
      <c r="G10" s="32"/>
    </row>
    <row r="11" spans="2:38">
      <c r="B11" s="248"/>
      <c r="F11" s="32"/>
      <c r="G11" s="32"/>
    </row>
    <row r="12" spans="2:38" s="31" customFormat="1">
      <c r="B12" s="248"/>
      <c r="F12" s="32"/>
      <c r="G12" s="32"/>
    </row>
    <row r="13" spans="2:38">
      <c r="B13" s="248"/>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92" zoomScaleNormal="92" workbookViewId="0">
      <selection activeCell="P22" sqref="P2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Septiembre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8" t="s">
        <v>14</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8"/>
      <c r="F10" s="32"/>
      <c r="G10" s="32"/>
    </row>
    <row r="11" spans="2:37" s="31" customFormat="1">
      <c r="B11" s="248"/>
      <c r="F11" s="32"/>
      <c r="G11" s="32"/>
    </row>
    <row r="12" spans="2:37">
      <c r="B12" s="24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P22" sqref="P2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Septiembre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8" t="s">
        <v>50</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8"/>
      <c r="F10" s="32"/>
      <c r="G10" s="32"/>
    </row>
    <row r="11" spans="2:37" s="31" customFormat="1">
      <c r="B11" s="248"/>
      <c r="F11" s="32"/>
      <c r="G11" s="32"/>
    </row>
    <row r="12" spans="2:37">
      <c r="B12" s="24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P22" sqref="P2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Septiembre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P22" sqref="P2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Septiembre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8" t="s">
        <v>201</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1" t="s">
        <v>205</v>
      </c>
      <c r="D41" s="251"/>
      <c r="E41" s="251"/>
      <c r="F41" s="251"/>
      <c r="G41" s="251"/>
      <c r="H41" s="251"/>
      <c r="I41" s="251"/>
      <c r="J41" s="251"/>
      <c r="K41" s="251"/>
      <c r="L41" s="251"/>
      <c r="N41" s="68"/>
      <c r="Z41" s="68"/>
      <c r="AA41" s="68"/>
      <c r="AB41" s="73"/>
    </row>
    <row r="42" spans="1:28" ht="15">
      <c r="C42" s="251"/>
      <c r="D42" s="251"/>
      <c r="E42" s="251"/>
      <c r="F42" s="251"/>
      <c r="G42" s="251"/>
      <c r="H42" s="251"/>
      <c r="I42" s="251"/>
      <c r="J42" s="251"/>
      <c r="K42" s="251"/>
      <c r="L42" s="251"/>
      <c r="N42" s="68"/>
      <c r="Z42" s="68"/>
      <c r="AA42" s="68"/>
      <c r="AB42" s="73"/>
    </row>
    <row r="43" spans="1:28" ht="15">
      <c r="C43" s="162"/>
      <c r="D43" s="162"/>
      <c r="E43" s="162"/>
      <c r="F43" s="162"/>
      <c r="G43" s="162"/>
      <c r="H43" s="162"/>
      <c r="I43" s="162"/>
      <c r="J43" s="162"/>
      <c r="K43" s="162"/>
      <c r="L43" s="162"/>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P22" sqref="P22"/>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Septiembre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8" t="s">
        <v>202</v>
      </c>
      <c r="F7" s="32"/>
      <c r="G7" s="32"/>
      <c r="H7" s="33"/>
      <c r="I7" s="33"/>
      <c r="J7" s="33"/>
      <c r="K7" s="33"/>
      <c r="L7" s="33"/>
      <c r="M7" s="33"/>
      <c r="AB7" s="33"/>
      <c r="AC7" s="33"/>
      <c r="AD7" s="33"/>
      <c r="AE7" s="33"/>
      <c r="AF7" s="33"/>
      <c r="AG7" s="33"/>
      <c r="AH7" s="33"/>
      <c r="AI7" s="33"/>
      <c r="AJ7" s="33"/>
      <c r="AK7" s="33"/>
    </row>
    <row r="8" spans="2:37">
      <c r="B8" s="248"/>
      <c r="F8" s="32"/>
      <c r="G8" s="32"/>
      <c r="H8" s="33"/>
      <c r="I8" s="33"/>
      <c r="J8" s="33"/>
      <c r="K8" s="33"/>
      <c r="L8" s="33"/>
      <c r="M8" s="33"/>
      <c r="AB8" s="33"/>
      <c r="AC8" s="33"/>
      <c r="AD8" s="33"/>
      <c r="AE8" s="33"/>
      <c r="AF8" s="33"/>
      <c r="AG8" s="33"/>
      <c r="AH8" s="33"/>
      <c r="AI8" s="33"/>
      <c r="AJ8" s="33"/>
      <c r="AK8" s="33"/>
    </row>
    <row r="9" spans="2:37">
      <c r="B9" s="248"/>
      <c r="F9" s="32"/>
      <c r="G9" s="32"/>
    </row>
    <row r="10" spans="2:37" ht="16.5" customHeight="1">
      <c r="B10" s="248"/>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22" sqref="P2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Septiembre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8" t="s">
        <v>25</v>
      </c>
      <c r="F7" s="32"/>
      <c r="G7" s="32"/>
      <c r="H7" s="33"/>
      <c r="I7" s="33"/>
      <c r="J7" s="33"/>
      <c r="K7" s="33"/>
      <c r="L7" s="33"/>
      <c r="M7" s="33"/>
      <c r="AC7" s="33"/>
      <c r="AD7" s="33"/>
      <c r="AE7" s="33"/>
      <c r="AF7" s="33"/>
      <c r="AG7" s="33"/>
      <c r="AH7" s="33"/>
      <c r="AI7" s="33"/>
      <c r="AJ7" s="33"/>
      <c r="AK7" s="33"/>
      <c r="AL7" s="33"/>
    </row>
    <row r="8" spans="2:38">
      <c r="B8" s="248"/>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8"/>
      <c r="F10" s="32"/>
      <c r="G10" s="32"/>
    </row>
    <row r="11" spans="2:38" s="31" customFormat="1" ht="12.75" customHeight="1">
      <c r="B11" s="248"/>
      <c r="F11" s="32"/>
      <c r="G11" s="32"/>
    </row>
    <row r="12" spans="2:38" ht="12.75" customHeight="1">
      <c r="B12" s="24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A58" zoomScale="83" zoomScaleNormal="83" workbookViewId="0">
      <selection activeCell="G95" sqref="G95"/>
    </sheetView>
  </sheetViews>
  <sheetFormatPr baseColWidth="10" defaultColWidth="5.5703125" defaultRowHeight="12.75"/>
  <cols>
    <col min="1" max="15" width="14.7109375" customWidth="1"/>
    <col min="16" max="16" width="16" bestFit="1" customWidth="1"/>
    <col min="17" max="17" width="5.140625" bestFit="1" customWidth="1"/>
    <col min="18" max="25" width="5.7109375" bestFit="1" customWidth="1"/>
    <col min="26" max="26" width="8" bestFit="1" customWidth="1"/>
    <col min="27" max="27" width="8.28515625" bestFit="1" customWidth="1"/>
    <col min="28" max="28" width="10.140625" bestFit="1" customWidth="1"/>
    <col min="30" max="30" width="20.7109375" bestFit="1" customWidth="1"/>
    <col min="31" max="32" width="6.5703125" bestFit="1" customWidth="1"/>
    <col min="33" max="33" width="31.28515625" bestFit="1" customWidth="1"/>
    <col min="35" max="35" width="19.7109375" bestFit="1" customWidth="1"/>
    <col min="37" max="37" width="32" bestFit="1" customWidth="1"/>
    <col min="39" max="39" width="20.140625" bestFit="1" customWidth="1"/>
  </cols>
  <sheetData>
    <row r="1" spans="1:39" ht="14.25">
      <c r="A1" s="119" t="s">
        <v>131</v>
      </c>
    </row>
    <row r="2" spans="1:39" ht="14.25">
      <c r="A2" s="135" t="str">
        <f>MID(B5,6,LEN(B5))&amp;" "&amp;MID(B5,1,4)</f>
        <v>Septiembre 2023</v>
      </c>
      <c r="D2" s="66"/>
    </row>
    <row r="4" spans="1:39">
      <c r="A4" s="143" t="s">
        <v>28</v>
      </c>
      <c r="B4" s="258" t="s">
        <v>96</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row>
    <row r="5" spans="1:39">
      <c r="A5" s="143" t="s">
        <v>95</v>
      </c>
      <c r="B5" s="264" t="s">
        <v>324</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row>
    <row r="6" spans="1:39">
      <c r="A6" s="143" t="s">
        <v>123</v>
      </c>
      <c r="B6" s="245" t="s">
        <v>99</v>
      </c>
      <c r="C6" s="245" t="s">
        <v>100</v>
      </c>
      <c r="D6" s="245" t="s">
        <v>101</v>
      </c>
      <c r="E6" s="245" t="s">
        <v>102</v>
      </c>
      <c r="F6" s="245" t="s">
        <v>103</v>
      </c>
      <c r="G6" s="245" t="s">
        <v>104</v>
      </c>
      <c r="H6" s="245" t="s">
        <v>105</v>
      </c>
      <c r="I6" s="245" t="s">
        <v>106</v>
      </c>
      <c r="J6" s="245" t="s">
        <v>107</v>
      </c>
      <c r="K6" s="245" t="s">
        <v>108</v>
      </c>
      <c r="L6" s="245" t="s">
        <v>109</v>
      </c>
      <c r="M6" s="245" t="s">
        <v>110</v>
      </c>
      <c r="N6" s="245" t="s">
        <v>111</v>
      </c>
      <c r="O6" s="245" t="s">
        <v>112</v>
      </c>
      <c r="P6" s="245" t="s">
        <v>113</v>
      </c>
      <c r="Q6" s="245" t="s">
        <v>114</v>
      </c>
      <c r="R6" s="245" t="s">
        <v>115</v>
      </c>
      <c r="S6" s="245" t="s">
        <v>116</v>
      </c>
      <c r="T6" s="245" t="s">
        <v>117</v>
      </c>
      <c r="U6" s="245" t="s">
        <v>118</v>
      </c>
      <c r="V6" s="245" t="s">
        <v>119</v>
      </c>
      <c r="W6" s="245" t="s">
        <v>120</v>
      </c>
      <c r="X6" s="245" t="s">
        <v>121</v>
      </c>
      <c r="Y6" s="245" t="s">
        <v>122</v>
      </c>
      <c r="Z6" s="218" t="s">
        <v>97</v>
      </c>
      <c r="AA6" s="218" t="s">
        <v>98</v>
      </c>
      <c r="AB6" s="218" t="s">
        <v>270</v>
      </c>
      <c r="AC6" s="160" t="s">
        <v>215</v>
      </c>
    </row>
    <row r="7" spans="1:39">
      <c r="A7" s="143" t="s">
        <v>177</v>
      </c>
      <c r="B7" s="172"/>
      <c r="C7" s="172"/>
      <c r="D7" s="172"/>
      <c r="E7" s="172"/>
      <c r="F7" s="172"/>
      <c r="G7" s="172"/>
      <c r="H7" s="172"/>
      <c r="I7" s="172"/>
      <c r="J7" s="172"/>
      <c r="K7" s="172"/>
      <c r="L7" s="172"/>
      <c r="M7" s="172"/>
      <c r="N7" s="172"/>
      <c r="O7" s="172"/>
      <c r="P7" s="172"/>
      <c r="Q7" s="172"/>
      <c r="R7" s="172"/>
      <c r="S7" s="172"/>
      <c r="T7" s="172"/>
      <c r="U7" s="172"/>
      <c r="V7" s="172"/>
      <c r="W7" s="172"/>
      <c r="X7" s="172"/>
      <c r="Y7" s="172"/>
      <c r="Z7" s="219"/>
      <c r="AA7" s="219"/>
      <c r="AB7" s="219"/>
      <c r="AC7" s="161"/>
      <c r="AD7" t="s">
        <v>225</v>
      </c>
      <c r="AG7" t="s">
        <v>236</v>
      </c>
      <c r="AI7" t="s">
        <v>237</v>
      </c>
      <c r="AK7" t="s">
        <v>240</v>
      </c>
      <c r="AM7" t="s">
        <v>241</v>
      </c>
    </row>
    <row r="8" spans="1:39">
      <c r="A8" s="145" t="s">
        <v>294</v>
      </c>
      <c r="B8" s="222">
        <v>119.25</v>
      </c>
      <c r="C8" s="222">
        <v>116.25</v>
      </c>
      <c r="D8" s="222">
        <v>109.4</v>
      </c>
      <c r="E8" s="222">
        <v>109.4</v>
      </c>
      <c r="F8" s="222">
        <v>108.72</v>
      </c>
      <c r="G8" s="222">
        <v>109.4</v>
      </c>
      <c r="H8" s="222">
        <v>112.68</v>
      </c>
      <c r="I8" s="222">
        <v>115.46</v>
      </c>
      <c r="J8" s="222">
        <v>119.01</v>
      </c>
      <c r="K8" s="222">
        <v>111.25</v>
      </c>
      <c r="L8" s="222">
        <v>102.18</v>
      </c>
      <c r="M8" s="222">
        <v>96.52</v>
      </c>
      <c r="N8" s="222">
        <v>92.02</v>
      </c>
      <c r="O8" s="222">
        <v>88.9</v>
      </c>
      <c r="P8" s="222">
        <v>80.5</v>
      </c>
      <c r="Q8" s="222">
        <v>74.680000000000007</v>
      </c>
      <c r="R8" s="222">
        <v>74.459999999999994</v>
      </c>
      <c r="S8" s="222">
        <v>80.48</v>
      </c>
      <c r="T8" s="222">
        <v>107.91</v>
      </c>
      <c r="U8" s="222">
        <v>119.81</v>
      </c>
      <c r="V8" s="222">
        <v>126.73</v>
      </c>
      <c r="W8" s="222">
        <v>127.82</v>
      </c>
      <c r="X8" s="222">
        <v>118.56</v>
      </c>
      <c r="Y8" s="222">
        <v>117.75</v>
      </c>
      <c r="Z8" s="221">
        <v>74.459999999999994</v>
      </c>
      <c r="AA8" s="221">
        <v>127.82</v>
      </c>
      <c r="AB8" s="221">
        <v>103.9745206905</v>
      </c>
      <c r="AC8">
        <f t="shared" ref="AC8:AC38" si="0">DAY(A8)</f>
        <v>1</v>
      </c>
      <c r="AD8" s="192">
        <f>AVERAGE(B8:Y37)</f>
        <v>103.34044444444447</v>
      </c>
      <c r="AE8" s="209"/>
      <c r="AF8" s="207"/>
      <c r="AG8" s="202">
        <v>141.07</v>
      </c>
      <c r="AI8" s="207">
        <f>AD8/AG8-1</f>
        <v>-0.26745272244669682</v>
      </c>
      <c r="AK8" s="202">
        <v>96.05</v>
      </c>
      <c r="AM8" s="207">
        <f>AD8/AK8-1</f>
        <v>7.5902597027011742E-2</v>
      </c>
    </row>
    <row r="9" spans="1:39">
      <c r="A9" s="145" t="s">
        <v>295</v>
      </c>
      <c r="B9" s="222">
        <v>119.4</v>
      </c>
      <c r="C9" s="222">
        <v>105</v>
      </c>
      <c r="D9" s="222">
        <v>100</v>
      </c>
      <c r="E9" s="222">
        <v>94.28</v>
      </c>
      <c r="F9" s="222">
        <v>92.1</v>
      </c>
      <c r="G9" s="222">
        <v>94</v>
      </c>
      <c r="H9" s="222">
        <v>95.67</v>
      </c>
      <c r="I9" s="222">
        <v>101.09</v>
      </c>
      <c r="J9" s="222">
        <v>110</v>
      </c>
      <c r="K9" s="222">
        <v>115</v>
      </c>
      <c r="L9" s="222">
        <v>120</v>
      </c>
      <c r="M9" s="222">
        <v>94.28</v>
      </c>
      <c r="N9" s="222">
        <v>83.33</v>
      </c>
      <c r="O9" s="222">
        <v>83</v>
      </c>
      <c r="P9" s="222">
        <v>82.31</v>
      </c>
      <c r="Q9" s="222">
        <v>79.45</v>
      </c>
      <c r="R9" s="222">
        <v>80.010000000000005</v>
      </c>
      <c r="S9" s="222">
        <v>93.45</v>
      </c>
      <c r="T9" s="222">
        <v>110</v>
      </c>
      <c r="U9" s="222">
        <v>121.92</v>
      </c>
      <c r="V9" s="222">
        <v>126.96</v>
      </c>
      <c r="W9" s="222">
        <v>131.31</v>
      </c>
      <c r="X9" s="222">
        <v>120.01</v>
      </c>
      <c r="Y9" s="222">
        <v>103.42</v>
      </c>
      <c r="Z9" s="221">
        <v>79.45</v>
      </c>
      <c r="AA9" s="221">
        <v>131.31</v>
      </c>
      <c r="AB9" s="221">
        <v>101.8029101919</v>
      </c>
      <c r="AC9">
        <f t="shared" si="0"/>
        <v>2</v>
      </c>
      <c r="AD9" s="66"/>
    </row>
    <row r="10" spans="1:39">
      <c r="A10" s="145" t="s">
        <v>296</v>
      </c>
      <c r="B10" s="222">
        <v>105.28</v>
      </c>
      <c r="C10" s="222">
        <v>100</v>
      </c>
      <c r="D10" s="222">
        <v>88.3</v>
      </c>
      <c r="E10" s="222">
        <v>82</v>
      </c>
      <c r="F10" s="222">
        <v>79.959999999999994</v>
      </c>
      <c r="G10" s="222">
        <v>79.91</v>
      </c>
      <c r="H10" s="222">
        <v>80.31</v>
      </c>
      <c r="I10" s="222">
        <v>80</v>
      </c>
      <c r="J10" s="222">
        <v>80</v>
      </c>
      <c r="K10" s="222">
        <v>78</v>
      </c>
      <c r="L10" s="222">
        <v>60.3</v>
      </c>
      <c r="M10" s="216">
        <v>43.43</v>
      </c>
      <c r="N10" s="220">
        <v>21.37</v>
      </c>
      <c r="O10" s="220">
        <v>11.33</v>
      </c>
      <c r="P10" s="220">
        <v>4.9400000000000004</v>
      </c>
      <c r="Q10" s="220">
        <v>4.3</v>
      </c>
      <c r="R10" s="220">
        <v>4.3</v>
      </c>
      <c r="S10" s="220">
        <v>5</v>
      </c>
      <c r="T10" s="220">
        <v>20</v>
      </c>
      <c r="U10" s="222">
        <v>79.91</v>
      </c>
      <c r="V10" s="222">
        <v>102.43</v>
      </c>
      <c r="W10" s="222">
        <v>110.78</v>
      </c>
      <c r="X10" s="222">
        <v>103.37</v>
      </c>
      <c r="Y10" s="222">
        <v>95.12</v>
      </c>
      <c r="Z10" s="221">
        <v>4.3</v>
      </c>
      <c r="AA10" s="221">
        <v>110.78</v>
      </c>
      <c r="AB10" s="221">
        <v>55.849198872700001</v>
      </c>
      <c r="AC10">
        <f t="shared" si="0"/>
        <v>3</v>
      </c>
    </row>
    <row r="11" spans="1:39">
      <c r="A11" s="145" t="s">
        <v>297</v>
      </c>
      <c r="B11" s="222">
        <v>83.02</v>
      </c>
      <c r="C11" s="222">
        <v>71.75</v>
      </c>
      <c r="D11" s="222">
        <v>62.57</v>
      </c>
      <c r="E11" s="222">
        <v>54.8</v>
      </c>
      <c r="F11" s="222">
        <v>52.86</v>
      </c>
      <c r="G11" s="222">
        <v>55.04</v>
      </c>
      <c r="H11" s="222">
        <v>86</v>
      </c>
      <c r="I11" s="222">
        <v>114</v>
      </c>
      <c r="J11" s="222">
        <v>120.29</v>
      </c>
      <c r="K11" s="222">
        <v>109.36</v>
      </c>
      <c r="L11" s="222">
        <v>92.88</v>
      </c>
      <c r="M11" s="222">
        <v>82.07</v>
      </c>
      <c r="N11" s="222">
        <v>77.69</v>
      </c>
      <c r="O11" s="222">
        <v>70</v>
      </c>
      <c r="P11" s="222">
        <v>54.8</v>
      </c>
      <c r="Q11" s="222">
        <v>52.14</v>
      </c>
      <c r="R11" s="222">
        <v>52.52</v>
      </c>
      <c r="S11" s="222">
        <v>63.99</v>
      </c>
      <c r="T11" s="222">
        <v>98</v>
      </c>
      <c r="U11" s="222">
        <v>117.92</v>
      </c>
      <c r="V11" s="222">
        <v>138.33000000000001</v>
      </c>
      <c r="W11" s="222">
        <v>137.76</v>
      </c>
      <c r="X11" s="222">
        <v>121.7</v>
      </c>
      <c r="Y11" s="222">
        <v>115</v>
      </c>
      <c r="Z11" s="221">
        <v>52.14</v>
      </c>
      <c r="AA11" s="221">
        <v>138.33000000000001</v>
      </c>
      <c r="AB11" s="221">
        <v>86.809790540700007</v>
      </c>
      <c r="AC11">
        <f t="shared" si="0"/>
        <v>4</v>
      </c>
    </row>
    <row r="12" spans="1:39">
      <c r="A12" s="145" t="s">
        <v>298</v>
      </c>
      <c r="B12" s="222">
        <v>102.83</v>
      </c>
      <c r="C12" s="222">
        <v>89.5</v>
      </c>
      <c r="D12" s="222">
        <v>87.3</v>
      </c>
      <c r="E12" s="222">
        <v>86.2</v>
      </c>
      <c r="F12" s="222">
        <v>86.2</v>
      </c>
      <c r="G12" s="222">
        <v>87.55</v>
      </c>
      <c r="H12" s="222">
        <v>101.7</v>
      </c>
      <c r="I12" s="222">
        <v>119.02</v>
      </c>
      <c r="J12" s="222">
        <v>123.54</v>
      </c>
      <c r="K12" s="222">
        <v>107.68</v>
      </c>
      <c r="L12" s="222">
        <v>88.1</v>
      </c>
      <c r="M12" s="222">
        <v>85.05</v>
      </c>
      <c r="N12" s="222">
        <v>81.5</v>
      </c>
      <c r="O12" s="222">
        <v>80.31</v>
      </c>
      <c r="P12" s="222">
        <v>80.48</v>
      </c>
      <c r="Q12" s="222">
        <v>83</v>
      </c>
      <c r="R12" s="222">
        <v>88.51</v>
      </c>
      <c r="S12" s="222">
        <v>102.31</v>
      </c>
      <c r="T12" s="222">
        <v>116.94</v>
      </c>
      <c r="U12" s="222">
        <v>139.01</v>
      </c>
      <c r="V12" s="222">
        <v>149.22999999999999</v>
      </c>
      <c r="W12" s="222">
        <v>141.18</v>
      </c>
      <c r="X12" s="222">
        <v>137.76</v>
      </c>
      <c r="Y12" s="222">
        <v>126</v>
      </c>
      <c r="Z12" s="221">
        <v>80.31</v>
      </c>
      <c r="AA12" s="221">
        <v>149.22999999999999</v>
      </c>
      <c r="AB12" s="221">
        <v>103.7999098495</v>
      </c>
      <c r="AC12">
        <f t="shared" si="0"/>
        <v>5</v>
      </c>
    </row>
    <row r="13" spans="1:39">
      <c r="A13" s="145" t="s">
        <v>299</v>
      </c>
      <c r="B13" s="222">
        <v>117.62</v>
      </c>
      <c r="C13" s="222">
        <v>114.18</v>
      </c>
      <c r="D13" s="222">
        <v>107.01</v>
      </c>
      <c r="E13" s="222">
        <v>100.85</v>
      </c>
      <c r="F13" s="222">
        <v>100.08</v>
      </c>
      <c r="G13" s="222">
        <v>100.85</v>
      </c>
      <c r="H13" s="222">
        <v>105</v>
      </c>
      <c r="I13" s="222">
        <v>125.55</v>
      </c>
      <c r="J13" s="222">
        <v>121.93</v>
      </c>
      <c r="K13" s="222">
        <v>105</v>
      </c>
      <c r="L13" s="222">
        <v>88.65</v>
      </c>
      <c r="M13" s="222">
        <v>82.45</v>
      </c>
      <c r="N13" s="222">
        <v>79.97</v>
      </c>
      <c r="O13" s="222">
        <v>79.77</v>
      </c>
      <c r="P13" s="222">
        <v>79.27</v>
      </c>
      <c r="Q13" s="222">
        <v>82.5</v>
      </c>
      <c r="R13" s="222">
        <v>91.44</v>
      </c>
      <c r="S13" s="222">
        <v>105.87</v>
      </c>
      <c r="T13" s="222">
        <v>122.69</v>
      </c>
      <c r="U13" s="222">
        <v>133.57</v>
      </c>
      <c r="V13" s="222">
        <v>152.5</v>
      </c>
      <c r="W13" s="222">
        <v>135</v>
      </c>
      <c r="X13" s="222">
        <v>124.42</v>
      </c>
      <c r="Y13" s="222">
        <v>114.12</v>
      </c>
      <c r="Z13" s="221">
        <v>79.27</v>
      </c>
      <c r="AA13" s="221">
        <v>152.5</v>
      </c>
      <c r="AB13" s="221">
        <v>105.8690899799</v>
      </c>
      <c r="AC13">
        <f t="shared" si="0"/>
        <v>6</v>
      </c>
    </row>
    <row r="14" spans="1:39">
      <c r="A14" s="145" t="s">
        <v>300</v>
      </c>
      <c r="B14" s="222">
        <v>119.42</v>
      </c>
      <c r="C14" s="222">
        <v>110.42</v>
      </c>
      <c r="D14" s="222">
        <v>97.5</v>
      </c>
      <c r="E14" s="222">
        <v>93.5</v>
      </c>
      <c r="F14" s="222">
        <v>93</v>
      </c>
      <c r="G14" s="222">
        <v>93</v>
      </c>
      <c r="H14" s="222">
        <v>103.35</v>
      </c>
      <c r="I14" s="222">
        <v>130</v>
      </c>
      <c r="J14" s="222">
        <v>126</v>
      </c>
      <c r="K14" s="222">
        <v>113</v>
      </c>
      <c r="L14" s="222">
        <v>95</v>
      </c>
      <c r="M14" s="222">
        <v>86.72</v>
      </c>
      <c r="N14" s="222">
        <v>85</v>
      </c>
      <c r="O14" s="222">
        <v>83</v>
      </c>
      <c r="P14" s="222">
        <v>81.709999999999994</v>
      </c>
      <c r="Q14" s="222">
        <v>82</v>
      </c>
      <c r="R14" s="222">
        <v>88.3</v>
      </c>
      <c r="S14" s="222">
        <v>103.14</v>
      </c>
      <c r="T14" s="222">
        <v>115.49</v>
      </c>
      <c r="U14" s="222">
        <v>132.91999999999999</v>
      </c>
      <c r="V14" s="222">
        <v>146.75</v>
      </c>
      <c r="W14" s="222">
        <v>134</v>
      </c>
      <c r="X14" s="222">
        <v>130</v>
      </c>
      <c r="Y14" s="222">
        <v>127.1</v>
      </c>
      <c r="Z14" s="221">
        <v>81.709999999999994</v>
      </c>
      <c r="AA14" s="221">
        <v>146.75</v>
      </c>
      <c r="AB14" s="221">
        <v>106.2393075661</v>
      </c>
      <c r="AC14">
        <f t="shared" si="0"/>
        <v>7</v>
      </c>
    </row>
    <row r="15" spans="1:39">
      <c r="A15" s="145" t="s">
        <v>301</v>
      </c>
      <c r="B15" s="222">
        <v>117</v>
      </c>
      <c r="C15" s="222">
        <v>106.24</v>
      </c>
      <c r="D15" s="222">
        <v>98</v>
      </c>
      <c r="E15" s="222">
        <v>97.34</v>
      </c>
      <c r="F15" s="222">
        <v>94.54</v>
      </c>
      <c r="G15" s="222">
        <v>90.77</v>
      </c>
      <c r="H15" s="222">
        <v>103</v>
      </c>
      <c r="I15" s="222">
        <v>121.5</v>
      </c>
      <c r="J15" s="222">
        <v>122.47</v>
      </c>
      <c r="K15" s="222">
        <v>105</v>
      </c>
      <c r="L15" s="222">
        <v>90.4</v>
      </c>
      <c r="M15" s="222">
        <v>83.72</v>
      </c>
      <c r="N15" s="222">
        <v>82</v>
      </c>
      <c r="O15" s="222">
        <v>81.099999999999994</v>
      </c>
      <c r="P15" s="222">
        <v>80</v>
      </c>
      <c r="Q15" s="222">
        <v>80.23</v>
      </c>
      <c r="R15" s="222">
        <v>88.41</v>
      </c>
      <c r="S15" s="222">
        <v>106.85</v>
      </c>
      <c r="T15" s="222">
        <v>110.05</v>
      </c>
      <c r="U15" s="222">
        <v>124.18</v>
      </c>
      <c r="V15" s="222">
        <v>149.05000000000001</v>
      </c>
      <c r="W15" s="222">
        <v>132.08000000000001</v>
      </c>
      <c r="X15" s="222">
        <v>115.42</v>
      </c>
      <c r="Y15" s="222">
        <v>112.5</v>
      </c>
      <c r="Z15" s="221">
        <v>80</v>
      </c>
      <c r="AA15" s="221">
        <v>149.05000000000001</v>
      </c>
      <c r="AB15" s="221">
        <v>102.4845415265</v>
      </c>
      <c r="AC15">
        <f t="shared" si="0"/>
        <v>8</v>
      </c>
    </row>
    <row r="16" spans="1:39">
      <c r="A16" s="145" t="s">
        <v>302</v>
      </c>
      <c r="B16" s="222">
        <v>127.77</v>
      </c>
      <c r="C16" s="222">
        <v>117.42</v>
      </c>
      <c r="D16" s="222">
        <v>110.05</v>
      </c>
      <c r="E16" s="222">
        <v>100</v>
      </c>
      <c r="F16" s="222">
        <v>97.56</v>
      </c>
      <c r="G16" s="222">
        <v>97.56</v>
      </c>
      <c r="H16" s="222">
        <v>105</v>
      </c>
      <c r="I16" s="222">
        <v>103</v>
      </c>
      <c r="J16" s="222">
        <v>103</v>
      </c>
      <c r="K16" s="222">
        <v>89.77</v>
      </c>
      <c r="L16" s="222">
        <v>86</v>
      </c>
      <c r="M16" s="222">
        <v>80</v>
      </c>
      <c r="N16" s="222">
        <v>77.84</v>
      </c>
      <c r="O16" s="222">
        <v>73.5</v>
      </c>
      <c r="P16" s="222">
        <v>64.989999999999995</v>
      </c>
      <c r="Q16" s="222">
        <v>57.89</v>
      </c>
      <c r="R16" s="222">
        <v>78.8</v>
      </c>
      <c r="S16" s="222">
        <v>83</v>
      </c>
      <c r="T16" s="222">
        <v>101</v>
      </c>
      <c r="U16" s="222">
        <v>126.51</v>
      </c>
      <c r="V16" s="222">
        <v>137.66999999999999</v>
      </c>
      <c r="W16" s="222">
        <v>135.13</v>
      </c>
      <c r="X16" s="222">
        <v>134.31</v>
      </c>
      <c r="Y16" s="222">
        <v>129.03</v>
      </c>
      <c r="Z16" s="221">
        <v>57.89</v>
      </c>
      <c r="AA16" s="221">
        <v>137.66999999999999</v>
      </c>
      <c r="AB16" s="221">
        <v>98.292299549500001</v>
      </c>
      <c r="AC16">
        <f t="shared" si="0"/>
        <v>9</v>
      </c>
    </row>
    <row r="17" spans="1:29">
      <c r="A17" s="145" t="s">
        <v>303</v>
      </c>
      <c r="B17" s="222">
        <v>126.51</v>
      </c>
      <c r="C17" s="222">
        <v>115.43</v>
      </c>
      <c r="D17" s="222">
        <v>114.82</v>
      </c>
      <c r="E17" s="222">
        <v>113</v>
      </c>
      <c r="F17" s="222">
        <v>110.05</v>
      </c>
      <c r="G17" s="222">
        <v>101.73</v>
      </c>
      <c r="H17" s="222">
        <v>111.74</v>
      </c>
      <c r="I17" s="222">
        <v>111.74</v>
      </c>
      <c r="J17" s="222">
        <v>113</v>
      </c>
      <c r="K17" s="222">
        <v>101.73</v>
      </c>
      <c r="L17" s="222">
        <v>83.72</v>
      </c>
      <c r="M17" s="222">
        <v>79</v>
      </c>
      <c r="N17" s="222">
        <v>75</v>
      </c>
      <c r="O17" s="222">
        <v>75</v>
      </c>
      <c r="P17" s="222">
        <v>74</v>
      </c>
      <c r="Q17" s="222">
        <v>54</v>
      </c>
      <c r="R17" s="222">
        <v>79</v>
      </c>
      <c r="S17" s="222">
        <v>84</v>
      </c>
      <c r="T17" s="222">
        <v>101.73</v>
      </c>
      <c r="U17" s="222">
        <v>121.04</v>
      </c>
      <c r="V17" s="222">
        <v>129.94</v>
      </c>
      <c r="W17" s="222">
        <v>131.57</v>
      </c>
      <c r="X17" s="222">
        <v>126.51</v>
      </c>
      <c r="Y17" s="222">
        <v>115.43</v>
      </c>
      <c r="Z17" s="221">
        <v>54</v>
      </c>
      <c r="AA17" s="221">
        <v>131.57</v>
      </c>
      <c r="AB17" s="221">
        <v>99.491058799599998</v>
      </c>
      <c r="AC17">
        <f t="shared" si="0"/>
        <v>10</v>
      </c>
    </row>
    <row r="18" spans="1:29">
      <c r="A18" s="145" t="s">
        <v>304</v>
      </c>
      <c r="B18" s="222">
        <v>120</v>
      </c>
      <c r="C18" s="222">
        <v>117.89</v>
      </c>
      <c r="D18" s="222">
        <v>108.01</v>
      </c>
      <c r="E18" s="222">
        <v>110.78</v>
      </c>
      <c r="F18" s="222">
        <v>112.42</v>
      </c>
      <c r="G18" s="222">
        <v>114.18</v>
      </c>
      <c r="H18" s="222">
        <v>125.3</v>
      </c>
      <c r="I18" s="222">
        <v>129.16</v>
      </c>
      <c r="J18" s="222">
        <v>136.44</v>
      </c>
      <c r="K18" s="222">
        <v>127.42</v>
      </c>
      <c r="L18" s="222">
        <v>117.78</v>
      </c>
      <c r="M18" s="222">
        <v>99</v>
      </c>
      <c r="N18" s="222">
        <v>93.97</v>
      </c>
      <c r="O18" s="222">
        <v>92</v>
      </c>
      <c r="P18" s="222">
        <v>90</v>
      </c>
      <c r="Q18" s="222">
        <v>92.53</v>
      </c>
      <c r="R18" s="222">
        <v>100.18</v>
      </c>
      <c r="S18" s="222">
        <v>117.89</v>
      </c>
      <c r="T18" s="222">
        <v>120</v>
      </c>
      <c r="U18" s="222">
        <v>132.24</v>
      </c>
      <c r="V18" s="222">
        <v>147.30000000000001</v>
      </c>
      <c r="W18" s="222">
        <v>148.80000000000001</v>
      </c>
      <c r="X18" s="222">
        <v>131.41</v>
      </c>
      <c r="Y18" s="222">
        <v>121.8</v>
      </c>
      <c r="Z18" s="221">
        <v>90</v>
      </c>
      <c r="AA18" s="221">
        <v>148.80000000000001</v>
      </c>
      <c r="AB18" s="221">
        <v>115.9334994993</v>
      </c>
      <c r="AC18">
        <f t="shared" si="0"/>
        <v>11</v>
      </c>
    </row>
    <row r="19" spans="1:29">
      <c r="A19" s="145" t="s">
        <v>305</v>
      </c>
      <c r="B19" s="222">
        <v>119.7</v>
      </c>
      <c r="C19" s="222">
        <v>110.78</v>
      </c>
      <c r="D19" s="222">
        <v>112.19</v>
      </c>
      <c r="E19" s="222">
        <v>110.01</v>
      </c>
      <c r="F19" s="222">
        <v>107.91</v>
      </c>
      <c r="G19" s="222">
        <v>112.19</v>
      </c>
      <c r="H19" s="222">
        <v>119.09</v>
      </c>
      <c r="I19" s="222">
        <v>135.13</v>
      </c>
      <c r="J19" s="222">
        <v>140.78</v>
      </c>
      <c r="K19" s="222">
        <v>123.22</v>
      </c>
      <c r="L19" s="222">
        <v>115.65</v>
      </c>
      <c r="M19" s="222">
        <v>101.59</v>
      </c>
      <c r="N19" s="222">
        <v>98.14</v>
      </c>
      <c r="O19" s="222">
        <v>97.2</v>
      </c>
      <c r="P19" s="222">
        <v>97.2</v>
      </c>
      <c r="Q19" s="222">
        <v>99.9</v>
      </c>
      <c r="R19" s="222">
        <v>107.91</v>
      </c>
      <c r="S19" s="222">
        <v>117.31</v>
      </c>
      <c r="T19" s="222">
        <v>121.2</v>
      </c>
      <c r="U19" s="222">
        <v>135.71</v>
      </c>
      <c r="V19" s="222">
        <v>147.47</v>
      </c>
      <c r="W19" s="222">
        <v>137.51</v>
      </c>
      <c r="X19" s="222">
        <v>121.91</v>
      </c>
      <c r="Y19" s="222">
        <v>110.05</v>
      </c>
      <c r="Z19" s="221">
        <v>97.2</v>
      </c>
      <c r="AA19" s="221">
        <v>147.47</v>
      </c>
      <c r="AB19" s="221">
        <v>115.91102818100001</v>
      </c>
      <c r="AC19">
        <f t="shared" si="0"/>
        <v>12</v>
      </c>
    </row>
    <row r="20" spans="1:29">
      <c r="A20" s="145" t="s">
        <v>306</v>
      </c>
      <c r="B20" s="222">
        <v>114.18</v>
      </c>
      <c r="C20" s="222">
        <v>100</v>
      </c>
      <c r="D20" s="222">
        <v>97.89</v>
      </c>
      <c r="E20" s="222">
        <v>93.84</v>
      </c>
      <c r="F20" s="222">
        <v>93</v>
      </c>
      <c r="G20" s="222">
        <v>93.21</v>
      </c>
      <c r="H20" s="222">
        <v>107.18</v>
      </c>
      <c r="I20" s="222">
        <v>123.27</v>
      </c>
      <c r="J20" s="222">
        <v>137.5</v>
      </c>
      <c r="K20" s="222">
        <v>124.91</v>
      </c>
      <c r="L20" s="222">
        <v>103.21</v>
      </c>
      <c r="M20" s="222">
        <v>96.86</v>
      </c>
      <c r="N20" s="222">
        <v>94.97</v>
      </c>
      <c r="O20" s="222">
        <v>93</v>
      </c>
      <c r="P20" s="222">
        <v>91.76</v>
      </c>
      <c r="Q20" s="222">
        <v>90.55</v>
      </c>
      <c r="R20" s="222">
        <v>91.93</v>
      </c>
      <c r="S20" s="222">
        <v>100.27</v>
      </c>
      <c r="T20" s="222">
        <v>116.87</v>
      </c>
      <c r="U20" s="222">
        <v>130.01</v>
      </c>
      <c r="V20" s="222">
        <v>137.5</v>
      </c>
      <c r="W20" s="222">
        <v>133.47999999999999</v>
      </c>
      <c r="X20" s="222">
        <v>126.13</v>
      </c>
      <c r="Y20" s="222">
        <v>114.18</v>
      </c>
      <c r="Z20" s="221">
        <v>90.55</v>
      </c>
      <c r="AA20" s="221">
        <v>137.5</v>
      </c>
      <c r="AB20" s="221">
        <v>107.8062401233</v>
      </c>
      <c r="AC20">
        <f t="shared" si="0"/>
        <v>13</v>
      </c>
    </row>
    <row r="21" spans="1:29">
      <c r="A21" s="145" t="s">
        <v>307</v>
      </c>
      <c r="B21" s="222">
        <v>96.3</v>
      </c>
      <c r="C21" s="222">
        <v>93.21</v>
      </c>
      <c r="D21" s="222">
        <v>89.51</v>
      </c>
      <c r="E21" s="222">
        <v>90.1</v>
      </c>
      <c r="F21" s="222">
        <v>90.2</v>
      </c>
      <c r="G21" s="222">
        <v>93.21</v>
      </c>
      <c r="H21" s="222">
        <v>114.35</v>
      </c>
      <c r="I21" s="222">
        <v>125</v>
      </c>
      <c r="J21" s="222">
        <v>127.77</v>
      </c>
      <c r="K21" s="222">
        <v>120.43</v>
      </c>
      <c r="L21" s="222">
        <v>96.82</v>
      </c>
      <c r="M21" s="222">
        <v>90.87</v>
      </c>
      <c r="N21" s="222">
        <v>88.99</v>
      </c>
      <c r="O21" s="222">
        <v>89</v>
      </c>
      <c r="P21" s="222">
        <v>89.2</v>
      </c>
      <c r="Q21" s="222">
        <v>89.2</v>
      </c>
      <c r="R21" s="222">
        <v>94</v>
      </c>
      <c r="S21" s="222">
        <v>94.68</v>
      </c>
      <c r="T21" s="222">
        <v>121.1</v>
      </c>
      <c r="U21" s="222">
        <v>131.44</v>
      </c>
      <c r="V21" s="222">
        <v>145.91</v>
      </c>
      <c r="W21" s="222">
        <v>132.22</v>
      </c>
      <c r="X21" s="222">
        <v>126.41</v>
      </c>
      <c r="Y21" s="222">
        <v>125</v>
      </c>
      <c r="Z21" s="221">
        <v>88.99</v>
      </c>
      <c r="AA21" s="221">
        <v>145.91</v>
      </c>
      <c r="AB21" s="221">
        <v>105.87618043259999</v>
      </c>
      <c r="AC21">
        <f t="shared" si="0"/>
        <v>14</v>
      </c>
    </row>
    <row r="22" spans="1:29">
      <c r="A22" s="145" t="s">
        <v>308</v>
      </c>
      <c r="B22" s="222">
        <v>119.32</v>
      </c>
      <c r="C22" s="222">
        <v>110</v>
      </c>
      <c r="D22" s="222">
        <v>103.52</v>
      </c>
      <c r="E22" s="222">
        <v>103.32</v>
      </c>
      <c r="F22" s="222">
        <v>103.52</v>
      </c>
      <c r="G22" s="222">
        <v>104.04</v>
      </c>
      <c r="H22" s="222">
        <v>122.25</v>
      </c>
      <c r="I22" s="222">
        <v>126.23</v>
      </c>
      <c r="J22" s="222">
        <v>125.07</v>
      </c>
      <c r="K22" s="222">
        <v>124.19</v>
      </c>
      <c r="L22" s="222">
        <v>124.92</v>
      </c>
      <c r="M22" s="222">
        <v>122.69</v>
      </c>
      <c r="N22" s="222">
        <v>121.22</v>
      </c>
      <c r="O22" s="222">
        <v>109.18</v>
      </c>
      <c r="P22" s="222">
        <v>99.22</v>
      </c>
      <c r="Q22" s="222">
        <v>94.75</v>
      </c>
      <c r="R22" s="222">
        <v>96.16</v>
      </c>
      <c r="S22" s="222">
        <v>108.29</v>
      </c>
      <c r="T22" s="222">
        <v>118.97</v>
      </c>
      <c r="U22" s="222">
        <v>124</v>
      </c>
      <c r="V22" s="222">
        <v>130.5</v>
      </c>
      <c r="W22" s="222">
        <v>130.5</v>
      </c>
      <c r="X22" s="222">
        <v>124.19</v>
      </c>
      <c r="Y22" s="222">
        <v>123</v>
      </c>
      <c r="Z22" s="221">
        <v>94.75</v>
      </c>
      <c r="AA22" s="221">
        <v>130.5</v>
      </c>
      <c r="AB22" s="221">
        <v>115.3528302372</v>
      </c>
      <c r="AC22">
        <f t="shared" si="0"/>
        <v>15</v>
      </c>
    </row>
    <row r="23" spans="1:29">
      <c r="A23" s="145" t="s">
        <v>309</v>
      </c>
      <c r="B23" s="222">
        <v>120.95</v>
      </c>
      <c r="C23" s="222">
        <v>118.59</v>
      </c>
      <c r="D23" s="222">
        <v>114.21</v>
      </c>
      <c r="E23" s="222">
        <v>100.53</v>
      </c>
      <c r="F23" s="222">
        <v>100</v>
      </c>
      <c r="G23" s="222">
        <v>92</v>
      </c>
      <c r="H23" s="222">
        <v>100</v>
      </c>
      <c r="I23" s="222">
        <v>100.53</v>
      </c>
      <c r="J23" s="222">
        <v>103</v>
      </c>
      <c r="K23" s="222">
        <v>99.84</v>
      </c>
      <c r="L23" s="222">
        <v>85.72</v>
      </c>
      <c r="M23" s="222">
        <v>80</v>
      </c>
      <c r="N23" s="222">
        <v>76.23</v>
      </c>
      <c r="O23" s="222">
        <v>76.23</v>
      </c>
      <c r="P23" s="222">
        <v>73.41</v>
      </c>
      <c r="Q23" s="222">
        <v>74.459999999999994</v>
      </c>
      <c r="R23" s="222">
        <v>76</v>
      </c>
      <c r="S23" s="222">
        <v>81.680000000000007</v>
      </c>
      <c r="T23" s="222">
        <v>103</v>
      </c>
      <c r="U23" s="222">
        <v>118.59</v>
      </c>
      <c r="V23" s="222">
        <v>121.57</v>
      </c>
      <c r="W23" s="222">
        <v>122.69</v>
      </c>
      <c r="X23" s="222">
        <v>119.61</v>
      </c>
      <c r="Y23" s="222">
        <v>115</v>
      </c>
      <c r="Z23" s="221">
        <v>73.41</v>
      </c>
      <c r="AA23" s="221">
        <v>122.69</v>
      </c>
      <c r="AB23" s="221">
        <v>97.569855687599997</v>
      </c>
      <c r="AC23">
        <f t="shared" si="0"/>
        <v>16</v>
      </c>
    </row>
    <row r="24" spans="1:29">
      <c r="A24" s="145" t="s">
        <v>310</v>
      </c>
      <c r="B24" s="222">
        <v>113.23</v>
      </c>
      <c r="C24" s="222">
        <v>105.23</v>
      </c>
      <c r="D24" s="222">
        <v>87.55</v>
      </c>
      <c r="E24" s="222">
        <v>79.05</v>
      </c>
      <c r="F24" s="222">
        <v>77.91</v>
      </c>
      <c r="G24" s="222">
        <v>77.75</v>
      </c>
      <c r="H24" s="222">
        <v>79.05</v>
      </c>
      <c r="I24" s="222">
        <v>79.33</v>
      </c>
      <c r="J24" s="222">
        <v>78.510000000000005</v>
      </c>
      <c r="K24" s="222">
        <v>70.010000000000005</v>
      </c>
      <c r="L24" s="222">
        <v>50.23</v>
      </c>
      <c r="M24" s="220">
        <v>20</v>
      </c>
      <c r="N24" s="220">
        <v>5</v>
      </c>
      <c r="O24" s="220">
        <v>4.08</v>
      </c>
      <c r="P24" s="220">
        <v>4.3</v>
      </c>
      <c r="Q24" s="220">
        <v>4.3</v>
      </c>
      <c r="R24" s="220">
        <v>4.3</v>
      </c>
      <c r="S24" s="220">
        <v>4.3</v>
      </c>
      <c r="T24" s="222">
        <v>46.17</v>
      </c>
      <c r="U24" s="222">
        <v>90</v>
      </c>
      <c r="V24" s="222">
        <v>122.69</v>
      </c>
      <c r="W24" s="222">
        <v>118.25</v>
      </c>
      <c r="X24" s="222">
        <v>110.05</v>
      </c>
      <c r="Y24" s="222">
        <v>99.18</v>
      </c>
      <c r="Z24" s="221">
        <v>4.08</v>
      </c>
      <c r="AA24" s="221">
        <v>122.69</v>
      </c>
      <c r="AB24" s="221">
        <v>55.161422074000001</v>
      </c>
      <c r="AC24">
        <f t="shared" si="0"/>
        <v>17</v>
      </c>
    </row>
    <row r="25" spans="1:29">
      <c r="A25" s="145" t="s">
        <v>311</v>
      </c>
      <c r="B25" s="222">
        <v>85</v>
      </c>
      <c r="C25" s="222">
        <v>82.51</v>
      </c>
      <c r="D25" s="222">
        <v>81.73</v>
      </c>
      <c r="E25" s="222">
        <v>80.2</v>
      </c>
      <c r="F25" s="222">
        <v>81.73</v>
      </c>
      <c r="G25" s="222">
        <v>83.5</v>
      </c>
      <c r="H25" s="222">
        <v>106.96</v>
      </c>
      <c r="I25" s="222">
        <v>125.4</v>
      </c>
      <c r="J25" s="222">
        <v>129</v>
      </c>
      <c r="K25" s="222">
        <v>125.23</v>
      </c>
      <c r="L25" s="222">
        <v>109.1</v>
      </c>
      <c r="M25" s="222">
        <v>90.1</v>
      </c>
      <c r="N25" s="222">
        <v>88.19</v>
      </c>
      <c r="O25" s="222">
        <v>86.5</v>
      </c>
      <c r="P25" s="222">
        <v>85</v>
      </c>
      <c r="Q25" s="222">
        <v>85</v>
      </c>
      <c r="R25" s="222">
        <v>86.5</v>
      </c>
      <c r="S25" s="222">
        <v>106.96</v>
      </c>
      <c r="T25" s="222">
        <v>123.91</v>
      </c>
      <c r="U25" s="222">
        <v>129.22</v>
      </c>
      <c r="V25" s="222">
        <v>149.05000000000001</v>
      </c>
      <c r="W25" s="222">
        <v>164.12</v>
      </c>
      <c r="X25" s="222">
        <v>129.22</v>
      </c>
      <c r="Y25" s="222">
        <v>125.25</v>
      </c>
      <c r="Z25" s="221">
        <v>80.2</v>
      </c>
      <c r="AA25" s="221">
        <v>164.12</v>
      </c>
      <c r="AB25" s="221">
        <v>106.4726328949</v>
      </c>
      <c r="AC25">
        <f t="shared" si="0"/>
        <v>18</v>
      </c>
    </row>
    <row r="26" spans="1:29">
      <c r="A26" s="145" t="s">
        <v>312</v>
      </c>
      <c r="B26" s="222">
        <v>129.22</v>
      </c>
      <c r="C26" s="222">
        <v>123.91</v>
      </c>
      <c r="D26" s="222">
        <v>114.08</v>
      </c>
      <c r="E26" s="222">
        <v>109.5</v>
      </c>
      <c r="F26" s="222">
        <v>104</v>
      </c>
      <c r="G26" s="222">
        <v>106</v>
      </c>
      <c r="H26" s="222">
        <v>122</v>
      </c>
      <c r="I26" s="222">
        <v>129.22</v>
      </c>
      <c r="J26" s="222">
        <v>129.82</v>
      </c>
      <c r="K26" s="222">
        <v>114.69</v>
      </c>
      <c r="L26" s="222">
        <v>93.93</v>
      </c>
      <c r="M26" s="222">
        <v>90</v>
      </c>
      <c r="N26" s="222">
        <v>89</v>
      </c>
      <c r="O26" s="222">
        <v>89</v>
      </c>
      <c r="P26" s="222">
        <v>86</v>
      </c>
      <c r="Q26" s="222">
        <v>85.51</v>
      </c>
      <c r="R26" s="222">
        <v>86.5</v>
      </c>
      <c r="S26" s="222">
        <v>89</v>
      </c>
      <c r="T26" s="222">
        <v>99.99</v>
      </c>
      <c r="U26" s="222">
        <v>120</v>
      </c>
      <c r="V26" s="222">
        <v>140</v>
      </c>
      <c r="W26" s="222">
        <v>143</v>
      </c>
      <c r="X26" s="222">
        <v>129.22</v>
      </c>
      <c r="Y26" s="222">
        <v>114.08</v>
      </c>
      <c r="Z26" s="221">
        <v>85.51</v>
      </c>
      <c r="AA26" s="221">
        <v>143</v>
      </c>
      <c r="AB26" s="221">
        <v>108.1833385673</v>
      </c>
      <c r="AC26">
        <f t="shared" si="0"/>
        <v>19</v>
      </c>
    </row>
    <row r="27" spans="1:29">
      <c r="A27" s="145" t="s">
        <v>313</v>
      </c>
      <c r="B27" s="222">
        <v>110.77</v>
      </c>
      <c r="C27" s="222">
        <v>98.15</v>
      </c>
      <c r="D27" s="222">
        <v>109.13</v>
      </c>
      <c r="E27" s="222">
        <v>103.5</v>
      </c>
      <c r="F27" s="222">
        <v>101.83</v>
      </c>
      <c r="G27" s="222">
        <v>101.88</v>
      </c>
      <c r="H27" s="222">
        <v>110.77</v>
      </c>
      <c r="I27" s="222">
        <v>115.73</v>
      </c>
      <c r="J27" s="222">
        <v>116.61</v>
      </c>
      <c r="K27" s="222">
        <v>114.94</v>
      </c>
      <c r="L27" s="222">
        <v>103.5</v>
      </c>
      <c r="M27" s="222">
        <v>82.5</v>
      </c>
      <c r="N27" s="222">
        <v>81</v>
      </c>
      <c r="O27" s="222">
        <v>76.41</v>
      </c>
      <c r="P27" s="222">
        <v>60</v>
      </c>
      <c r="Q27" s="216">
        <v>40</v>
      </c>
      <c r="R27" s="216">
        <v>35</v>
      </c>
      <c r="S27" s="222">
        <v>60.91</v>
      </c>
      <c r="T27" s="222">
        <v>81.73</v>
      </c>
      <c r="U27" s="222">
        <v>112.94</v>
      </c>
      <c r="V27" s="222">
        <v>115.45</v>
      </c>
      <c r="W27" s="222">
        <v>114.94</v>
      </c>
      <c r="X27" s="222">
        <v>110</v>
      </c>
      <c r="Y27" s="222">
        <v>89.99</v>
      </c>
      <c r="Z27" s="221">
        <v>35</v>
      </c>
      <c r="AA27" s="221">
        <v>116.61</v>
      </c>
      <c r="AB27" s="221">
        <v>90.266558406800002</v>
      </c>
      <c r="AC27">
        <f t="shared" si="0"/>
        <v>20</v>
      </c>
    </row>
    <row r="28" spans="1:29">
      <c r="A28" s="145" t="s">
        <v>314</v>
      </c>
      <c r="B28" s="222">
        <v>78.569999999999993</v>
      </c>
      <c r="C28" s="222">
        <v>76.97</v>
      </c>
      <c r="D28" s="222">
        <v>73.77</v>
      </c>
      <c r="E28" s="222">
        <v>72.88</v>
      </c>
      <c r="F28" s="222">
        <v>70</v>
      </c>
      <c r="G28" s="222">
        <v>71.11</v>
      </c>
      <c r="H28" s="222">
        <v>77.569999999999993</v>
      </c>
      <c r="I28" s="222">
        <v>110.11</v>
      </c>
      <c r="J28" s="222">
        <v>115.82</v>
      </c>
      <c r="K28" s="222">
        <v>106</v>
      </c>
      <c r="L28" s="222">
        <v>102.13</v>
      </c>
      <c r="M28" s="222">
        <v>92.83</v>
      </c>
      <c r="N28" s="222">
        <v>88.31</v>
      </c>
      <c r="O28" s="222">
        <v>82.27</v>
      </c>
      <c r="P28" s="222">
        <v>77.569999999999993</v>
      </c>
      <c r="Q28" s="222">
        <v>77</v>
      </c>
      <c r="R28" s="222">
        <v>77.37</v>
      </c>
      <c r="S28" s="222">
        <v>89</v>
      </c>
      <c r="T28" s="222">
        <v>102</v>
      </c>
      <c r="U28" s="222">
        <v>119.53</v>
      </c>
      <c r="V28" s="222">
        <v>121.38</v>
      </c>
      <c r="W28" s="222">
        <v>119.68</v>
      </c>
      <c r="X28" s="222">
        <v>108.65</v>
      </c>
      <c r="Y28" s="222">
        <v>100</v>
      </c>
      <c r="Z28" s="221">
        <v>70</v>
      </c>
      <c r="AA28" s="221">
        <v>121.38</v>
      </c>
      <c r="AB28" s="221">
        <v>91.957217430200004</v>
      </c>
      <c r="AC28">
        <f t="shared" si="0"/>
        <v>21</v>
      </c>
    </row>
    <row r="29" spans="1:29">
      <c r="A29" s="145" t="s">
        <v>315</v>
      </c>
      <c r="B29" s="222">
        <v>103.83</v>
      </c>
      <c r="C29" s="222">
        <v>94</v>
      </c>
      <c r="D29" s="222">
        <v>94</v>
      </c>
      <c r="E29" s="222">
        <v>92.22</v>
      </c>
      <c r="F29" s="222">
        <v>90</v>
      </c>
      <c r="G29" s="222">
        <v>102</v>
      </c>
      <c r="H29" s="222">
        <v>111.33</v>
      </c>
      <c r="I29" s="222">
        <v>121.23</v>
      </c>
      <c r="J29" s="222">
        <v>125</v>
      </c>
      <c r="K29" s="222">
        <v>118.13</v>
      </c>
      <c r="L29" s="222">
        <v>99.64</v>
      </c>
      <c r="M29" s="222">
        <v>90.93</v>
      </c>
      <c r="N29" s="222">
        <v>85.65</v>
      </c>
      <c r="O29" s="222">
        <v>77.11</v>
      </c>
      <c r="P29" s="222">
        <v>70.77</v>
      </c>
      <c r="Q29" s="222">
        <v>71.41</v>
      </c>
      <c r="R29" s="222">
        <v>76.91</v>
      </c>
      <c r="S29" s="222">
        <v>78.66</v>
      </c>
      <c r="T29" s="222">
        <v>105</v>
      </c>
      <c r="U29" s="222">
        <v>121.27</v>
      </c>
      <c r="V29" s="222">
        <v>133.59</v>
      </c>
      <c r="W29" s="222">
        <v>130</v>
      </c>
      <c r="X29" s="222">
        <v>122</v>
      </c>
      <c r="Y29" s="222">
        <v>120.51</v>
      </c>
      <c r="Z29" s="221">
        <v>70.77</v>
      </c>
      <c r="AA29" s="221">
        <v>133.59</v>
      </c>
      <c r="AB29" s="221">
        <v>99.558978550800006</v>
      </c>
      <c r="AC29">
        <f t="shared" si="0"/>
        <v>22</v>
      </c>
    </row>
    <row r="30" spans="1:29">
      <c r="A30" s="145" t="s">
        <v>316</v>
      </c>
      <c r="B30" s="222">
        <v>121.95</v>
      </c>
      <c r="C30" s="222">
        <v>121.23</v>
      </c>
      <c r="D30" s="222">
        <v>120.35</v>
      </c>
      <c r="E30" s="222">
        <v>120.35</v>
      </c>
      <c r="F30" s="222">
        <v>120.35</v>
      </c>
      <c r="G30" s="222">
        <v>118.5</v>
      </c>
      <c r="H30" s="222">
        <v>120.51</v>
      </c>
      <c r="I30" s="222">
        <v>122.4</v>
      </c>
      <c r="J30" s="222">
        <v>121.95</v>
      </c>
      <c r="K30" s="222">
        <v>112</v>
      </c>
      <c r="L30" s="222">
        <v>90.75</v>
      </c>
      <c r="M30" s="222">
        <v>84.9</v>
      </c>
      <c r="N30" s="222">
        <v>79.89</v>
      </c>
      <c r="O30" s="222">
        <v>70.55</v>
      </c>
      <c r="P30" s="222">
        <v>60</v>
      </c>
      <c r="Q30" s="222">
        <v>72.010000000000005</v>
      </c>
      <c r="R30" s="222">
        <v>78.23</v>
      </c>
      <c r="S30" s="222">
        <v>87.55</v>
      </c>
      <c r="T30" s="222">
        <v>117.82</v>
      </c>
      <c r="U30" s="222">
        <v>139.63999999999999</v>
      </c>
      <c r="V30" s="222">
        <v>145</v>
      </c>
      <c r="W30" s="222">
        <v>150.82</v>
      </c>
      <c r="X30" s="222">
        <v>136.1</v>
      </c>
      <c r="Y30" s="222">
        <v>128</v>
      </c>
      <c r="Z30" s="221">
        <v>60</v>
      </c>
      <c r="AA30" s="221">
        <v>150.82</v>
      </c>
      <c r="AB30" s="221">
        <v>106.76798243650001</v>
      </c>
      <c r="AC30">
        <f t="shared" si="0"/>
        <v>23</v>
      </c>
    </row>
    <row r="31" spans="1:29">
      <c r="A31" s="145" t="s">
        <v>317</v>
      </c>
      <c r="B31" s="222">
        <v>136.1</v>
      </c>
      <c r="C31" s="222">
        <v>124.96</v>
      </c>
      <c r="D31" s="222">
        <v>121.57</v>
      </c>
      <c r="E31" s="222">
        <v>119.78</v>
      </c>
      <c r="F31" s="222">
        <v>114.82</v>
      </c>
      <c r="G31" s="222">
        <v>114.82</v>
      </c>
      <c r="H31" s="222">
        <v>120.35</v>
      </c>
      <c r="I31" s="222">
        <v>120.35</v>
      </c>
      <c r="J31" s="222">
        <v>106.7</v>
      </c>
      <c r="K31" s="222">
        <v>76.2</v>
      </c>
      <c r="L31" s="220">
        <v>1.06</v>
      </c>
      <c r="M31" s="220">
        <v>0.85</v>
      </c>
      <c r="N31" s="223">
        <v>0</v>
      </c>
      <c r="O31" s="223">
        <v>0</v>
      </c>
      <c r="P31" s="223">
        <v>0</v>
      </c>
      <c r="Q31" s="223">
        <v>0</v>
      </c>
      <c r="R31" s="220">
        <v>3.54</v>
      </c>
      <c r="S31" s="220">
        <v>24.99</v>
      </c>
      <c r="T31" s="222">
        <v>85.2</v>
      </c>
      <c r="U31" s="222">
        <v>129.47</v>
      </c>
      <c r="V31" s="222">
        <v>143</v>
      </c>
      <c r="W31" s="222">
        <v>160.51</v>
      </c>
      <c r="X31" s="222">
        <v>146.11000000000001</v>
      </c>
      <c r="Y31" s="222">
        <v>141.91999999999999</v>
      </c>
      <c r="Z31" s="221">
        <v>0</v>
      </c>
      <c r="AA31" s="221">
        <v>160.51</v>
      </c>
      <c r="AB31" s="221">
        <v>69.923375686900002</v>
      </c>
      <c r="AC31">
        <f t="shared" si="0"/>
        <v>24</v>
      </c>
    </row>
    <row r="32" spans="1:29">
      <c r="A32" s="145" t="s">
        <v>318</v>
      </c>
      <c r="B32" s="222">
        <v>127</v>
      </c>
      <c r="C32" s="222">
        <v>114.88</v>
      </c>
      <c r="D32" s="222">
        <v>114.62</v>
      </c>
      <c r="E32" s="222">
        <v>114.62</v>
      </c>
      <c r="F32" s="222">
        <v>114.62</v>
      </c>
      <c r="G32" s="222">
        <v>119.01</v>
      </c>
      <c r="H32" s="222">
        <v>131.76</v>
      </c>
      <c r="I32" s="222">
        <v>139.15</v>
      </c>
      <c r="J32" s="222">
        <v>143</v>
      </c>
      <c r="K32" s="222">
        <v>133.16999999999999</v>
      </c>
      <c r="L32" s="222">
        <v>97.07</v>
      </c>
      <c r="M32" s="222">
        <v>89.01</v>
      </c>
      <c r="N32" s="222">
        <v>86.63</v>
      </c>
      <c r="O32" s="222">
        <v>86.23</v>
      </c>
      <c r="P32" s="222">
        <v>85.93</v>
      </c>
      <c r="Q32" s="222">
        <v>92.06</v>
      </c>
      <c r="R32" s="222">
        <v>97.46</v>
      </c>
      <c r="S32" s="222">
        <v>103</v>
      </c>
      <c r="T32" s="222">
        <v>130.07</v>
      </c>
      <c r="U32" s="222">
        <v>149.88</v>
      </c>
      <c r="V32" s="222">
        <v>156.59</v>
      </c>
      <c r="W32" s="222">
        <v>160</v>
      </c>
      <c r="X32" s="222">
        <v>138.37</v>
      </c>
      <c r="Y32" s="222">
        <v>133.02000000000001</v>
      </c>
      <c r="Z32" s="221">
        <v>85.93</v>
      </c>
      <c r="AA32" s="221">
        <v>160</v>
      </c>
      <c r="AB32" s="221">
        <v>116.7217047747</v>
      </c>
      <c r="AC32">
        <f t="shared" si="0"/>
        <v>25</v>
      </c>
    </row>
    <row r="33" spans="1:29">
      <c r="A33" s="145" t="s">
        <v>319</v>
      </c>
      <c r="B33" s="222">
        <v>122.47</v>
      </c>
      <c r="C33" s="222">
        <v>109.42</v>
      </c>
      <c r="D33" s="222">
        <v>106.62</v>
      </c>
      <c r="E33" s="222">
        <v>111.05</v>
      </c>
      <c r="F33" s="222">
        <v>111.54</v>
      </c>
      <c r="G33" s="222">
        <v>122.47</v>
      </c>
      <c r="H33" s="222">
        <v>130.91</v>
      </c>
      <c r="I33" s="222">
        <v>139.97999999999999</v>
      </c>
      <c r="J33" s="222">
        <v>146.6</v>
      </c>
      <c r="K33" s="222">
        <v>131.32</v>
      </c>
      <c r="L33" s="222">
        <v>110.01</v>
      </c>
      <c r="M33" s="222">
        <v>99.63</v>
      </c>
      <c r="N33" s="222">
        <v>98</v>
      </c>
      <c r="O33" s="222">
        <v>98.93</v>
      </c>
      <c r="P33" s="222">
        <v>98</v>
      </c>
      <c r="Q33" s="222">
        <v>98.02</v>
      </c>
      <c r="R33" s="222">
        <v>104.51</v>
      </c>
      <c r="S33" s="222">
        <v>122.47</v>
      </c>
      <c r="T33" s="222">
        <v>135.41999999999999</v>
      </c>
      <c r="U33" s="222">
        <v>150.69</v>
      </c>
      <c r="V33" s="222">
        <v>163.77000000000001</v>
      </c>
      <c r="W33" s="222">
        <v>163.77000000000001</v>
      </c>
      <c r="X33" s="222">
        <v>141.69999999999999</v>
      </c>
      <c r="Y33" s="222">
        <v>135.94999999999999</v>
      </c>
      <c r="Z33" s="221">
        <v>98</v>
      </c>
      <c r="AA33" s="221">
        <v>163.77000000000001</v>
      </c>
      <c r="AB33" s="221">
        <v>121.74234686219999</v>
      </c>
      <c r="AC33">
        <f t="shared" si="0"/>
        <v>26</v>
      </c>
    </row>
    <row r="34" spans="1:29">
      <c r="A34" s="145" t="s">
        <v>320</v>
      </c>
      <c r="B34" s="222">
        <v>122.5</v>
      </c>
      <c r="C34" s="222">
        <v>121.8</v>
      </c>
      <c r="D34" s="222">
        <v>116.08</v>
      </c>
      <c r="E34" s="222">
        <v>114</v>
      </c>
      <c r="F34" s="222">
        <v>103</v>
      </c>
      <c r="G34" s="222">
        <v>104.3</v>
      </c>
      <c r="H34" s="222">
        <v>119.57</v>
      </c>
      <c r="I34" s="222">
        <v>133.22999999999999</v>
      </c>
      <c r="J34" s="222">
        <v>140.01</v>
      </c>
      <c r="K34" s="222">
        <v>128.37</v>
      </c>
      <c r="L34" s="222">
        <v>102.33</v>
      </c>
      <c r="M34" s="222">
        <v>93.26</v>
      </c>
      <c r="N34" s="222">
        <v>89.03</v>
      </c>
      <c r="O34" s="222">
        <v>87.34</v>
      </c>
      <c r="P34" s="222">
        <v>82.2</v>
      </c>
      <c r="Q34" s="222">
        <v>77.14</v>
      </c>
      <c r="R34" s="222">
        <v>87.06</v>
      </c>
      <c r="S34" s="222">
        <v>87.63</v>
      </c>
      <c r="T34" s="222">
        <v>110.02</v>
      </c>
      <c r="U34" s="222">
        <v>133.68</v>
      </c>
      <c r="V34" s="222">
        <v>170</v>
      </c>
      <c r="W34" s="222">
        <v>164.25</v>
      </c>
      <c r="X34" s="222">
        <v>136</v>
      </c>
      <c r="Y34" s="222">
        <v>133.22999999999999</v>
      </c>
      <c r="Z34" s="221">
        <v>77.14</v>
      </c>
      <c r="AA34" s="221">
        <v>170</v>
      </c>
      <c r="AB34" s="221">
        <v>112.46172998340001</v>
      </c>
      <c r="AC34">
        <f t="shared" si="0"/>
        <v>27</v>
      </c>
    </row>
    <row r="35" spans="1:29">
      <c r="A35" s="145" t="s">
        <v>321</v>
      </c>
      <c r="B35" s="222">
        <v>115.54</v>
      </c>
      <c r="C35" s="222">
        <v>117.19</v>
      </c>
      <c r="D35" s="222">
        <v>118.91</v>
      </c>
      <c r="E35" s="222">
        <v>115.73</v>
      </c>
      <c r="F35" s="222">
        <v>113.35</v>
      </c>
      <c r="G35" s="222">
        <v>118.91</v>
      </c>
      <c r="H35" s="222">
        <v>123.84</v>
      </c>
      <c r="I35" s="222">
        <v>130</v>
      </c>
      <c r="J35" s="222">
        <v>133.66999999999999</v>
      </c>
      <c r="K35" s="222">
        <v>128.36000000000001</v>
      </c>
      <c r="L35" s="222">
        <v>93.4</v>
      </c>
      <c r="M35" s="222">
        <v>88.56</v>
      </c>
      <c r="N35" s="222">
        <v>83.73</v>
      </c>
      <c r="O35" s="222">
        <v>82.18</v>
      </c>
      <c r="P35" s="222">
        <v>87.7</v>
      </c>
      <c r="Q35" s="222">
        <v>91.5</v>
      </c>
      <c r="R35" s="222">
        <v>92.9</v>
      </c>
      <c r="S35" s="222">
        <v>97</v>
      </c>
      <c r="T35" s="222">
        <v>119.77</v>
      </c>
      <c r="U35" s="222">
        <v>133.66999999999999</v>
      </c>
      <c r="V35" s="222">
        <v>147.65</v>
      </c>
      <c r="W35" s="222">
        <v>147</v>
      </c>
      <c r="X35" s="222">
        <v>130</v>
      </c>
      <c r="Y35" s="222">
        <v>122</v>
      </c>
      <c r="Z35" s="221">
        <v>82.18</v>
      </c>
      <c r="AA35" s="221">
        <v>147.65</v>
      </c>
      <c r="AB35" s="221">
        <v>111.4830994869</v>
      </c>
      <c r="AC35">
        <f t="shared" si="0"/>
        <v>28</v>
      </c>
    </row>
    <row r="36" spans="1:29">
      <c r="A36" s="145" t="s">
        <v>322</v>
      </c>
      <c r="B36" s="222">
        <v>115.93</v>
      </c>
      <c r="C36" s="222">
        <v>120.32</v>
      </c>
      <c r="D36" s="222">
        <v>121</v>
      </c>
      <c r="E36" s="222">
        <v>126.89</v>
      </c>
      <c r="F36" s="222">
        <v>127.1</v>
      </c>
      <c r="G36" s="222">
        <v>118.54</v>
      </c>
      <c r="H36" s="222">
        <v>128.36000000000001</v>
      </c>
      <c r="I36" s="222">
        <v>135.94999999999999</v>
      </c>
      <c r="J36" s="222">
        <v>138.34</v>
      </c>
      <c r="K36" s="222">
        <v>120.32</v>
      </c>
      <c r="L36" s="222">
        <v>110.84</v>
      </c>
      <c r="M36" s="222">
        <v>96.8</v>
      </c>
      <c r="N36" s="222">
        <v>94.5</v>
      </c>
      <c r="O36" s="222">
        <v>94</v>
      </c>
      <c r="P36" s="222">
        <v>93.65</v>
      </c>
      <c r="Q36" s="222">
        <v>90.87</v>
      </c>
      <c r="R36" s="222">
        <v>96.71</v>
      </c>
      <c r="S36" s="222">
        <v>112</v>
      </c>
      <c r="T36" s="222">
        <v>121.45</v>
      </c>
      <c r="U36" s="222">
        <v>141.24</v>
      </c>
      <c r="V36" s="222">
        <v>149.25</v>
      </c>
      <c r="W36" s="222">
        <v>143.21</v>
      </c>
      <c r="X36" s="222">
        <v>129.91</v>
      </c>
      <c r="Y36" s="222">
        <v>127.88</v>
      </c>
      <c r="Z36" s="221">
        <v>90.87</v>
      </c>
      <c r="AA36" s="221">
        <v>149.25</v>
      </c>
      <c r="AB36" s="221">
        <v>116.87825900110001</v>
      </c>
      <c r="AC36">
        <f t="shared" si="0"/>
        <v>29</v>
      </c>
    </row>
    <row r="37" spans="1:29">
      <c r="A37" s="145" t="s">
        <v>323</v>
      </c>
      <c r="B37" s="222">
        <v>126.62</v>
      </c>
      <c r="C37" s="222">
        <v>125.6</v>
      </c>
      <c r="D37" s="222">
        <v>120</v>
      </c>
      <c r="E37" s="222">
        <v>125.34</v>
      </c>
      <c r="F37" s="222">
        <v>124.73</v>
      </c>
      <c r="G37" s="222">
        <v>116.89</v>
      </c>
      <c r="H37" s="222">
        <v>113.72</v>
      </c>
      <c r="I37" s="222">
        <v>119.01</v>
      </c>
      <c r="J37" s="222">
        <v>113.72</v>
      </c>
      <c r="K37" s="222">
        <v>105.08</v>
      </c>
      <c r="L37" s="222">
        <v>87.5</v>
      </c>
      <c r="M37" s="222">
        <v>70.5</v>
      </c>
      <c r="N37" s="216">
        <v>42.76</v>
      </c>
      <c r="O37" s="222">
        <v>54.63</v>
      </c>
      <c r="P37" s="216">
        <v>40</v>
      </c>
      <c r="Q37" s="222">
        <v>56</v>
      </c>
      <c r="R37" s="222">
        <v>81.8</v>
      </c>
      <c r="S37" s="222">
        <v>90</v>
      </c>
      <c r="T37" s="222">
        <v>113.72</v>
      </c>
      <c r="U37" s="222">
        <v>132.03</v>
      </c>
      <c r="V37" s="222">
        <v>145.18</v>
      </c>
      <c r="W37" s="222">
        <v>150.58000000000001</v>
      </c>
      <c r="X37" s="222">
        <v>133.66999999999999</v>
      </c>
      <c r="Y37" s="222">
        <v>128.36000000000001</v>
      </c>
      <c r="Z37" s="221">
        <v>40</v>
      </c>
      <c r="AA37" s="221">
        <v>150.58000000000001</v>
      </c>
      <c r="AB37" s="221">
        <v>99.015259132500006</v>
      </c>
      <c r="AC37">
        <f t="shared" si="0"/>
        <v>30</v>
      </c>
    </row>
    <row r="38" spans="1:29">
      <c r="AC38">
        <f t="shared" si="0"/>
        <v>0</v>
      </c>
    </row>
    <row r="41" spans="1:29">
      <c r="A41" s="143" t="s">
        <v>28</v>
      </c>
      <c r="B41" s="258" t="s">
        <v>52</v>
      </c>
      <c r="C41" s="259"/>
      <c r="D41" s="259"/>
      <c r="E41" s="259"/>
      <c r="F41" s="259"/>
      <c r="G41" s="259"/>
      <c r="H41" s="259"/>
      <c r="I41" s="259"/>
      <c r="J41" s="259"/>
      <c r="K41" s="259"/>
      <c r="L41" s="259"/>
      <c r="M41" s="259"/>
      <c r="N41" s="259"/>
    </row>
    <row r="42" spans="1:29">
      <c r="A42" s="143" t="s">
        <v>124</v>
      </c>
      <c r="B42" s="172">
        <v>202209</v>
      </c>
      <c r="C42" s="172">
        <v>202210</v>
      </c>
      <c r="D42" s="172">
        <v>202211</v>
      </c>
      <c r="E42" s="172">
        <v>202212</v>
      </c>
      <c r="F42" s="172">
        <v>202301</v>
      </c>
      <c r="G42" s="172">
        <v>202302</v>
      </c>
      <c r="H42" s="172">
        <v>202303</v>
      </c>
      <c r="I42" s="172">
        <v>202304</v>
      </c>
      <c r="J42" s="172">
        <v>202305</v>
      </c>
      <c r="K42" s="172">
        <v>202306</v>
      </c>
      <c r="L42" s="172">
        <v>202307</v>
      </c>
      <c r="M42" s="172">
        <v>202308</v>
      </c>
      <c r="N42" s="172">
        <v>202309</v>
      </c>
    </row>
    <row r="43" spans="1:29">
      <c r="A43" s="143" t="s">
        <v>95</v>
      </c>
      <c r="B43" s="245" t="s">
        <v>242</v>
      </c>
      <c r="C43" s="245" t="s">
        <v>244</v>
      </c>
      <c r="D43" s="245" t="s">
        <v>250</v>
      </c>
      <c r="E43" s="245" t="s">
        <v>252</v>
      </c>
      <c r="F43" s="245" t="s">
        <v>256</v>
      </c>
      <c r="G43" s="245" t="s">
        <v>263</v>
      </c>
      <c r="H43" s="245" t="s">
        <v>267</v>
      </c>
      <c r="I43" s="245" t="s">
        <v>269</v>
      </c>
      <c r="J43" s="245" t="s">
        <v>277</v>
      </c>
      <c r="K43" s="245" t="s">
        <v>288</v>
      </c>
      <c r="L43" s="245" t="s">
        <v>290</v>
      </c>
      <c r="M43" s="245" t="s">
        <v>293</v>
      </c>
      <c r="N43" s="245" t="s">
        <v>324</v>
      </c>
    </row>
    <row r="44" spans="1:29">
      <c r="A44" s="143" t="s">
        <v>125</v>
      </c>
      <c r="B44" s="172"/>
      <c r="C44" s="172"/>
      <c r="D44" s="172"/>
      <c r="E44" s="172"/>
      <c r="F44" s="172"/>
      <c r="G44" s="172"/>
      <c r="H44" s="172"/>
      <c r="I44" s="172"/>
      <c r="J44" s="172"/>
      <c r="K44" s="172"/>
      <c r="L44" s="172"/>
      <c r="M44" s="172"/>
      <c r="N44" s="172"/>
    </row>
    <row r="45" spans="1:29">
      <c r="A45" s="145" t="s">
        <v>53</v>
      </c>
      <c r="B45" s="214">
        <v>18982531.026999999</v>
      </c>
      <c r="C45" s="214">
        <v>18146309.984000001</v>
      </c>
      <c r="D45" s="214">
        <v>18298473.517999999</v>
      </c>
      <c r="E45" s="214">
        <v>19167055.030000001</v>
      </c>
      <c r="F45" s="214">
        <v>20833891.550999999</v>
      </c>
      <c r="G45" s="214">
        <v>19347793.429000001</v>
      </c>
      <c r="H45" s="241">
        <v>19378563.787999999</v>
      </c>
      <c r="I45" s="241">
        <v>17157935.364999998</v>
      </c>
      <c r="J45" s="241">
        <v>18023538.129000001</v>
      </c>
      <c r="K45" s="214">
        <v>18602738.962000001</v>
      </c>
      <c r="L45" s="214">
        <v>21218606.261999998</v>
      </c>
      <c r="M45" s="214">
        <v>19942655.73</v>
      </c>
      <c r="N45" s="214">
        <v>17957574.565000001</v>
      </c>
      <c r="Q45" s="145"/>
    </row>
    <row r="46" spans="1:29">
      <c r="A46" s="145" t="s">
        <v>54</v>
      </c>
      <c r="B46" s="215">
        <v>100</v>
      </c>
      <c r="C46" s="215">
        <v>100</v>
      </c>
      <c r="D46" s="215">
        <v>100</v>
      </c>
      <c r="E46" s="215">
        <v>100</v>
      </c>
      <c r="F46" s="215">
        <v>100</v>
      </c>
      <c r="G46" s="215">
        <v>100</v>
      </c>
      <c r="H46" s="242">
        <v>100</v>
      </c>
      <c r="I46" s="242">
        <v>100</v>
      </c>
      <c r="J46" s="242">
        <v>100</v>
      </c>
      <c r="K46" s="215">
        <v>100</v>
      </c>
      <c r="L46" s="215">
        <v>100</v>
      </c>
      <c r="M46" s="215">
        <v>100</v>
      </c>
      <c r="N46" s="215">
        <v>100</v>
      </c>
      <c r="Q46" s="145"/>
    </row>
    <row r="47" spans="1:29">
      <c r="A47" s="145" t="s">
        <v>55</v>
      </c>
      <c r="B47" s="216">
        <v>142.68</v>
      </c>
      <c r="C47" s="216">
        <v>128.83000000000001</v>
      </c>
      <c r="D47" s="216">
        <v>117.31</v>
      </c>
      <c r="E47" s="216">
        <v>101.32</v>
      </c>
      <c r="F47" s="216">
        <v>73.17</v>
      </c>
      <c r="G47" s="216">
        <v>135.5</v>
      </c>
      <c r="H47" s="243">
        <v>92.07</v>
      </c>
      <c r="I47" s="243">
        <v>74.34</v>
      </c>
      <c r="J47" s="243">
        <v>74.352000000000004</v>
      </c>
      <c r="K47" s="216">
        <v>93.67</v>
      </c>
      <c r="L47" s="216">
        <v>90.96</v>
      </c>
      <c r="M47" s="216">
        <v>97.07</v>
      </c>
      <c r="N47" s="216">
        <v>104.24</v>
      </c>
      <c r="Q47" s="145"/>
    </row>
    <row r="48" spans="1:29">
      <c r="A48" s="145" t="s">
        <v>56</v>
      </c>
      <c r="B48" s="216">
        <v>0.89</v>
      </c>
      <c r="C48" s="216">
        <v>1.76</v>
      </c>
      <c r="D48" s="216">
        <v>2.42</v>
      </c>
      <c r="E48" s="216">
        <v>4.16</v>
      </c>
      <c r="F48" s="216">
        <v>5.72</v>
      </c>
      <c r="G48" s="216">
        <v>3.1</v>
      </c>
      <c r="H48" s="243">
        <v>5.22</v>
      </c>
      <c r="I48" s="243">
        <v>7.72</v>
      </c>
      <c r="J48" s="243">
        <v>5.85</v>
      </c>
      <c r="K48" s="216">
        <v>3.69</v>
      </c>
      <c r="L48" s="216">
        <v>3.34</v>
      </c>
      <c r="M48" s="216">
        <v>2.76</v>
      </c>
      <c r="N48" s="216">
        <v>2.85</v>
      </c>
      <c r="Q48" s="145"/>
    </row>
    <row r="49" spans="1:17">
      <c r="A49" s="145" t="s">
        <v>57</v>
      </c>
      <c r="B49" s="216">
        <v>5.0999999999999996</v>
      </c>
      <c r="C49" s="216">
        <v>4.95</v>
      </c>
      <c r="D49" s="216">
        <v>2.4300000000000002</v>
      </c>
      <c r="E49" s="216">
        <v>4.99</v>
      </c>
      <c r="F49" s="216">
        <v>4.63</v>
      </c>
      <c r="G49" s="216">
        <v>3.47</v>
      </c>
      <c r="H49" s="243">
        <v>3.66</v>
      </c>
      <c r="I49" s="243">
        <v>2.38</v>
      </c>
      <c r="J49" s="243">
        <v>2.5630000000000002</v>
      </c>
      <c r="K49" s="216">
        <v>3.36</v>
      </c>
      <c r="L49" s="216">
        <v>2.44</v>
      </c>
      <c r="M49" s="216">
        <v>2.76</v>
      </c>
      <c r="N49" s="216">
        <v>3.59</v>
      </c>
      <c r="Q49" s="145"/>
    </row>
    <row r="50" spans="1:17">
      <c r="A50" s="145" t="s">
        <v>58</v>
      </c>
      <c r="B50" s="216">
        <v>-0.61</v>
      </c>
      <c r="C50" s="216">
        <v>-0.13</v>
      </c>
      <c r="D50" s="216">
        <v>-0.17</v>
      </c>
      <c r="E50" s="216">
        <v>-0.15</v>
      </c>
      <c r="F50" s="216">
        <v>-0.08</v>
      </c>
      <c r="G50" s="216">
        <v>-0.08</v>
      </c>
      <c r="H50" s="243">
        <v>-0.17</v>
      </c>
      <c r="I50" s="243">
        <v>-0.27</v>
      </c>
      <c r="J50" s="243">
        <v>-0.12</v>
      </c>
      <c r="K50" s="216">
        <v>-0.05</v>
      </c>
      <c r="L50" s="216">
        <v>-7.0000000000000007E-2</v>
      </c>
      <c r="M50" s="216">
        <v>-0.05</v>
      </c>
      <c r="N50" s="216">
        <v>-0.08</v>
      </c>
      <c r="Q50" s="145"/>
    </row>
    <row r="51" spans="1:17">
      <c r="A51" s="145" t="s">
        <v>59</v>
      </c>
      <c r="B51" s="216">
        <v>0</v>
      </c>
      <c r="C51" s="216">
        <v>0</v>
      </c>
      <c r="D51" s="216">
        <v>0</v>
      </c>
      <c r="E51" s="216">
        <v>0</v>
      </c>
      <c r="F51" s="216">
        <v>0</v>
      </c>
      <c r="G51" s="216">
        <v>0</v>
      </c>
      <c r="H51" s="243">
        <v>0</v>
      </c>
      <c r="I51" s="243">
        <v>0</v>
      </c>
      <c r="J51" s="243">
        <v>0</v>
      </c>
      <c r="K51" s="216">
        <v>0</v>
      </c>
      <c r="L51" s="216">
        <v>0</v>
      </c>
      <c r="M51" s="216">
        <v>0</v>
      </c>
      <c r="N51" s="216">
        <v>0</v>
      </c>
      <c r="Q51" s="145"/>
    </row>
    <row r="52" spans="1:17">
      <c r="A52" s="145" t="s">
        <v>60</v>
      </c>
      <c r="B52" s="216">
        <v>0</v>
      </c>
      <c r="C52" s="216">
        <v>0</v>
      </c>
      <c r="D52" s="216">
        <v>0</v>
      </c>
      <c r="E52" s="216">
        <v>0</v>
      </c>
      <c r="F52" s="216">
        <v>0</v>
      </c>
      <c r="G52" s="216">
        <v>0</v>
      </c>
      <c r="H52" s="243">
        <v>0</v>
      </c>
      <c r="I52" s="243">
        <v>0</v>
      </c>
      <c r="J52" s="243">
        <v>0</v>
      </c>
      <c r="K52" s="216">
        <v>0</v>
      </c>
      <c r="L52" s="216">
        <v>0</v>
      </c>
      <c r="M52" s="216">
        <v>0</v>
      </c>
      <c r="N52" s="216">
        <v>0</v>
      </c>
      <c r="Q52" s="145"/>
    </row>
    <row r="53" spans="1:17">
      <c r="A53" s="145" t="s">
        <v>282</v>
      </c>
      <c r="B53" s="216">
        <v>2.48</v>
      </c>
      <c r="C53" s="216">
        <v>2.99</v>
      </c>
      <c r="D53" s="216">
        <v>2.54</v>
      </c>
      <c r="E53" s="216">
        <v>2.6</v>
      </c>
      <c r="F53" s="216">
        <v>2.58</v>
      </c>
      <c r="G53" s="216">
        <v>1.67</v>
      </c>
      <c r="H53" s="243">
        <v>2.93</v>
      </c>
      <c r="I53" s="243">
        <v>3.02</v>
      </c>
      <c r="J53" s="243">
        <v>2.9</v>
      </c>
      <c r="K53" s="216">
        <v>2.0099999999999998</v>
      </c>
      <c r="L53" s="216">
        <v>2.11</v>
      </c>
      <c r="M53" s="216">
        <v>1.96</v>
      </c>
      <c r="N53" s="216">
        <v>1.71</v>
      </c>
      <c r="Q53" s="145"/>
    </row>
    <row r="54" spans="1:17">
      <c r="A54" s="145" t="s">
        <v>279</v>
      </c>
      <c r="B54" s="216">
        <v>0.05</v>
      </c>
      <c r="C54" s="216">
        <v>0.06</v>
      </c>
      <c r="D54" s="216">
        <v>0.05</v>
      </c>
      <c r="E54" s="216">
        <v>7.0000000000000007E-2</v>
      </c>
      <c r="F54" s="216">
        <v>0.06</v>
      </c>
      <c r="G54" s="216">
        <v>0.03</v>
      </c>
      <c r="H54" s="243">
        <v>7.0000000000000007E-2</v>
      </c>
      <c r="I54" s="243">
        <v>0.06</v>
      </c>
      <c r="J54" s="243">
        <v>0.05</v>
      </c>
      <c r="K54" s="216">
        <v>0.05</v>
      </c>
      <c r="L54" s="216">
        <v>0.04</v>
      </c>
      <c r="M54" s="216">
        <v>0.06</v>
      </c>
      <c r="N54" s="216">
        <v>7.0000000000000007E-2</v>
      </c>
      <c r="Q54" s="145"/>
    </row>
    <row r="55" spans="1:17">
      <c r="A55" s="145" t="s">
        <v>61</v>
      </c>
      <c r="B55" s="216">
        <v>-0.25</v>
      </c>
      <c r="C55" s="216">
        <v>-0.34</v>
      </c>
      <c r="D55" s="216">
        <v>-0.25</v>
      </c>
      <c r="E55" s="216">
        <v>-0.32</v>
      </c>
      <c r="F55" s="216">
        <v>-0.19</v>
      </c>
      <c r="G55" s="216">
        <v>-0.25</v>
      </c>
      <c r="H55" s="243">
        <v>-0.18</v>
      </c>
      <c r="I55" s="243">
        <v>-0.18</v>
      </c>
      <c r="J55" s="243">
        <v>-0.19</v>
      </c>
      <c r="K55" s="216">
        <v>-0.31</v>
      </c>
      <c r="L55" s="216">
        <v>-0.25</v>
      </c>
      <c r="M55" s="216">
        <v>-0.3</v>
      </c>
      <c r="N55" s="216">
        <v>-0.22</v>
      </c>
      <c r="Q55" s="145"/>
    </row>
    <row r="56" spans="1:17">
      <c r="A56" s="145" t="s">
        <v>62</v>
      </c>
      <c r="B56" s="216">
        <v>0.7</v>
      </c>
      <c r="C56" s="216">
        <v>0.72</v>
      </c>
      <c r="D56" s="216">
        <v>0.46</v>
      </c>
      <c r="E56" s="216">
        <v>0.72</v>
      </c>
      <c r="F56" s="216">
        <v>0.55000000000000004</v>
      </c>
      <c r="G56" s="216">
        <v>0.31</v>
      </c>
      <c r="H56" s="243">
        <v>0.73</v>
      </c>
      <c r="I56" s="243">
        <v>0.6</v>
      </c>
      <c r="J56" s="243">
        <v>0.42</v>
      </c>
      <c r="K56" s="216">
        <v>0.51</v>
      </c>
      <c r="L56" s="216">
        <v>0.44</v>
      </c>
      <c r="M56" s="216">
        <v>0.79</v>
      </c>
      <c r="N56" s="216">
        <v>0.87</v>
      </c>
      <c r="Q56" s="145"/>
    </row>
    <row r="57" spans="1:17">
      <c r="A57" s="145" t="s">
        <v>63</v>
      </c>
      <c r="B57" s="216">
        <v>0.04</v>
      </c>
      <c r="C57" s="216">
        <v>-0.17</v>
      </c>
      <c r="D57" s="216">
        <v>-0.25</v>
      </c>
      <c r="E57" s="216">
        <v>0</v>
      </c>
      <c r="F57" s="216">
        <v>0.01</v>
      </c>
      <c r="G57" s="216">
        <v>0.11</v>
      </c>
      <c r="H57" s="243">
        <v>0.17</v>
      </c>
      <c r="I57" s="243">
        <v>-0.21</v>
      </c>
      <c r="J57" s="243">
        <v>0.02</v>
      </c>
      <c r="K57" s="216">
        <v>-0.08</v>
      </c>
      <c r="L57" s="216">
        <v>-0.14000000000000001</v>
      </c>
      <c r="M57" s="216">
        <v>0</v>
      </c>
      <c r="N57" s="216">
        <v>7.0000000000000007E-2</v>
      </c>
      <c r="Q57" s="145"/>
    </row>
    <row r="58" spans="1:17">
      <c r="A58" s="145" t="s">
        <v>23</v>
      </c>
      <c r="B58" s="216">
        <v>-7.0000000000000007E-2</v>
      </c>
      <c r="C58" s="216">
        <v>-0.08</v>
      </c>
      <c r="D58" s="216">
        <v>-0.09</v>
      </c>
      <c r="E58" s="216">
        <v>-0.08</v>
      </c>
      <c r="F58" s="216">
        <v>-0.08</v>
      </c>
      <c r="G58" s="216">
        <v>-0.08</v>
      </c>
      <c r="H58" s="243">
        <v>-0.09</v>
      </c>
      <c r="I58" s="243">
        <v>-0.09</v>
      </c>
      <c r="J58" s="243">
        <v>-0.09</v>
      </c>
      <c r="K58" s="216">
        <v>-0.09</v>
      </c>
      <c r="L58" s="216">
        <v>-7.0000000000000007E-2</v>
      </c>
      <c r="M58" s="216">
        <v>-0.08</v>
      </c>
      <c r="N58" s="216">
        <v>-7.0000000000000007E-2</v>
      </c>
      <c r="Q58" s="145"/>
    </row>
    <row r="59" spans="1:17">
      <c r="A59" s="145" t="s">
        <v>64</v>
      </c>
      <c r="B59" s="216">
        <v>0.26</v>
      </c>
      <c r="C59" s="216">
        <v>0.21</v>
      </c>
      <c r="D59" s="216">
        <v>0.31</v>
      </c>
      <c r="E59" s="216">
        <v>0.43</v>
      </c>
      <c r="F59" s="216">
        <v>0.34</v>
      </c>
      <c r="G59" s="216">
        <v>0.35</v>
      </c>
      <c r="H59" s="243">
        <v>0.24</v>
      </c>
      <c r="I59" s="243">
        <v>0.16</v>
      </c>
      <c r="J59" s="243">
        <v>0.17100000000000001</v>
      </c>
      <c r="K59" s="216">
        <v>0.19</v>
      </c>
      <c r="L59" s="216">
        <v>0.33</v>
      </c>
      <c r="M59" s="216">
        <v>0.19</v>
      </c>
      <c r="N59" s="216">
        <v>0.18</v>
      </c>
      <c r="Q59" s="145"/>
    </row>
    <row r="60" spans="1:17">
      <c r="A60" s="145" t="s">
        <v>283</v>
      </c>
      <c r="B60" s="216">
        <v>0</v>
      </c>
      <c r="C60" s="216">
        <v>0</v>
      </c>
      <c r="D60" s="216">
        <v>0</v>
      </c>
      <c r="E60" s="216">
        <v>0</v>
      </c>
      <c r="F60" s="216">
        <v>0</v>
      </c>
      <c r="G60" s="216">
        <v>0</v>
      </c>
      <c r="H60" s="243">
        <v>0</v>
      </c>
      <c r="I60" s="243">
        <v>0</v>
      </c>
      <c r="J60" s="243">
        <v>0</v>
      </c>
      <c r="K60" s="216">
        <v>0</v>
      </c>
      <c r="L60" s="216">
        <v>0</v>
      </c>
      <c r="M60" s="216">
        <v>0</v>
      </c>
      <c r="N60" s="216">
        <v>0</v>
      </c>
      <c r="Q60" s="145"/>
    </row>
    <row r="61" spans="1:17">
      <c r="A61" s="145" t="s">
        <v>65</v>
      </c>
      <c r="B61" s="216">
        <v>0.03</v>
      </c>
      <c r="C61" s="216">
        <v>0.03</v>
      </c>
      <c r="D61" s="216">
        <v>0.02</v>
      </c>
      <c r="E61" s="216">
        <v>7.0000000000000007E-2</v>
      </c>
      <c r="F61" s="216">
        <v>0.04</v>
      </c>
      <c r="G61" s="216">
        <v>0.01</v>
      </c>
      <c r="H61" s="243">
        <v>0.05</v>
      </c>
      <c r="I61" s="243">
        <v>0.06</v>
      </c>
      <c r="J61" s="243">
        <v>0.05</v>
      </c>
      <c r="K61" s="216">
        <v>-0.02</v>
      </c>
      <c r="L61" s="216">
        <v>0.04</v>
      </c>
      <c r="M61" s="216">
        <v>0.05</v>
      </c>
      <c r="N61" s="216">
        <v>0.05</v>
      </c>
      <c r="Q61" s="145"/>
    </row>
    <row r="62" spans="1:17">
      <c r="A62" s="145" t="s">
        <v>280</v>
      </c>
      <c r="B62" s="216">
        <v>0</v>
      </c>
      <c r="C62" s="216">
        <v>0</v>
      </c>
      <c r="D62" s="216">
        <v>0</v>
      </c>
      <c r="E62" s="216">
        <v>0</v>
      </c>
      <c r="F62" s="216">
        <v>0</v>
      </c>
      <c r="G62" s="216">
        <v>0</v>
      </c>
      <c r="H62" s="243">
        <v>0</v>
      </c>
      <c r="I62" s="243">
        <v>0</v>
      </c>
      <c r="J62" s="243">
        <v>0</v>
      </c>
      <c r="K62" s="216">
        <v>0</v>
      </c>
      <c r="L62" s="216">
        <v>0</v>
      </c>
      <c r="M62" s="216">
        <v>0</v>
      </c>
      <c r="N62" s="216">
        <v>0</v>
      </c>
      <c r="Q62" s="145"/>
    </row>
    <row r="63" spans="1:17">
      <c r="A63" s="145" t="s">
        <v>245</v>
      </c>
      <c r="B63" s="216">
        <v>62.69</v>
      </c>
      <c r="C63" s="216">
        <v>21.48</v>
      </c>
      <c r="D63" s="216">
        <v>5.85</v>
      </c>
      <c r="E63" s="216">
        <v>26.44</v>
      </c>
      <c r="F63" s="216">
        <v>1.17</v>
      </c>
      <c r="G63" s="216">
        <v>-1.05</v>
      </c>
      <c r="H63" s="243">
        <v>0</v>
      </c>
      <c r="I63" s="243">
        <v>0</v>
      </c>
      <c r="J63" s="243">
        <v>0</v>
      </c>
      <c r="K63" s="216">
        <v>0</v>
      </c>
      <c r="L63" s="216">
        <v>0</v>
      </c>
      <c r="M63" s="216">
        <v>0</v>
      </c>
      <c r="N63" s="216">
        <v>0</v>
      </c>
      <c r="Q63" s="145"/>
    </row>
    <row r="64" spans="1:17">
      <c r="A64" s="145" t="s">
        <v>246</v>
      </c>
      <c r="B64" s="216">
        <v>2.2799999999999998</v>
      </c>
      <c r="C64" s="216">
        <v>0.96</v>
      </c>
      <c r="D64" s="216">
        <v>1.27</v>
      </c>
      <c r="E64" s="216">
        <v>5.71</v>
      </c>
      <c r="F64" s="216">
        <v>1.73</v>
      </c>
      <c r="G64" s="216">
        <v>0.34</v>
      </c>
      <c r="H64" s="243">
        <v>0</v>
      </c>
      <c r="I64" s="243">
        <v>0</v>
      </c>
      <c r="J64" s="243">
        <v>0</v>
      </c>
      <c r="K64" s="216">
        <v>0</v>
      </c>
      <c r="L64" s="216">
        <v>0</v>
      </c>
      <c r="M64" s="216">
        <v>0</v>
      </c>
      <c r="N64" s="216">
        <v>0</v>
      </c>
      <c r="Q64" s="145"/>
    </row>
    <row r="65" spans="1:17">
      <c r="A65" s="145" t="s">
        <v>247</v>
      </c>
      <c r="B65" s="216">
        <v>0</v>
      </c>
      <c r="C65" s="216">
        <v>0.02</v>
      </c>
      <c r="D65" s="216">
        <v>0</v>
      </c>
      <c r="E65" s="216">
        <v>0.01</v>
      </c>
      <c r="F65" s="216">
        <v>0</v>
      </c>
      <c r="G65" s="216">
        <v>0</v>
      </c>
      <c r="H65" s="243">
        <v>0</v>
      </c>
      <c r="I65" s="243">
        <v>0</v>
      </c>
      <c r="J65" s="243">
        <v>0</v>
      </c>
      <c r="K65" s="216">
        <v>0</v>
      </c>
      <c r="L65" s="216">
        <v>0</v>
      </c>
      <c r="M65" s="216">
        <v>0</v>
      </c>
      <c r="N65" s="216">
        <v>0</v>
      </c>
      <c r="O65" s="168">
        <f>(N70/M70-1)</f>
        <v>7.6425855513307939E-2</v>
      </c>
      <c r="P65" s="168">
        <f>(N70/B70-1)</f>
        <v>-0.47639524668238775</v>
      </c>
      <c r="Q65" s="145"/>
    </row>
    <row r="66" spans="1:17">
      <c r="A66" s="145" t="s">
        <v>284</v>
      </c>
      <c r="B66" s="216">
        <v>0</v>
      </c>
      <c r="C66" s="216">
        <v>0</v>
      </c>
      <c r="D66" s="216">
        <v>-0.64</v>
      </c>
      <c r="E66" s="216">
        <v>-0.55000000000000004</v>
      </c>
      <c r="F66" s="216">
        <v>-0.53</v>
      </c>
      <c r="G66" s="216">
        <v>-0.56999999999999995</v>
      </c>
      <c r="H66" s="243">
        <v>-0.24</v>
      </c>
      <c r="I66" s="243">
        <v>-0.22</v>
      </c>
      <c r="J66" s="243">
        <v>-0.25</v>
      </c>
      <c r="K66" s="216">
        <v>-0.25</v>
      </c>
      <c r="L66" s="216">
        <v>-0.2</v>
      </c>
      <c r="M66" s="216">
        <v>-0.22</v>
      </c>
      <c r="N66" s="216">
        <v>-0.65</v>
      </c>
      <c r="Q66" s="145"/>
    </row>
    <row r="67" spans="1:17">
      <c r="A67" s="145" t="s">
        <v>285</v>
      </c>
      <c r="B67" s="216">
        <v>0</v>
      </c>
      <c r="C67" s="216">
        <v>0</v>
      </c>
      <c r="D67" s="216">
        <v>0</v>
      </c>
      <c r="E67" s="216">
        <v>0</v>
      </c>
      <c r="F67" s="216">
        <v>0</v>
      </c>
      <c r="G67" s="216">
        <v>0</v>
      </c>
      <c r="H67" s="243">
        <v>0</v>
      </c>
      <c r="I67" s="243">
        <v>0.01</v>
      </c>
      <c r="J67" s="243">
        <v>0</v>
      </c>
      <c r="K67" s="216">
        <v>0</v>
      </c>
      <c r="L67" s="216">
        <v>0</v>
      </c>
      <c r="M67" s="216">
        <v>0</v>
      </c>
      <c r="N67" s="216">
        <v>0</v>
      </c>
      <c r="Q67" s="145"/>
    </row>
    <row r="68" spans="1:17">
      <c r="A68" s="145" t="s">
        <v>286</v>
      </c>
      <c r="B68" s="216">
        <v>0</v>
      </c>
      <c r="C68" s="216">
        <v>0</v>
      </c>
      <c r="D68" s="216">
        <v>0.6</v>
      </c>
      <c r="E68" s="216">
        <v>0.51</v>
      </c>
      <c r="F68" s="216">
        <v>0.5</v>
      </c>
      <c r="G68" s="216">
        <v>0.54</v>
      </c>
      <c r="H68" s="243">
        <v>0.22</v>
      </c>
      <c r="I68" s="243">
        <v>0.2</v>
      </c>
      <c r="J68" s="243">
        <v>0.24</v>
      </c>
      <c r="K68" s="216">
        <v>0.23</v>
      </c>
      <c r="L68" s="216">
        <v>0.19</v>
      </c>
      <c r="M68" s="216">
        <v>0.21</v>
      </c>
      <c r="N68" s="216">
        <v>0.61</v>
      </c>
      <c r="Q68" s="145"/>
    </row>
    <row r="69" spans="1:17">
      <c r="A69" s="145" t="s">
        <v>287</v>
      </c>
      <c r="B69" s="216">
        <v>0</v>
      </c>
      <c r="C69" s="216">
        <v>0</v>
      </c>
      <c r="D69" s="216">
        <v>0.01</v>
      </c>
      <c r="E69" s="216">
        <v>0.02</v>
      </c>
      <c r="F69" s="216">
        <v>0.01</v>
      </c>
      <c r="G69" s="216">
        <v>0.01</v>
      </c>
      <c r="H69" s="243">
        <v>0.01</v>
      </c>
      <c r="I69" s="243">
        <v>0</v>
      </c>
      <c r="J69" s="243">
        <v>0</v>
      </c>
      <c r="K69" s="216">
        <v>0.01</v>
      </c>
      <c r="L69" s="216">
        <v>0</v>
      </c>
      <c r="M69" s="216">
        <v>0</v>
      </c>
      <c r="N69" s="216">
        <v>0.02</v>
      </c>
      <c r="Q69" s="145"/>
    </row>
    <row r="70" spans="1:17">
      <c r="A70" s="145" t="s">
        <v>66</v>
      </c>
      <c r="B70" s="217">
        <v>216.27</v>
      </c>
      <c r="C70" s="217">
        <v>161.29</v>
      </c>
      <c r="D70" s="217">
        <v>131.87</v>
      </c>
      <c r="E70" s="217">
        <v>145.94999999999999</v>
      </c>
      <c r="F70" s="217">
        <v>89.63</v>
      </c>
      <c r="G70" s="217">
        <v>143.41</v>
      </c>
      <c r="H70" s="244">
        <v>104.69</v>
      </c>
      <c r="I70" s="244">
        <v>87.58</v>
      </c>
      <c r="J70" s="244">
        <v>85.97</v>
      </c>
      <c r="K70" s="217">
        <v>102.92</v>
      </c>
      <c r="L70" s="217">
        <v>99.16</v>
      </c>
      <c r="M70" s="217">
        <v>105.2</v>
      </c>
      <c r="N70" s="217">
        <v>113.24</v>
      </c>
    </row>
    <row r="80" spans="1:17">
      <c r="A80" s="88" t="s">
        <v>19</v>
      </c>
      <c r="B80" s="93"/>
      <c r="C80" s="93"/>
      <c r="D80" s="93"/>
      <c r="E80" s="94"/>
      <c r="F80" s="94"/>
      <c r="G80" s="94"/>
      <c r="H80" s="94"/>
      <c r="I80" s="94"/>
      <c r="J80" s="94"/>
      <c r="K80" s="94"/>
      <c r="L80" s="94"/>
      <c r="M80" s="94"/>
      <c r="N80" s="94"/>
    </row>
    <row r="81" spans="1:16">
      <c r="A81" s="90"/>
      <c r="B81" s="95" t="str">
        <f>MID(B43,6,1)</f>
        <v>S</v>
      </c>
      <c r="C81" s="95" t="str">
        <f t="shared" ref="C81:N81" si="1">MID(C43,6,1)</f>
        <v>O</v>
      </c>
      <c r="D81" s="95" t="str">
        <f t="shared" si="1"/>
        <v>N</v>
      </c>
      <c r="E81" s="95" t="str">
        <f t="shared" si="1"/>
        <v>D</v>
      </c>
      <c r="F81" s="95" t="str">
        <f t="shared" si="1"/>
        <v>E</v>
      </c>
      <c r="G81" s="95" t="str">
        <f t="shared" si="1"/>
        <v>F</v>
      </c>
      <c r="H81" s="95" t="str">
        <f t="shared" si="1"/>
        <v>M</v>
      </c>
      <c r="I81" s="95" t="str">
        <f t="shared" si="1"/>
        <v>A</v>
      </c>
      <c r="J81" s="95" t="str">
        <f t="shared" si="1"/>
        <v>M</v>
      </c>
      <c r="K81" s="95" t="str">
        <f t="shared" si="1"/>
        <v>J</v>
      </c>
      <c r="L81" s="95" t="str">
        <f t="shared" si="1"/>
        <v>J</v>
      </c>
      <c r="M81" s="95" t="str">
        <f t="shared" si="1"/>
        <v>A</v>
      </c>
      <c r="N81" s="95" t="str">
        <f t="shared" si="1"/>
        <v>S</v>
      </c>
    </row>
    <row r="82" spans="1:16">
      <c r="A82" s="91" t="s">
        <v>21</v>
      </c>
      <c r="B82" s="96">
        <f>VLOOKUP("Restricciones PBF",$A$45:$N$70,2,FALSE)</f>
        <v>0.89</v>
      </c>
      <c r="C82" s="96">
        <f>VLOOKUP("Restricciones PBF",$A$45:$N$70,3,FALSE)</f>
        <v>1.76</v>
      </c>
      <c r="D82" s="96">
        <f>VLOOKUP("Restricciones PBF",$A$45:$N$70,4,FALSE)</f>
        <v>2.42</v>
      </c>
      <c r="E82" s="96">
        <f>VLOOKUP("Restricciones PBF",$A$45:$N$70,5,FALSE)</f>
        <v>4.16</v>
      </c>
      <c r="F82" s="96">
        <f>VLOOKUP("Restricciones PBF",$A$45:$N$70,6,FALSE)</f>
        <v>5.72</v>
      </c>
      <c r="G82" s="96">
        <f>VLOOKUP("Restricciones PBF",$A$45:$N$70,7,FALSE)</f>
        <v>3.1</v>
      </c>
      <c r="H82" s="96">
        <f>VLOOKUP("Restricciones PBF",$A$45:$N$70,8,FALSE)</f>
        <v>5.22</v>
      </c>
      <c r="I82" s="96">
        <f>VLOOKUP("Restricciones PBF",$A$45:$N$70,9,FALSE)</f>
        <v>7.72</v>
      </c>
      <c r="J82" s="96">
        <f>VLOOKUP("Restricciones PBF",$A$45:$N$70,10,FALSE)</f>
        <v>5.85</v>
      </c>
      <c r="K82" s="96">
        <f>VLOOKUP("Restricciones PBF",$A$45:$N$70,11,FALSE)</f>
        <v>3.69</v>
      </c>
      <c r="L82" s="96">
        <f>VLOOKUP("Restricciones PBF",$A$45:$N$70,12,FALSE)</f>
        <v>3.34</v>
      </c>
      <c r="M82" s="96">
        <f>VLOOKUP("Restricciones PBF",$A$45:$N$70,13,FALSE)</f>
        <v>2.76</v>
      </c>
      <c r="N82" s="96">
        <f>VLOOKUP("Restricciones PBF",$A$45:$N$70,14,FALSE)</f>
        <v>2.85</v>
      </c>
    </row>
    <row r="83" spans="1:16">
      <c r="A83" s="91" t="s">
        <v>25</v>
      </c>
      <c r="B83" s="96">
        <f>VLOOKUP("Restricciones TR",$A$45:$N$70,2,FALSE)</f>
        <v>5.0999999999999996</v>
      </c>
      <c r="C83" s="96">
        <f>VLOOKUP("Restricciones TR",$A$45:$N$70,3,FALSE)</f>
        <v>4.95</v>
      </c>
      <c r="D83" s="96">
        <f>VLOOKUP("Restricciones TR",$A$45:$N$70,4,FALSE)</f>
        <v>2.4300000000000002</v>
      </c>
      <c r="E83" s="96">
        <f>VLOOKUP("Restricciones TR",$A$45:$N$70,5,FALSE)</f>
        <v>4.99</v>
      </c>
      <c r="F83" s="96">
        <f>VLOOKUP("Restricciones TR",$A$45:$N$70,6,FALSE)</f>
        <v>4.63</v>
      </c>
      <c r="G83" s="96">
        <f>VLOOKUP("Restricciones TR",$A$45:$N$70,7,FALSE)</f>
        <v>3.47</v>
      </c>
      <c r="H83" s="96">
        <f>VLOOKUP("Restricciones TR",$A$45:$N$70,8,FALSE)</f>
        <v>3.66</v>
      </c>
      <c r="I83" s="96">
        <f>VLOOKUP("Restricciones TR",$A$45:$N$70,9,FALSE)</f>
        <v>2.38</v>
      </c>
      <c r="J83" s="96">
        <f>VLOOKUP("Restricciones TR",$A$45:$N$70,10,FALSE)</f>
        <v>2.5630000000000002</v>
      </c>
      <c r="K83" s="96">
        <f>VLOOKUP("Restricciones TR",$A$45:$N$70,11,FALSE)</f>
        <v>3.36</v>
      </c>
      <c r="L83" s="96">
        <f>VLOOKUP("Restricciones TR",$A$45:$N$70,12,FALSE)</f>
        <v>2.44</v>
      </c>
      <c r="M83" s="96">
        <f>VLOOKUP("Restricciones TR",$A$45:$N$70,13,FALSE)</f>
        <v>2.76</v>
      </c>
      <c r="N83" s="96">
        <f>VLOOKUP("Restricciones TR",$A$45:$N$70,14,FALSE)</f>
        <v>3.59</v>
      </c>
    </row>
    <row r="84" spans="1:16">
      <c r="A84" s="91" t="s">
        <v>260</v>
      </c>
      <c r="B84" s="96">
        <f>B53+B54+B67+B68+B69</f>
        <v>2.5299999999999998</v>
      </c>
      <c r="C84" s="96">
        <f t="shared" ref="C84:I84" si="2">C53+C54+C67+C68+C69</f>
        <v>3.0500000000000003</v>
      </c>
      <c r="D84" s="96">
        <f t="shared" si="2"/>
        <v>3.1999999999999997</v>
      </c>
      <c r="E84" s="96">
        <f t="shared" si="2"/>
        <v>3.1999999999999997</v>
      </c>
      <c r="F84" s="96">
        <f t="shared" si="2"/>
        <v>3.15</v>
      </c>
      <c r="G84" s="96">
        <f>G53+G54+G67+G68+G69</f>
        <v>2.25</v>
      </c>
      <c r="H84" s="96">
        <f t="shared" si="2"/>
        <v>3.23</v>
      </c>
      <c r="I84" s="96">
        <f t="shared" si="2"/>
        <v>3.29</v>
      </c>
      <c r="J84" s="96">
        <f>VLOOKUP("Banda Secundaria",$A$45:$N$70,10,FALSE)+VLOOKUP("Coste Banda Secundaria Desvíos",$A$45:$N$70,10,FALSE)+VLOOKUP("Coste a BRP servicio de respuesta activa",$A$45:$N$70,10,FALSE)+VLOOKUP("Servicio de respuesta activa desvíos",$A$45:$N$70,10,FALSE)</f>
        <v>3.1899999999999995</v>
      </c>
      <c r="K84" s="96">
        <f>VLOOKUP("Banda Secundaria",$A$45:$N$70,11,FALSE)+VLOOKUP("Coste Banda Secundaria Desvíos",$A$45:$N$70,11,FALSE)+VLOOKUP("Coste a BRP servicio de respuesta activa",$A$45:$N$70,11,FALSE)+VLOOKUP("Servicio de respuesta activa desvíos",$A$45:$N$70,11,FALSE)</f>
        <v>2.2999999999999994</v>
      </c>
      <c r="L84" s="96">
        <f>VLOOKUP("Banda Secundaria",$A$45:$N$70,12,FALSE)+VLOOKUP("Coste Banda Secundaria Desvíos",$A$45:$N$70,12,FALSE)+VLOOKUP("Coste a BRP servicio de respuesta activa",$A$45:$N$70,12,FALSE)+VLOOKUP("Servicio de respuesta activa desvíos",$A$45:$N$70,12,FALSE)</f>
        <v>2.34</v>
      </c>
      <c r="M84" s="96">
        <f>VLOOKUP("Banda Secundaria",$A$45:$N$70,13,FALSE)+VLOOKUP("Coste Banda Secundaria Desvíos",$A$45:$N$70,13,FALSE)+VLOOKUP("Coste a BRP servicio de respuesta activa",$A$45:$N$70,13,FALSE)+VLOOKUP("Servicio de respuesta activa desvíos",$A$45:$N$70,13,FALSE)+M72</f>
        <v>2.23</v>
      </c>
      <c r="N84" s="96">
        <f>VLOOKUP("Banda Secundaria",$A$45:$N$70,14,FALSE)+VLOOKUP("Coste Banda Secundaria Desvíos",$A$45:$N$70,14,FALSE)+VLOOKUP("Coste a BRP servicio de respuesta activa",$A$45:$N$70,14,FALSE)+VLOOKUP("Servicio de respuesta activa desvíos",$A$45:$N$70,14,FALSE)+N72</f>
        <v>2.41</v>
      </c>
    </row>
    <row r="85" spans="1:16">
      <c r="A85" s="91" t="s">
        <v>61</v>
      </c>
      <c r="B85" s="96">
        <f>VLOOKUP("Incumplimiento energía balance",$A$45:$N$70,2,FALSE)</f>
        <v>-0.25</v>
      </c>
      <c r="C85" s="96">
        <f>VLOOKUP("Incumplimiento energía balance",$A$45:$N$70,3,FALSE)</f>
        <v>-0.34</v>
      </c>
      <c r="D85" s="96">
        <f>VLOOKUP("Incumplimiento energía balance",$A$45:$N$70,4,FALSE)</f>
        <v>-0.25</v>
      </c>
      <c r="E85" s="96">
        <f>VLOOKUP("Incumplimiento energía balance",$A$45:$N$70,5,FALSE)</f>
        <v>-0.32</v>
      </c>
      <c r="F85" s="96">
        <f>VLOOKUP("Incumplimiento energía balance",$A$45:$N$70,6,FALSE)</f>
        <v>-0.19</v>
      </c>
      <c r="G85" s="96">
        <f>VLOOKUP("Incumplimiento energía balance",$A$45:$N$70,7,FALSE)</f>
        <v>-0.25</v>
      </c>
      <c r="H85" s="96">
        <f>VLOOKUP("Incumplimiento energía balance",$A$45:$N$70,8,FALSE)</f>
        <v>-0.18</v>
      </c>
      <c r="I85" s="96">
        <f>VLOOKUP("Incumplimiento energía balance",$A$45:$N$70,9,FALSE)</f>
        <v>-0.18</v>
      </c>
      <c r="J85" s="96">
        <f>VLOOKUP("Incumplimiento energía balance",$A$45:$N$70,10,FALSE)</f>
        <v>-0.19</v>
      </c>
      <c r="K85" s="96">
        <f>VLOOKUP("Incumplimiento energía balance",$A$45:$N$70,11,FALSE)</f>
        <v>-0.31</v>
      </c>
      <c r="L85" s="96">
        <f>VLOOKUP("Incumplimiento energía balance",$A$45:$N$70,12,FALSE)</f>
        <v>-0.25</v>
      </c>
      <c r="M85" s="96">
        <f>VLOOKUP("Incumplimiento energía balance",$A$45:$N$70,13,FALSE)</f>
        <v>-0.3</v>
      </c>
      <c r="N85" s="96">
        <f>VLOOKUP("Incumplimiento energía balance",$A$45:$N$70,14,FALSE)</f>
        <v>-0.22</v>
      </c>
    </row>
    <row r="86" spans="1:16">
      <c r="A86" s="91" t="s">
        <v>62</v>
      </c>
      <c r="B86" s="96">
        <f>VLOOKUP("Coste desvíos",$A$45:$N$70,2,FALSE)</f>
        <v>0.7</v>
      </c>
      <c r="C86" s="96">
        <f>VLOOKUP("Coste desvíos",$A$45:$N$70,3,FALSE)</f>
        <v>0.72</v>
      </c>
      <c r="D86" s="96">
        <f>VLOOKUP("Coste desvíos",$A$45:$N$70,4,FALSE)</f>
        <v>0.46</v>
      </c>
      <c r="E86" s="96">
        <f>VLOOKUP("Coste desvíos",$A$45:$N$70,5,FALSE)</f>
        <v>0.72</v>
      </c>
      <c r="F86" s="96">
        <f>VLOOKUP("Coste desvíos",$A$45:$N$70,6,FALSE)</f>
        <v>0.55000000000000004</v>
      </c>
      <c r="G86" s="96">
        <f>VLOOKUP("Coste desvíos",$A$45:$N$70,7,FALSE)</f>
        <v>0.31</v>
      </c>
      <c r="H86" s="96">
        <f>VLOOKUP("Coste desvíos",$A$45:$N$70,8,FALSE)</f>
        <v>0.73</v>
      </c>
      <c r="I86" s="96">
        <f>VLOOKUP("Coste desvíos",$A$45:$N$70,9,FALSE)</f>
        <v>0.6</v>
      </c>
      <c r="J86" s="96">
        <f>VLOOKUP("Coste desvíos",$A$45:$N$70,10,FALSE)</f>
        <v>0.42</v>
      </c>
      <c r="K86" s="96">
        <f>VLOOKUP("Coste desvíos",$A$45:$N$70,11,FALSE)</f>
        <v>0.51</v>
      </c>
      <c r="L86" s="96">
        <f>VLOOKUP("Coste desvíos",$A$45:$N$70,12,FALSE)</f>
        <v>0.44</v>
      </c>
      <c r="M86" s="96">
        <f>VLOOKUP("Coste desvíos",$A$45:$N$70,13,FALSE)</f>
        <v>0.79</v>
      </c>
      <c r="N86" s="96">
        <f>VLOOKUP("Coste desvíos",$A$45:$N$70,14,FALSE)</f>
        <v>0.87</v>
      </c>
    </row>
    <row r="87" spans="1:16">
      <c r="A87" s="91" t="s">
        <v>63</v>
      </c>
      <c r="B87" s="96">
        <f>VLOOKUP("Saldo desvíos",$A$45:$N$70,2,FALSE)</f>
        <v>0.04</v>
      </c>
      <c r="C87" s="96">
        <f>VLOOKUP("Saldo desvíos",$A$45:$N$70,3,FALSE)</f>
        <v>-0.17</v>
      </c>
      <c r="D87" s="96">
        <f>VLOOKUP("Saldo desvíos",$A$45:$N$70,4,FALSE)</f>
        <v>-0.25</v>
      </c>
      <c r="E87" s="96">
        <f>VLOOKUP("Saldo desvíos",$A$45:$N$70,5,FALSE)</f>
        <v>0</v>
      </c>
      <c r="F87" s="96">
        <f>VLOOKUP("Saldo desvíos",$A$45:$N$70,6,FALSE)</f>
        <v>0.01</v>
      </c>
      <c r="G87" s="96">
        <f>VLOOKUP("Saldo desvíos",$A$45:$N$70,7,FALSE)</f>
        <v>0.11</v>
      </c>
      <c r="H87" s="96">
        <f>VLOOKUP("Saldo desvíos",$A$45:$N$70,8,FALSE)</f>
        <v>0.17</v>
      </c>
      <c r="I87" s="96">
        <f>VLOOKUP("Saldo desvíos",$A$45:$N$70,9,FALSE)</f>
        <v>-0.21</v>
      </c>
      <c r="J87" s="96">
        <f>VLOOKUP("Saldo desvíos",$A$45:$N$70,10,FALSE)</f>
        <v>0.02</v>
      </c>
      <c r="K87" s="96">
        <f>VLOOKUP("Saldo desvíos",$A$45:$N$70,11,FALSE)</f>
        <v>-0.08</v>
      </c>
      <c r="L87" s="96">
        <f>VLOOKUP("Saldo desvíos",$A$45:$N$70,12,FALSE)</f>
        <v>-0.14000000000000001</v>
      </c>
      <c r="M87" s="96">
        <f>VLOOKUP("Saldo desvíos",$A$45:$N$70,13,FALSE)</f>
        <v>0</v>
      </c>
      <c r="N87" s="96">
        <f>VLOOKUP("Saldo desvíos",$A$45:$N$70,14,FALSE)</f>
        <v>7.0000000000000007E-2</v>
      </c>
    </row>
    <row r="88" spans="1:16">
      <c r="A88" s="91" t="s">
        <v>23</v>
      </c>
      <c r="B88" s="96">
        <f>VLOOKUP("Control del factor de potencia",$A$45:$N$70,2,FALSE)</f>
        <v>-7.0000000000000007E-2</v>
      </c>
      <c r="C88" s="96">
        <f>VLOOKUP("Control del factor de potencia",$A$45:$N$70,3,FALSE)</f>
        <v>-0.08</v>
      </c>
      <c r="D88" s="96">
        <f>VLOOKUP("Control del factor de potencia",$A$45:$N$70,4,FALSE)</f>
        <v>-0.09</v>
      </c>
      <c r="E88" s="96">
        <f>VLOOKUP("Control del factor de potencia",$A$45:$N$70,5,FALSE)</f>
        <v>-0.08</v>
      </c>
      <c r="F88" s="96">
        <f>VLOOKUP("Control del factor de potencia",$A$45:$N$70,6,FALSE)</f>
        <v>-0.08</v>
      </c>
      <c r="G88" s="96">
        <f>VLOOKUP("Control del factor de potencia",$A$45:$N$70,7,FALSE)</f>
        <v>-0.08</v>
      </c>
      <c r="H88" s="96">
        <f>VLOOKUP("Control del factor de potencia",$A$45:$N$70,8,FALSE)</f>
        <v>-0.09</v>
      </c>
      <c r="I88" s="96">
        <f>VLOOKUP("Control del factor de potencia",$A$45:$N$70,9,FALSE)</f>
        <v>-0.09</v>
      </c>
      <c r="J88" s="96">
        <f>VLOOKUP("Control del factor de potencia",$A$45:$N$70,10,FALSE)</f>
        <v>-0.09</v>
      </c>
      <c r="K88" s="96">
        <f>VLOOKUP("Control del factor de potencia",$A$45:$N$70,11,FALSE)</f>
        <v>-0.09</v>
      </c>
      <c r="L88" s="96">
        <f>VLOOKUP("Control del factor de potencia",$A$45:$N$70,12,FALSE)</f>
        <v>-7.0000000000000007E-2</v>
      </c>
      <c r="M88" s="96">
        <f>VLOOKUP("Control del factor de potencia",$A$45:$N$70,13,FALSE)</f>
        <v>-0.08</v>
      </c>
      <c r="N88" s="96">
        <f>VLOOKUP("Control del factor de potencia",$A$45:$N$70,14,FALSE)</f>
        <v>-7.0000000000000007E-2</v>
      </c>
    </row>
    <row r="89" spans="1:16">
      <c r="A89" s="91" t="s">
        <v>262</v>
      </c>
      <c r="B89" s="96">
        <f>VLOOKUP("Servicio respuesta activa (potencia)",$A$45:$N$70,2,FALSE)</f>
        <v>0</v>
      </c>
      <c r="C89" s="96">
        <f>VLOOKUP("Servicio respuesta activa (potencia)",$A$45:$N$70,3,FALSE)</f>
        <v>0</v>
      </c>
      <c r="D89" s="96">
        <f>VLOOKUP("Servicio respuesta activa (potencia)",$A$45:$N$70,4,FALSE)</f>
        <v>-0.64</v>
      </c>
      <c r="E89" s="96">
        <f>VLOOKUP("Servicio respuesta activa (potencia)",$A$45:$N$70,5,FALSE)</f>
        <v>-0.55000000000000004</v>
      </c>
      <c r="F89" s="96">
        <f>VLOOKUP("Servicio respuesta activa (potencia)",$A$45:$N$70,6,FALSE)</f>
        <v>-0.53</v>
      </c>
      <c r="G89" s="96">
        <f>VLOOKUP("Servicio respuesta activa (potencia)",$A$45:$N$70,7,FALSE)</f>
        <v>-0.56999999999999995</v>
      </c>
      <c r="H89" s="96">
        <f>VLOOKUP("Servicio respuesta activa (potencia)",$A$45:$N$70,8,FALSE)</f>
        <v>-0.24</v>
      </c>
      <c r="I89" s="96">
        <f>VLOOKUP("Servicio respuesta activa (potencia)",$A$45:$N$70,9,FALSE)</f>
        <v>-0.22</v>
      </c>
      <c r="J89" s="96">
        <f>VLOOKUP("Servicio respuesta activa (potencia)",$A$45:$N$70,10,FALSE)+VLOOKUP("Servicio respuesta activa (I)",$A$45:$N$70,10,FALSE)</f>
        <v>-0.25</v>
      </c>
      <c r="K89" s="96">
        <f>VLOOKUP("Servicio respuesta activa (potencia)",$A$45:$N$70,11,FALSE)+VLOOKUP("Servicio respuesta activa (I)",$A$45:$N$70,11,FALSE)</f>
        <v>-0.25</v>
      </c>
      <c r="L89" s="96">
        <f>VLOOKUP("Servicio respuesta activa (potencia)",$A$45:$N$70,12,FALSE)+VLOOKUP("Servicio respuesta activa (I)",$A$45:$N$70,12,FALSE)</f>
        <v>-0.2</v>
      </c>
      <c r="M89" s="96">
        <f>VLOOKUP("Servicio respuesta activa (potencia)",$A$45:$N$70,13,FALSE)+VLOOKUP("Servicio respuesta activa (I)",$A$45:$N$70,13,FALSE)</f>
        <v>-0.22</v>
      </c>
      <c r="N89" s="96">
        <f>VLOOKUP("Servicio respuesta activa (potencia)",$A$45:$N$70,14,FALSE)</f>
        <v>-0.65</v>
      </c>
    </row>
    <row r="90" spans="1:16">
      <c r="A90" s="92" t="s">
        <v>65</v>
      </c>
      <c r="B90" s="97">
        <f>VLOOKUP("Saldo PO 14.6",$A$45:$N$70,2,FALSE)</f>
        <v>0.03</v>
      </c>
      <c r="C90" s="97">
        <f>VLOOKUP("Saldo PO 14.6",$A$45:$N$70,3,FALSE)</f>
        <v>0.03</v>
      </c>
      <c r="D90" s="97">
        <f>VLOOKUP("Saldo PO 14.6",$A$45:$N$70,4,FALSE)</f>
        <v>0.02</v>
      </c>
      <c r="E90" s="97">
        <f>VLOOKUP("Saldo PO 14.6",$A$45:$N$70,5,FALSE)</f>
        <v>7.0000000000000007E-2</v>
      </c>
      <c r="F90" s="97">
        <f>VLOOKUP("Saldo PO 14.6",$A$45:$N$70,6,FALSE)</f>
        <v>0.04</v>
      </c>
      <c r="G90" s="97">
        <f>VLOOKUP("Saldo PO 14.6",$A$45:$N$70,7,FALSE)</f>
        <v>0.01</v>
      </c>
      <c r="H90" s="97">
        <f>VLOOKUP("Saldo PO 14.6",$A$45:$N$70,8,FALSE)</f>
        <v>0.05</v>
      </c>
      <c r="I90" s="97">
        <f>VLOOKUP("Saldo PO 14.6",$A$45:$N$70,9,FALSE)</f>
        <v>0.06</v>
      </c>
      <c r="J90" s="97">
        <f>VLOOKUP("Saldo PO 14.6",$A$45:$N$70,10,FALSE)</f>
        <v>0.05</v>
      </c>
      <c r="K90" s="97">
        <f>VLOOKUP("Saldo PO 14.6",$A$45:$N$70,11,FALSE)</f>
        <v>-0.02</v>
      </c>
      <c r="L90" s="97">
        <f>VLOOKUP("Saldo PO 14.6",$A$45:$N$70,12,FALSE)</f>
        <v>0.04</v>
      </c>
      <c r="M90" s="97">
        <f>VLOOKUP("Saldo PO 14.6",$A$45:$N$70,13,FALSE)</f>
        <v>0.05</v>
      </c>
      <c r="N90" s="97">
        <f>VLOOKUP("Saldo PO 14.6",$A$45:$N$70,14,FALSE)</f>
        <v>0.05</v>
      </c>
      <c r="O90" s="175">
        <f>(SUM(N82:N90)/SUM(B82:B90)-1)</f>
        <v>-7.8037904124859114E-3</v>
      </c>
      <c r="P90" s="182">
        <f>O90*100</f>
        <v>-0.78037904124859114</v>
      </c>
    </row>
    <row r="91" spans="1:16">
      <c r="M91" s="66"/>
      <c r="N91" s="66">
        <f>SUM(N82:N90)</f>
        <v>8.8999999999999986</v>
      </c>
    </row>
    <row r="92" spans="1:16">
      <c r="A92" s="110" t="s">
        <v>44</v>
      </c>
      <c r="B92" s="89"/>
      <c r="C92" s="89"/>
      <c r="D92" s="89"/>
      <c r="E92" s="89"/>
      <c r="F92" s="89"/>
      <c r="G92" s="89"/>
      <c r="H92" s="89"/>
      <c r="I92" s="89"/>
      <c r="J92" s="89"/>
      <c r="K92" s="89"/>
      <c r="L92" s="89"/>
      <c r="N92" s="168"/>
    </row>
    <row r="93" spans="1:16" ht="39.6" customHeight="1">
      <c r="A93" s="174"/>
      <c r="B93" s="177" t="s">
        <v>1</v>
      </c>
      <c r="C93" s="177" t="s">
        <v>2</v>
      </c>
      <c r="D93" s="177" t="s">
        <v>45</v>
      </c>
      <c r="E93" s="177" t="s">
        <v>34</v>
      </c>
      <c r="F93" s="177" t="s">
        <v>238</v>
      </c>
      <c r="G93" s="177" t="s">
        <v>17</v>
      </c>
      <c r="H93" s="177" t="s">
        <v>33</v>
      </c>
      <c r="I93" s="174" t="s">
        <v>22</v>
      </c>
      <c r="J93" s="177" t="s">
        <v>37</v>
      </c>
      <c r="K93" s="174" t="s">
        <v>0</v>
      </c>
      <c r="L93" s="174" t="s">
        <v>127</v>
      </c>
    </row>
    <row r="94" spans="1:16">
      <c r="A94" s="87" t="s">
        <v>35</v>
      </c>
      <c r="B94" s="108">
        <f>VLOOKUP("Mercado Diario",$A$45:$N$61,14,FALSE)</f>
        <v>104.24</v>
      </c>
      <c r="C94" s="108">
        <f>VLOOKUP("Mercado Intradiario",$A$45:$N$61,14,FALSE)</f>
        <v>-0.08</v>
      </c>
      <c r="D94" s="108">
        <f>SUM(B94:C94)</f>
        <v>104.16</v>
      </c>
      <c r="E94" s="108">
        <f>VLOOKUP("Pago capacidad",$A$45:$N$61,14,FALSE)</f>
        <v>0.18</v>
      </c>
      <c r="F94" s="108">
        <f>VLOOKUP("Mecanismo Ajuste RD-L10/2022 Coste OM",$A$45:$N$65,14,FALSE)+VLOOKUP("Mecanismo Ajuste RD-L10/2022 Coste OS",$A$45:$N$65,14,FALSE)+VLOOKUP("Mecanismo Ajuste RD-L10/2022 Ajuste OS",$A$45:$N$65,14,FALSE)</f>
        <v>0</v>
      </c>
      <c r="G94" s="108">
        <f>E466</f>
        <v>8.8999999999999986</v>
      </c>
      <c r="H94" s="108">
        <f>VLOOKUP("Restricciones PBF",$A$45:$N$61,14,FALSE)</f>
        <v>2.85</v>
      </c>
      <c r="I94" s="108">
        <f>N84</f>
        <v>2.41</v>
      </c>
      <c r="J94" s="108">
        <f>N83+N85+N86+N87+N88+N89+N90</f>
        <v>3.6399999999999992</v>
      </c>
      <c r="K94" s="108">
        <v>113.24</v>
      </c>
      <c r="L94" s="116">
        <f>K94-SUM(D94:G94)</f>
        <v>0</v>
      </c>
    </row>
    <row r="95" spans="1:16">
      <c r="A95" s="88"/>
      <c r="B95" s="88"/>
      <c r="C95" s="88"/>
      <c r="D95" s="231">
        <f>D94/$K$94</f>
        <v>0.91981631932179442</v>
      </c>
      <c r="E95" s="231">
        <f t="shared" ref="E95:F95" si="3">E94/$K$94</f>
        <v>1.5895443306252208E-3</v>
      </c>
      <c r="F95" s="231">
        <f t="shared" si="3"/>
        <v>0</v>
      </c>
      <c r="G95" s="233">
        <f>G94/$K$94</f>
        <v>7.8594136347580348E-2</v>
      </c>
    </row>
    <row r="96" spans="1:16">
      <c r="A96" s="88" t="s">
        <v>178</v>
      </c>
      <c r="B96" s="88"/>
      <c r="C96" s="88"/>
      <c r="D96" s="88"/>
      <c r="E96" s="88"/>
      <c r="F96" s="88"/>
      <c r="G96" s="88"/>
    </row>
    <row r="97" spans="1:7">
      <c r="A97" s="190"/>
      <c r="B97" s="191"/>
      <c r="C97" s="235" t="str">
        <f>N43</f>
        <v>2023 Septiembre</v>
      </c>
      <c r="D97" s="174"/>
      <c r="E97" s="190"/>
      <c r="F97" s="191"/>
      <c r="G97" s="183" t="str">
        <f>B43</f>
        <v>2022 Septiembre</v>
      </c>
    </row>
    <row r="98" spans="1:7">
      <c r="A98" s="142" t="s">
        <v>56</v>
      </c>
      <c r="B98" s="96"/>
      <c r="C98" s="96">
        <f>IF(VLOOKUP(A98,Dat_01!$A$45:$N$69,14,FALSE)=0,"-",VLOOKUP(A98,Dat_01!$A$45:$N$69,14,FALSE)*Dat_01!$N$45)</f>
        <v>51179087.510250002</v>
      </c>
      <c r="D98" s="96"/>
      <c r="E98" s="142" t="s">
        <v>56</v>
      </c>
      <c r="F98" s="96"/>
      <c r="G98" s="96">
        <f>IF(VLOOKUP(E98,Dat_01!$A$45:$N$69,2,FALSE)=0,"-",VLOOKUP(E98,Dat_01!$A$45:$N$69,2,FALSE)*Dat_01!$B$45)</f>
        <v>16894452.61403</v>
      </c>
    </row>
    <row r="99" spans="1:7">
      <c r="A99" s="142" t="s">
        <v>57</v>
      </c>
      <c r="B99" s="96"/>
      <c r="C99" s="96">
        <f>IF(VLOOKUP(A99,Dat_01!$A$45:$N$69,14,FALSE)=0,"-",VLOOKUP(A99,Dat_01!$A$45:$N$69,14,FALSE)*Dat_01!$N$45)</f>
        <v>64467692.688349999</v>
      </c>
      <c r="D99" s="96"/>
      <c r="E99" s="142" t="s">
        <v>57</v>
      </c>
      <c r="F99" s="96"/>
      <c r="G99" s="96">
        <f>IF(VLOOKUP(E99,Dat_01!$A$45:$N$69,2,FALSE)=0,"-",VLOOKUP(E99,Dat_01!$A$45:$N$69,2,FALSE)*Dat_01!$B$45)</f>
        <v>96810908.237699986</v>
      </c>
    </row>
    <row r="100" spans="1:7">
      <c r="A100" s="142" t="s">
        <v>60</v>
      </c>
      <c r="B100" s="96"/>
      <c r="C100" s="96" t="str">
        <f>IF(VLOOKUP(A100,Dat_01!$A$45:$N$69,14,FALSE)=0,"-",VLOOKUP(A100,Dat_01!$A$45:$N$69,14,FALSE)*Dat_01!$N$45)</f>
        <v>-</v>
      </c>
      <c r="D100" s="96"/>
      <c r="E100" s="142" t="s">
        <v>60</v>
      </c>
      <c r="F100" s="96"/>
      <c r="G100" s="96" t="str">
        <f>IF(VLOOKUP(E100,Dat_01!$A$45:$N$69,2,FALSE)=0,"-",VLOOKUP(E100,Dat_01!$A$45:$N$69,2,FALSE)*Dat_01!$B$45)</f>
        <v>-</v>
      </c>
    </row>
    <row r="101" spans="1:7">
      <c r="A101" s="142" t="s">
        <v>259</v>
      </c>
      <c r="B101" s="96"/>
      <c r="C101" s="96">
        <f>IF(VLOOKUP($A$110,Dat_01!$A$45:$N$69,14,FALSE)+VLOOKUP($A$111,Dat_01!$A$45:$N$69,14,FALSE)+VLOOKUP($A$112,Dat_01!$A$45:$N$69,14,FALSE)+VLOOKUP($A$113,Dat_01!$A$45:$N$69,14,FALSE)+VLOOKUP($A$114,Dat_01!$A$45:$N$69,14,FALSE)=0,"-",(VLOOKUP($A$110,Dat_01!$A$45:$N$69,14,FALSE)+VLOOKUP($A$111,Dat_01!$A$45:$N$69,14,FALSE)+VLOOKUP($A$112,Dat_01!$A$45:$N$69,14,FALSE)+VLOOKUP($A$113,Dat_01!$A$45:$N$69,14,FALSE)+VLOOKUP($A$114,Dat_01!$A$45:$N$69,14,FALSE))*Dat_01!$N$45)</f>
        <v>43277754.701650009</v>
      </c>
      <c r="D101" s="96"/>
      <c r="E101" s="142" t="s">
        <v>259</v>
      </c>
      <c r="F101" s="96"/>
      <c r="G101" s="96">
        <f>IF(VLOOKUP($A$110,Dat_01!$A$45:$N$69,2,FALSE)+VLOOKUP($A$111,Dat_01!$A$45:$N$69,2,FALSE)+VLOOKUP($A$112,Dat_01!$A$45:$N$69,2,FALSE)+VLOOKUP($A$113,Dat_01!$A$45:$N$69,2,FALSE)+VLOOKUP($A$114,Dat_01!$A$45:$N$69,2,FALSE)=0,"-",(VLOOKUP($A$110,Dat_01!$A$45:$N$69,2,FALSE)+VLOOKUP($A$111,Dat_01!$A$45:$N$69,2,FALSE)+VLOOKUP($A$112,Dat_01!$A$45:$N$69,2,FALSE)+VLOOKUP($A$113,Dat_01!$A$45:$N$69,2,FALSE)+VLOOKUP($A$114,Dat_01!$A$45:$N$69,2,FALSE))*Dat_01!$B$45)</f>
        <v>48025803.498309992</v>
      </c>
    </row>
    <row r="102" spans="1:7">
      <c r="A102" s="142" t="s">
        <v>62</v>
      </c>
      <c r="B102" s="96"/>
      <c r="C102" s="96">
        <f>IF(VLOOKUP(A102,Dat_01!$A$45:$N$69,14,FALSE)=0,"-",VLOOKUP(A102,Dat_01!$A$45:$N$69,14,FALSE)*Dat_01!$N$45)</f>
        <v>15623089.871550001</v>
      </c>
      <c r="D102" s="96"/>
      <c r="E102" s="142" t="s">
        <v>62</v>
      </c>
      <c r="F102" s="96"/>
      <c r="G102" s="96">
        <f>IF(VLOOKUP(E102,Dat_01!$A$45:$N$69,2,FALSE)=0,"-",VLOOKUP(E102,Dat_01!$A$45:$N$69,2,FALSE)*Dat_01!$B$45)</f>
        <v>13287771.718899999</v>
      </c>
    </row>
    <row r="103" spans="1:7">
      <c r="A103" s="142" t="s">
        <v>61</v>
      </c>
      <c r="B103" s="96"/>
      <c r="C103" s="96">
        <f>IF(VLOOKUP(A103,Dat_01!$A$45:$N$69,14,FALSE)=0,"-",VLOOKUP(A103,Dat_01!$A$45:$N$69,14,FALSE)*Dat_01!$N$45)</f>
        <v>-3950666.4043000005</v>
      </c>
      <c r="D103" s="96"/>
      <c r="E103" s="142" t="s">
        <v>61</v>
      </c>
      <c r="F103" s="96"/>
      <c r="G103" s="96">
        <f>IF(VLOOKUP(E103,Dat_01!$A$45:$N$69,2,FALSE)=0,"-",VLOOKUP(E103,Dat_01!$A$45:$N$69,2,FALSE)*Dat_01!$B$45)</f>
        <v>-4745632.7567499997</v>
      </c>
    </row>
    <row r="104" spans="1:7">
      <c r="A104" s="142" t="s">
        <v>63</v>
      </c>
      <c r="B104" s="96"/>
      <c r="C104" s="96">
        <f>IF(VLOOKUP(A104,Dat_01!$A$45:$N$69,14,FALSE)=0,"-",VLOOKUP(A104,Dat_01!$A$45:$N$69,14,FALSE)*Dat_01!$N$45)</f>
        <v>1257030.2195500003</v>
      </c>
      <c r="D104" s="96"/>
      <c r="E104" s="142" t="s">
        <v>63</v>
      </c>
      <c r="F104" s="96"/>
      <c r="G104" s="96">
        <f>IF(VLOOKUP(E104,Dat_01!$A$45:$N$69,2,FALSE)=0,"-",VLOOKUP(E104,Dat_01!$A$45:$N$69,2,FALSE)*Dat_01!$B$45)</f>
        <v>759301.24107999995</v>
      </c>
    </row>
    <row r="105" spans="1:7">
      <c r="A105" s="142" t="s">
        <v>65</v>
      </c>
      <c r="B105" s="96"/>
      <c r="C105" s="96">
        <f>IF(VLOOKUP(A105,Dat_01!$A$45:$N$69,14,FALSE)=0,"-",VLOOKUP(A105,Dat_01!$A$45:$N$69,14,FALSE)*Dat_01!$N$45)</f>
        <v>897878.72825000016</v>
      </c>
      <c r="D105" s="96"/>
      <c r="E105" s="142" t="s">
        <v>65</v>
      </c>
      <c r="F105" s="96"/>
      <c r="G105" s="96">
        <f>IF(VLOOKUP(E105,Dat_01!$A$45:$N$69,2,FALSE)=0,"-",VLOOKUP(E105,Dat_01!$A$45:$N$69,2,FALSE)*Dat_01!$B$45)</f>
        <v>569475.93080999993</v>
      </c>
    </row>
    <row r="106" spans="1:7">
      <c r="A106" s="142" t="s">
        <v>262</v>
      </c>
      <c r="B106" s="96"/>
      <c r="C106" s="96">
        <f>IF(VLOOKUP($A$115,Dat_01!$A$45:$N$69,14,FALSE)=0,"-",VLOOKUP($A$115,Dat_01!$A$45:$N$69,14,FALSE)*Dat_01!$N$45)</f>
        <v>-11672423.467250001</v>
      </c>
      <c r="D106" s="96"/>
      <c r="E106" s="142" t="s">
        <v>262</v>
      </c>
      <c r="F106" s="96"/>
      <c r="G106" s="96" t="str">
        <f>IF(VLOOKUP($A$115,Dat_01!$A$45:$N$69,2,FALSE)=0,"-",VLOOKUP($A$115,Dat_01!$A$45:$N$69,2,FALSE)*Dat_01!$B$45)</f>
        <v>-</v>
      </c>
    </row>
    <row r="107" spans="1:7">
      <c r="A107" s="92" t="s">
        <v>23</v>
      </c>
      <c r="B107" s="141"/>
      <c r="C107" s="157">
        <f>IF(VLOOKUP(A107,Dat_01!$A$45:$N$69,14,FALSE)=0,"-",VLOOKUP(A107,Dat_01!$A$45:$N$69,14,FALSE)*Dat_01!$N$45)</f>
        <v>-1257030.2195500003</v>
      </c>
      <c r="D107" s="92"/>
      <c r="E107" s="92" t="s">
        <v>23</v>
      </c>
      <c r="F107" s="92"/>
      <c r="G107" s="157">
        <f>IF(VLOOKUP(E107,Dat_01!$A$45:$N$69,2,FALSE)=0,"-",VLOOKUP(E107,Dat_01!$A$45:$N$69,2,FALSE)*Dat_01!$B$45)</f>
        <v>-1328777.1718900001</v>
      </c>
    </row>
    <row r="109" spans="1:7" ht="12.6" customHeight="1">
      <c r="A109" s="236"/>
    </row>
    <row r="110" spans="1:7" ht="12.6" customHeight="1">
      <c r="A110" s="237" t="s">
        <v>282</v>
      </c>
    </row>
    <row r="111" spans="1:7" ht="12.6" customHeight="1">
      <c r="A111" s="237" t="s">
        <v>279</v>
      </c>
    </row>
    <row r="112" spans="1:7" ht="12.6" customHeight="1">
      <c r="A112" s="237" t="s">
        <v>285</v>
      </c>
    </row>
    <row r="113" spans="1:9" ht="12.6" customHeight="1">
      <c r="A113" s="237" t="s">
        <v>286</v>
      </c>
    </row>
    <row r="114" spans="1:9" ht="12.6" customHeight="1">
      <c r="A114" s="237" t="s">
        <v>287</v>
      </c>
    </row>
    <row r="115" spans="1:9" ht="12.6" customHeight="1">
      <c r="A115" s="237" t="str">
        <f>A66</f>
        <v>Servicio respuesta activa (potencia)</v>
      </c>
    </row>
    <row r="116" spans="1:9" ht="12.6" customHeight="1">
      <c r="A116" s="236"/>
    </row>
    <row r="117" spans="1:9">
      <c r="A117" s="88" t="s">
        <v>227</v>
      </c>
      <c r="B117" s="173"/>
      <c r="C117" s="173"/>
    </row>
    <row r="118" spans="1:9">
      <c r="A118" s="143" t="s">
        <v>28</v>
      </c>
      <c r="B118" s="266"/>
      <c r="C118" s="265"/>
    </row>
    <row r="119" spans="1:9">
      <c r="A119" s="144" t="s">
        <v>95</v>
      </c>
      <c r="B119" s="245" t="s">
        <v>242</v>
      </c>
      <c r="C119" s="245" t="s">
        <v>324</v>
      </c>
    </row>
    <row r="120" spans="1:9">
      <c r="A120" s="143" t="s">
        <v>192</v>
      </c>
      <c r="B120" s="172"/>
      <c r="C120" s="172"/>
    </row>
    <row r="121" spans="1:9">
      <c r="A121" s="145" t="s">
        <v>77</v>
      </c>
      <c r="B121" s="224">
        <v>274.39049999999997</v>
      </c>
      <c r="C121" s="224">
        <v>795.11680000000001</v>
      </c>
      <c r="D121" t="str">
        <f>A121</f>
        <v>Restricciones Técnicas al PBF</v>
      </c>
      <c r="F121" s="169" t="s">
        <v>209</v>
      </c>
      <c r="H121" s="176">
        <f>SUM(B121:B122)</f>
        <v>553.24326699999995</v>
      </c>
      <c r="I121" s="176">
        <f>SUM(C121:C122)</f>
        <v>1207.8922480000001</v>
      </c>
    </row>
    <row r="122" spans="1:9">
      <c r="A122" s="145" t="s">
        <v>78</v>
      </c>
      <c r="B122" s="224">
        <v>278.85276699999997</v>
      </c>
      <c r="C122" s="224">
        <v>412.77544799999998</v>
      </c>
      <c r="D122" t="s">
        <v>188</v>
      </c>
      <c r="F122" s="170" t="s">
        <v>210</v>
      </c>
      <c r="H122" s="176">
        <f>SUM(B123:B126)</f>
        <v>953.33143000000007</v>
      </c>
      <c r="I122" s="176">
        <f>SUM(C123:C126)</f>
        <v>1044.983322</v>
      </c>
    </row>
    <row r="123" spans="1:9">
      <c r="A123" s="145" t="s">
        <v>71</v>
      </c>
      <c r="B123" s="224">
        <v>330.73074700000001</v>
      </c>
      <c r="C123" s="224">
        <v>323.27601099999998</v>
      </c>
      <c r="D123" t="str">
        <f>A123</f>
        <v>Regulación secundaria</v>
      </c>
    </row>
    <row r="124" spans="1:9">
      <c r="A124" s="145" t="s">
        <v>3</v>
      </c>
      <c r="B124" s="224">
        <v>297.86868800000002</v>
      </c>
      <c r="C124" s="224">
        <v>364.77231899999998</v>
      </c>
      <c r="D124" t="str">
        <f>A124</f>
        <v>Regulación terciaria</v>
      </c>
    </row>
    <row r="125" spans="1:9">
      <c r="A125" s="145" t="s">
        <v>204</v>
      </c>
      <c r="B125" s="147">
        <f>B318/1000</f>
        <v>283.39524999999998</v>
      </c>
      <c r="C125" s="147">
        <f>N318/1000</f>
        <v>275.45600000000002</v>
      </c>
      <c r="D125" t="s">
        <v>204</v>
      </c>
    </row>
    <row r="126" spans="1:9">
      <c r="A126" s="145" t="s">
        <v>211</v>
      </c>
      <c r="B126" s="147">
        <f>B395/1000</f>
        <v>41.336744999999993</v>
      </c>
      <c r="C126" s="147">
        <f>N395/1000</f>
        <v>81.478992000000005</v>
      </c>
      <c r="D126" t="s">
        <v>213</v>
      </c>
    </row>
    <row r="127" spans="1:9">
      <c r="B127" s="204"/>
      <c r="C127" s="204"/>
    </row>
    <row r="128" spans="1:9">
      <c r="A128" s="88"/>
    </row>
    <row r="130" spans="1:17">
      <c r="A130" s="88" t="s">
        <v>219</v>
      </c>
      <c r="C130" s="171" t="str">
        <f>MID(C132,6,1)</f>
        <v>S</v>
      </c>
      <c r="D130" s="171" t="str">
        <f t="shared" ref="D130:O130" si="4">MID(D132,6,1)</f>
        <v>O</v>
      </c>
      <c r="E130" s="171" t="str">
        <f t="shared" si="4"/>
        <v>N</v>
      </c>
      <c r="F130" s="171" t="str">
        <f t="shared" si="4"/>
        <v>D</v>
      </c>
      <c r="G130" s="171" t="str">
        <f t="shared" si="4"/>
        <v>E</v>
      </c>
      <c r="H130" s="171" t="str">
        <f t="shared" si="4"/>
        <v>F</v>
      </c>
      <c r="I130" s="171" t="str">
        <f t="shared" si="4"/>
        <v>M</v>
      </c>
      <c r="J130" s="171" t="str">
        <f t="shared" si="4"/>
        <v>A</v>
      </c>
      <c r="K130" s="171" t="str">
        <f t="shared" si="4"/>
        <v>M</v>
      </c>
      <c r="L130" s="171" t="str">
        <f t="shared" si="4"/>
        <v>J</v>
      </c>
      <c r="M130" s="171" t="str">
        <f t="shared" si="4"/>
        <v>J</v>
      </c>
      <c r="N130" s="171" t="str">
        <f t="shared" si="4"/>
        <v>A</v>
      </c>
      <c r="O130" s="171" t="str">
        <f t="shared" si="4"/>
        <v>S</v>
      </c>
      <c r="P130" s="140"/>
      <c r="Q130" s="140"/>
    </row>
    <row r="131" spans="1:17">
      <c r="A131" s="143"/>
      <c r="B131" s="143" t="s">
        <v>28</v>
      </c>
      <c r="C131" s="256" t="s">
        <v>130</v>
      </c>
      <c r="D131" s="257"/>
      <c r="E131" s="257"/>
      <c r="F131" s="257"/>
      <c r="G131" s="257"/>
      <c r="H131" s="257"/>
      <c r="I131" s="257"/>
      <c r="J131" s="257"/>
      <c r="K131" s="257"/>
      <c r="L131" s="257"/>
      <c r="M131" s="257"/>
      <c r="N131" s="257"/>
      <c r="O131" s="257"/>
      <c r="P131" s="140"/>
      <c r="Q131" s="140"/>
    </row>
    <row r="132" spans="1:17">
      <c r="A132" s="143"/>
      <c r="B132" s="144" t="s">
        <v>95</v>
      </c>
      <c r="C132" s="245" t="s">
        <v>242</v>
      </c>
      <c r="D132" s="245" t="s">
        <v>244</v>
      </c>
      <c r="E132" s="245" t="s">
        <v>250</v>
      </c>
      <c r="F132" s="245" t="s">
        <v>252</v>
      </c>
      <c r="G132" s="245" t="s">
        <v>256</v>
      </c>
      <c r="H132" s="245" t="s">
        <v>263</v>
      </c>
      <c r="I132" s="245" t="s">
        <v>267</v>
      </c>
      <c r="J132" s="245" t="s">
        <v>269</v>
      </c>
      <c r="K132" s="245" t="s">
        <v>277</v>
      </c>
      <c r="L132" s="245" t="s">
        <v>288</v>
      </c>
      <c r="M132" s="245" t="s">
        <v>290</v>
      </c>
      <c r="N132" s="245" t="s">
        <v>293</v>
      </c>
      <c r="O132" s="245" t="s">
        <v>324</v>
      </c>
      <c r="P132" s="140"/>
      <c r="Q132" s="140"/>
    </row>
    <row r="133" spans="1:17">
      <c r="A133" s="143" t="s">
        <v>128</v>
      </c>
      <c r="B133" s="143" t="s">
        <v>129</v>
      </c>
      <c r="C133" s="172"/>
      <c r="D133" s="172"/>
      <c r="E133" s="172"/>
      <c r="F133" s="172"/>
      <c r="G133" s="172"/>
      <c r="H133" s="172"/>
      <c r="I133" s="172"/>
      <c r="J133" s="172"/>
      <c r="K133" s="172"/>
      <c r="L133" s="172"/>
      <c r="M133" s="172"/>
      <c r="N133" s="172"/>
      <c r="O133" s="172"/>
      <c r="P133" s="140"/>
      <c r="Q133" s="140"/>
    </row>
    <row r="134" spans="1:17">
      <c r="A134" s="252" t="s">
        <v>79</v>
      </c>
      <c r="B134" s="145" t="s">
        <v>20</v>
      </c>
      <c r="C134" s="228">
        <v>0</v>
      </c>
      <c r="D134" s="228">
        <v>3609</v>
      </c>
      <c r="E134" s="228">
        <v>0</v>
      </c>
      <c r="F134" s="228">
        <v>0</v>
      </c>
      <c r="G134" s="228">
        <v>167.2</v>
      </c>
      <c r="H134" s="228">
        <v>0</v>
      </c>
      <c r="I134" s="228">
        <v>0</v>
      </c>
      <c r="J134" s="228">
        <v>954</v>
      </c>
      <c r="K134" s="228">
        <v>0</v>
      </c>
      <c r="L134" s="228">
        <v>350.1</v>
      </c>
      <c r="M134" s="228">
        <v>0</v>
      </c>
      <c r="N134" s="228">
        <v>0</v>
      </c>
      <c r="O134" s="228">
        <v>0</v>
      </c>
      <c r="P134" s="140"/>
      <c r="Q134" s="140"/>
    </row>
    <row r="135" spans="1:17">
      <c r="A135" s="253"/>
      <c r="B135" s="145" t="s">
        <v>84</v>
      </c>
      <c r="C135" s="228">
        <v>0</v>
      </c>
      <c r="D135" s="228">
        <v>0</v>
      </c>
      <c r="E135" s="228">
        <v>0</v>
      </c>
      <c r="F135" s="228">
        <v>0</v>
      </c>
      <c r="G135" s="228">
        <v>0</v>
      </c>
      <c r="H135" s="228">
        <v>0</v>
      </c>
      <c r="I135" s="228">
        <v>0</v>
      </c>
      <c r="J135" s="228">
        <v>0</v>
      </c>
      <c r="K135" s="228">
        <v>0</v>
      </c>
      <c r="L135" s="228">
        <v>0</v>
      </c>
      <c r="M135" s="228">
        <v>0</v>
      </c>
      <c r="N135" s="228">
        <v>0</v>
      </c>
      <c r="O135" s="228">
        <v>0</v>
      </c>
      <c r="P135" s="140"/>
      <c r="Q135" s="140"/>
    </row>
    <row r="136" spans="1:17">
      <c r="A136" s="253"/>
      <c r="B136" s="145" t="s">
        <v>80</v>
      </c>
      <c r="C136" s="228">
        <v>0</v>
      </c>
      <c r="D136" s="228">
        <v>0</v>
      </c>
      <c r="E136" s="228">
        <v>0</v>
      </c>
      <c r="F136" s="228">
        <v>0</v>
      </c>
      <c r="G136" s="228">
        <v>0</v>
      </c>
      <c r="H136" s="228">
        <v>0</v>
      </c>
      <c r="I136" s="228">
        <v>0</v>
      </c>
      <c r="J136" s="228">
        <v>0</v>
      </c>
      <c r="K136" s="228">
        <v>0</v>
      </c>
      <c r="L136" s="228">
        <v>0</v>
      </c>
      <c r="M136" s="228">
        <v>0</v>
      </c>
      <c r="N136" s="228">
        <v>0</v>
      </c>
      <c r="O136" s="228">
        <v>0</v>
      </c>
      <c r="P136" s="140"/>
      <c r="Q136" s="140"/>
    </row>
    <row r="137" spans="1:17">
      <c r="A137" s="253"/>
      <c r="B137" s="145" t="s">
        <v>81</v>
      </c>
      <c r="C137" s="228">
        <v>2508</v>
      </c>
      <c r="D137" s="228">
        <v>55771</v>
      </c>
      <c r="E137" s="228">
        <v>92910</v>
      </c>
      <c r="F137" s="228">
        <v>82210</v>
      </c>
      <c r="G137" s="228">
        <v>198667</v>
      </c>
      <c r="H137" s="228">
        <v>158446.79999999999</v>
      </c>
      <c r="I137" s="228">
        <v>205470</v>
      </c>
      <c r="J137" s="228">
        <v>165579</v>
      </c>
      <c r="K137" s="228">
        <v>194640</v>
      </c>
      <c r="L137" s="228">
        <v>241510</v>
      </c>
      <c r="M137" s="228">
        <v>184698</v>
      </c>
      <c r="N137" s="228">
        <v>151988</v>
      </c>
      <c r="O137" s="228">
        <v>180894</v>
      </c>
      <c r="P137" s="140"/>
      <c r="Q137" s="140"/>
    </row>
    <row r="138" spans="1:17">
      <c r="A138" s="253"/>
      <c r="B138" s="145" t="s">
        <v>92</v>
      </c>
      <c r="C138" s="228">
        <v>0</v>
      </c>
      <c r="D138" s="228">
        <v>0</v>
      </c>
      <c r="E138" s="228">
        <v>0</v>
      </c>
      <c r="F138" s="228">
        <v>0</v>
      </c>
      <c r="G138" s="228">
        <v>0</v>
      </c>
      <c r="H138" s="228">
        <v>0</v>
      </c>
      <c r="I138" s="228">
        <v>0</v>
      </c>
      <c r="J138" s="228">
        <v>0</v>
      </c>
      <c r="K138" s="228">
        <v>0</v>
      </c>
      <c r="L138" s="228">
        <v>0</v>
      </c>
      <c r="M138" s="228">
        <v>0</v>
      </c>
      <c r="N138" s="228">
        <v>0</v>
      </c>
      <c r="O138" s="228">
        <v>0</v>
      </c>
      <c r="P138" s="140"/>
      <c r="Q138" s="140"/>
    </row>
    <row r="139" spans="1:17">
      <c r="A139" s="253"/>
      <c r="B139" s="145" t="s">
        <v>24</v>
      </c>
      <c r="C139" s="228">
        <v>177724.1</v>
      </c>
      <c r="D139" s="228">
        <v>250950.8</v>
      </c>
      <c r="E139" s="228">
        <v>369242.3</v>
      </c>
      <c r="F139" s="228">
        <v>505508.6</v>
      </c>
      <c r="G139" s="228">
        <v>672278.9</v>
      </c>
      <c r="H139" s="228">
        <v>448230.6</v>
      </c>
      <c r="I139" s="228">
        <v>431456.4</v>
      </c>
      <c r="J139" s="228">
        <v>574881.6</v>
      </c>
      <c r="K139" s="228">
        <v>639265.9</v>
      </c>
      <c r="L139" s="228">
        <v>518484.5</v>
      </c>
      <c r="M139" s="228">
        <v>569012.5</v>
      </c>
      <c r="N139" s="228">
        <v>524255.8</v>
      </c>
      <c r="O139" s="228">
        <v>537393.30000000005</v>
      </c>
      <c r="P139" s="140"/>
      <c r="Q139" s="140"/>
    </row>
    <row r="140" spans="1:17">
      <c r="A140" s="253"/>
      <c r="B140" s="145" t="s">
        <v>85</v>
      </c>
      <c r="C140" s="228">
        <v>0</v>
      </c>
      <c r="D140" s="228">
        <v>0</v>
      </c>
      <c r="E140" s="228">
        <v>0</v>
      </c>
      <c r="F140" s="228">
        <v>0</v>
      </c>
      <c r="G140" s="228">
        <v>0</v>
      </c>
      <c r="H140" s="228">
        <v>0</v>
      </c>
      <c r="I140" s="228">
        <v>0</v>
      </c>
      <c r="J140" s="228">
        <v>0</v>
      </c>
      <c r="K140" s="228">
        <v>0</v>
      </c>
      <c r="L140" s="228">
        <v>0</v>
      </c>
      <c r="M140" s="228">
        <v>0</v>
      </c>
      <c r="N140" s="228">
        <v>0</v>
      </c>
      <c r="O140" s="228">
        <v>0</v>
      </c>
      <c r="P140" s="140"/>
      <c r="Q140" s="140"/>
    </row>
    <row r="141" spans="1:17">
      <c r="A141" s="253"/>
      <c r="B141" s="145" t="s">
        <v>86</v>
      </c>
      <c r="C141" s="228">
        <v>0</v>
      </c>
      <c r="D141" s="228">
        <v>0</v>
      </c>
      <c r="E141" s="228">
        <v>0</v>
      </c>
      <c r="F141" s="228">
        <v>0</v>
      </c>
      <c r="G141" s="228">
        <v>0</v>
      </c>
      <c r="H141" s="228">
        <v>0</v>
      </c>
      <c r="I141" s="228">
        <v>0</v>
      </c>
      <c r="J141" s="228">
        <v>0</v>
      </c>
      <c r="K141" s="228">
        <v>0</v>
      </c>
      <c r="L141" s="228">
        <v>0</v>
      </c>
      <c r="M141" s="228">
        <v>0</v>
      </c>
      <c r="N141" s="228">
        <v>0</v>
      </c>
      <c r="O141" s="228">
        <v>0</v>
      </c>
      <c r="P141" s="140"/>
      <c r="Q141" s="140"/>
    </row>
    <row r="142" spans="1:17">
      <c r="A142" s="253"/>
      <c r="B142" s="145" t="s">
        <v>87</v>
      </c>
      <c r="C142" s="228">
        <v>0</v>
      </c>
      <c r="D142" s="228">
        <v>0</v>
      </c>
      <c r="E142" s="228">
        <v>0</v>
      </c>
      <c r="F142" s="228">
        <v>0</v>
      </c>
      <c r="G142" s="228">
        <v>0</v>
      </c>
      <c r="H142" s="228">
        <v>0</v>
      </c>
      <c r="I142" s="228">
        <v>0</v>
      </c>
      <c r="J142" s="228">
        <v>0</v>
      </c>
      <c r="K142" s="228">
        <v>0</v>
      </c>
      <c r="L142" s="228">
        <v>0</v>
      </c>
      <c r="M142" s="228">
        <v>0</v>
      </c>
      <c r="N142" s="228">
        <v>0</v>
      </c>
      <c r="O142" s="228">
        <v>0</v>
      </c>
      <c r="P142" s="140"/>
      <c r="Q142" s="140"/>
    </row>
    <row r="143" spans="1:17">
      <c r="A143" s="253"/>
      <c r="B143" s="145" t="s">
        <v>88</v>
      </c>
      <c r="C143" s="228">
        <v>0</v>
      </c>
      <c r="D143" s="228">
        <v>0</v>
      </c>
      <c r="E143" s="228">
        <v>0</v>
      </c>
      <c r="F143" s="228">
        <v>0</v>
      </c>
      <c r="G143" s="228">
        <v>0</v>
      </c>
      <c r="H143" s="228">
        <v>0</v>
      </c>
      <c r="I143" s="228">
        <v>0</v>
      </c>
      <c r="J143" s="228">
        <v>0</v>
      </c>
      <c r="K143" s="228">
        <v>701</v>
      </c>
      <c r="L143" s="228">
        <v>0</v>
      </c>
      <c r="M143" s="228">
        <v>0</v>
      </c>
      <c r="N143" s="228">
        <v>0</v>
      </c>
      <c r="O143" s="228">
        <v>0</v>
      </c>
      <c r="P143" s="186"/>
      <c r="Q143" s="186"/>
    </row>
    <row r="144" spans="1:17">
      <c r="A144" s="253"/>
      <c r="B144" s="145" t="s">
        <v>89</v>
      </c>
      <c r="C144" s="228">
        <v>52.5</v>
      </c>
      <c r="D144" s="228">
        <v>27</v>
      </c>
      <c r="E144" s="228">
        <v>0</v>
      </c>
      <c r="F144" s="228">
        <v>0</v>
      </c>
      <c r="G144" s="228">
        <v>0</v>
      </c>
      <c r="H144" s="228">
        <v>0</v>
      </c>
      <c r="I144" s="228">
        <v>0</v>
      </c>
      <c r="J144" s="228">
        <v>0</v>
      </c>
      <c r="K144" s="228">
        <v>0</v>
      </c>
      <c r="L144" s="228">
        <v>0</v>
      </c>
      <c r="M144" s="228">
        <v>0</v>
      </c>
      <c r="N144" s="228">
        <v>0</v>
      </c>
      <c r="O144" s="228">
        <v>0</v>
      </c>
      <c r="P144" s="186"/>
      <c r="Q144" s="186"/>
    </row>
    <row r="145" spans="1:17">
      <c r="A145" s="253"/>
      <c r="B145" s="145" t="s">
        <v>94</v>
      </c>
      <c r="C145" s="228">
        <v>0</v>
      </c>
      <c r="D145" s="228">
        <v>0</v>
      </c>
      <c r="E145" s="228">
        <v>0</v>
      </c>
      <c r="F145" s="228">
        <v>0</v>
      </c>
      <c r="G145" s="228">
        <v>0</v>
      </c>
      <c r="H145" s="228">
        <v>0</v>
      </c>
      <c r="I145" s="228">
        <v>0</v>
      </c>
      <c r="J145" s="228">
        <v>0</v>
      </c>
      <c r="K145" s="228">
        <v>0</v>
      </c>
      <c r="L145" s="228">
        <v>0</v>
      </c>
      <c r="M145" s="228">
        <v>0</v>
      </c>
      <c r="N145" s="228">
        <v>0</v>
      </c>
      <c r="O145" s="228">
        <v>0</v>
      </c>
      <c r="P145" s="186"/>
      <c r="Q145" s="186"/>
    </row>
    <row r="146" spans="1:17">
      <c r="A146" s="253"/>
      <c r="B146" s="145" t="s">
        <v>82</v>
      </c>
      <c r="C146" s="228">
        <v>4233</v>
      </c>
      <c r="D146" s="228">
        <v>16354.2</v>
      </c>
      <c r="E146" s="228">
        <v>0</v>
      </c>
      <c r="F146" s="228">
        <v>3568.7</v>
      </c>
      <c r="G146" s="228">
        <v>600</v>
      </c>
      <c r="H146" s="228">
        <v>876</v>
      </c>
      <c r="I146" s="228">
        <v>3844</v>
      </c>
      <c r="J146" s="228">
        <v>7190</v>
      </c>
      <c r="K146" s="228">
        <v>19503.3</v>
      </c>
      <c r="L146" s="228">
        <v>20561.8</v>
      </c>
      <c r="M146" s="228">
        <v>49075.9</v>
      </c>
      <c r="N146" s="228">
        <v>30631.599999999999</v>
      </c>
      <c r="O146" s="228">
        <v>4681.3</v>
      </c>
      <c r="P146" s="187"/>
      <c r="Q146" s="186"/>
    </row>
    <row r="147" spans="1:17">
      <c r="A147" s="253"/>
      <c r="B147" s="145" t="s">
        <v>90</v>
      </c>
      <c r="C147" s="228">
        <v>0</v>
      </c>
      <c r="D147" s="228">
        <v>0</v>
      </c>
      <c r="E147" s="228">
        <v>0</v>
      </c>
      <c r="F147" s="228">
        <v>0</v>
      </c>
      <c r="G147" s="228">
        <v>0</v>
      </c>
      <c r="H147" s="228">
        <v>0</v>
      </c>
      <c r="I147" s="228">
        <v>0</v>
      </c>
      <c r="J147" s="228">
        <v>0</v>
      </c>
      <c r="K147" s="228">
        <v>0</v>
      </c>
      <c r="L147" s="228">
        <v>0</v>
      </c>
      <c r="M147" s="228">
        <v>0</v>
      </c>
      <c r="N147" s="228">
        <v>0</v>
      </c>
      <c r="O147" s="228">
        <v>0</v>
      </c>
      <c r="P147" s="186"/>
      <c r="Q147" s="186"/>
    </row>
    <row r="148" spans="1:17">
      <c r="A148" s="253"/>
      <c r="B148" s="145" t="s">
        <v>91</v>
      </c>
      <c r="C148" s="228">
        <v>0</v>
      </c>
      <c r="D148" s="228">
        <v>0</v>
      </c>
      <c r="E148" s="228">
        <v>0</v>
      </c>
      <c r="F148" s="228">
        <v>0</v>
      </c>
      <c r="G148" s="228">
        <v>0</v>
      </c>
      <c r="H148" s="228">
        <v>0</v>
      </c>
      <c r="I148" s="228">
        <v>0</v>
      </c>
      <c r="J148" s="228">
        <v>0</v>
      </c>
      <c r="K148" s="228">
        <v>0</v>
      </c>
      <c r="L148" s="228">
        <v>0</v>
      </c>
      <c r="M148" s="228">
        <v>0</v>
      </c>
      <c r="N148" s="228">
        <v>0</v>
      </c>
      <c r="O148" s="228">
        <v>0</v>
      </c>
      <c r="P148" s="186"/>
      <c r="Q148" s="186"/>
    </row>
    <row r="149" spans="1:17">
      <c r="A149" s="253"/>
      <c r="B149" s="145" t="s">
        <v>93</v>
      </c>
      <c r="C149" s="228">
        <v>0</v>
      </c>
      <c r="D149" s="228">
        <v>39</v>
      </c>
      <c r="E149" s="228">
        <v>2</v>
      </c>
      <c r="F149" s="228">
        <v>0</v>
      </c>
      <c r="G149" s="228">
        <v>0</v>
      </c>
      <c r="H149" s="228">
        <v>0</v>
      </c>
      <c r="I149" s="228">
        <v>0</v>
      </c>
      <c r="J149" s="228">
        <v>0</v>
      </c>
      <c r="K149" s="228">
        <v>0</v>
      </c>
      <c r="L149" s="228">
        <v>0</v>
      </c>
      <c r="M149" s="228">
        <v>0</v>
      </c>
      <c r="N149" s="228">
        <v>0</v>
      </c>
      <c r="O149" s="228">
        <v>0</v>
      </c>
      <c r="P149" s="186"/>
      <c r="Q149" s="186"/>
    </row>
    <row r="150" spans="1:17">
      <c r="A150" s="253"/>
      <c r="B150" s="145" t="s">
        <v>228</v>
      </c>
      <c r="C150" s="228">
        <v>0</v>
      </c>
      <c r="D150" s="228">
        <v>0</v>
      </c>
      <c r="E150" s="228">
        <v>0</v>
      </c>
      <c r="F150" s="228">
        <v>0</v>
      </c>
      <c r="G150" s="228">
        <v>0</v>
      </c>
      <c r="H150" s="228">
        <v>0</v>
      </c>
      <c r="I150" s="228">
        <v>0</v>
      </c>
      <c r="J150" s="228">
        <v>0</v>
      </c>
      <c r="K150" s="228">
        <v>0</v>
      </c>
      <c r="L150" s="228">
        <v>0</v>
      </c>
      <c r="M150" s="228">
        <v>0</v>
      </c>
      <c r="N150" s="228">
        <v>0</v>
      </c>
      <c r="O150" s="228">
        <v>0</v>
      </c>
      <c r="P150" s="186"/>
      <c r="Q150" s="186"/>
    </row>
    <row r="151" spans="1:17">
      <c r="A151" s="254"/>
      <c r="B151" s="226" t="s">
        <v>0</v>
      </c>
      <c r="C151" s="229">
        <v>184517.6</v>
      </c>
      <c r="D151" s="229">
        <v>326751</v>
      </c>
      <c r="E151" s="229">
        <v>462154.3</v>
      </c>
      <c r="F151" s="229">
        <v>591287.30000000005</v>
      </c>
      <c r="G151" s="229">
        <v>871713.1</v>
      </c>
      <c r="H151" s="229">
        <v>607553.4</v>
      </c>
      <c r="I151" s="229">
        <v>640770.4</v>
      </c>
      <c r="J151" s="229">
        <v>748604.6</v>
      </c>
      <c r="K151" s="229">
        <v>854110.2</v>
      </c>
      <c r="L151" s="229">
        <v>780906.4</v>
      </c>
      <c r="M151" s="229">
        <v>802786.4</v>
      </c>
      <c r="N151" s="229">
        <v>706875.4</v>
      </c>
      <c r="O151" s="229">
        <v>722968.6</v>
      </c>
      <c r="P151" s="187">
        <f>O151/C151-1</f>
        <v>2.9181552328883531</v>
      </c>
      <c r="Q151" s="186"/>
    </row>
    <row r="152" spans="1:17">
      <c r="A152" s="255" t="s">
        <v>83</v>
      </c>
      <c r="B152" s="145" t="s">
        <v>20</v>
      </c>
      <c r="C152" s="228">
        <v>21.9</v>
      </c>
      <c r="D152" s="228">
        <v>133.6</v>
      </c>
      <c r="E152" s="228">
        <v>31.8</v>
      </c>
      <c r="F152" s="228">
        <v>124.4</v>
      </c>
      <c r="G152" s="228">
        <v>10096</v>
      </c>
      <c r="H152" s="228">
        <v>1899.6</v>
      </c>
      <c r="I152" s="228">
        <v>4513.5</v>
      </c>
      <c r="J152" s="228">
        <v>1164.0999999999999</v>
      </c>
      <c r="K152" s="228">
        <v>3513.3</v>
      </c>
      <c r="L152" s="228">
        <v>487.1</v>
      </c>
      <c r="M152" s="228">
        <v>2681.9</v>
      </c>
      <c r="N152" s="228">
        <v>821.8</v>
      </c>
      <c r="O152" s="228">
        <v>842.9</v>
      </c>
      <c r="P152" s="186"/>
      <c r="Q152" s="186"/>
    </row>
    <row r="153" spans="1:17">
      <c r="A153" s="253"/>
      <c r="B153" s="145" t="s">
        <v>84</v>
      </c>
      <c r="C153" s="228">
        <v>1184.2</v>
      </c>
      <c r="D153" s="228">
        <v>280</v>
      </c>
      <c r="E153" s="228">
        <v>190.9</v>
      </c>
      <c r="F153" s="228">
        <v>5089.6000000000004</v>
      </c>
      <c r="G153" s="228">
        <v>700</v>
      </c>
      <c r="H153" s="228">
        <v>1100</v>
      </c>
      <c r="I153" s="228">
        <v>0</v>
      </c>
      <c r="J153" s="228">
        <v>3040.7</v>
      </c>
      <c r="K153" s="228">
        <v>1549.6</v>
      </c>
      <c r="L153" s="228">
        <v>234.9</v>
      </c>
      <c r="M153" s="228">
        <v>0</v>
      </c>
      <c r="N153" s="228">
        <v>100</v>
      </c>
      <c r="O153" s="228">
        <v>800</v>
      </c>
      <c r="P153" s="186"/>
      <c r="Q153" s="186"/>
    </row>
    <row r="154" spans="1:17">
      <c r="A154" s="253"/>
      <c r="B154" s="145" t="s">
        <v>80</v>
      </c>
      <c r="C154" s="228">
        <v>0</v>
      </c>
      <c r="D154" s="228">
        <v>0</v>
      </c>
      <c r="E154" s="228">
        <v>0</v>
      </c>
      <c r="F154" s="228">
        <v>0</v>
      </c>
      <c r="G154" s="228">
        <v>0</v>
      </c>
      <c r="H154" s="228">
        <v>0</v>
      </c>
      <c r="I154" s="228">
        <v>0</v>
      </c>
      <c r="J154" s="228">
        <v>0</v>
      </c>
      <c r="K154" s="228">
        <v>0</v>
      </c>
      <c r="L154" s="228">
        <v>0</v>
      </c>
      <c r="M154" s="228">
        <v>0</v>
      </c>
      <c r="N154" s="228">
        <v>0</v>
      </c>
      <c r="O154" s="228">
        <v>0</v>
      </c>
      <c r="P154" s="186"/>
      <c r="Q154" s="186"/>
    </row>
    <row r="155" spans="1:17">
      <c r="A155" s="253"/>
      <c r="B155" s="145" t="s">
        <v>81</v>
      </c>
      <c r="C155" s="228">
        <v>0</v>
      </c>
      <c r="D155" s="228">
        <v>0</v>
      </c>
      <c r="E155" s="228">
        <v>0</v>
      </c>
      <c r="F155" s="228">
        <v>0</v>
      </c>
      <c r="G155" s="228">
        <v>0</v>
      </c>
      <c r="H155" s="228">
        <v>0</v>
      </c>
      <c r="I155" s="228">
        <v>0</v>
      </c>
      <c r="J155" s="228">
        <v>0</v>
      </c>
      <c r="K155" s="228">
        <v>0</v>
      </c>
      <c r="L155" s="228">
        <v>0</v>
      </c>
      <c r="M155" s="228">
        <v>0</v>
      </c>
      <c r="N155" s="228">
        <v>0</v>
      </c>
      <c r="O155" s="228">
        <v>0</v>
      </c>
      <c r="P155" s="186"/>
      <c r="Q155" s="186"/>
    </row>
    <row r="156" spans="1:17">
      <c r="A156" s="253"/>
      <c r="B156" s="145" t="s">
        <v>92</v>
      </c>
      <c r="C156" s="228">
        <v>0</v>
      </c>
      <c r="D156" s="228">
        <v>0</v>
      </c>
      <c r="E156" s="228">
        <v>0</v>
      </c>
      <c r="F156" s="228">
        <v>0</v>
      </c>
      <c r="G156" s="228">
        <v>0</v>
      </c>
      <c r="H156" s="228">
        <v>0</v>
      </c>
      <c r="I156" s="228">
        <v>0</v>
      </c>
      <c r="J156" s="228">
        <v>0</v>
      </c>
      <c r="K156" s="228">
        <v>0</v>
      </c>
      <c r="L156" s="228">
        <v>0</v>
      </c>
      <c r="M156" s="228">
        <v>0</v>
      </c>
      <c r="N156" s="228">
        <v>0</v>
      </c>
      <c r="O156" s="228">
        <v>0</v>
      </c>
      <c r="P156" s="186"/>
      <c r="Q156" s="186"/>
    </row>
    <row r="157" spans="1:17">
      <c r="A157" s="253"/>
      <c r="B157" s="145" t="s">
        <v>24</v>
      </c>
      <c r="C157" s="228">
        <v>38168.9</v>
      </c>
      <c r="D157" s="228">
        <v>7357.7</v>
      </c>
      <c r="E157" s="228">
        <v>0</v>
      </c>
      <c r="F157" s="228">
        <v>1594</v>
      </c>
      <c r="G157" s="228">
        <v>0</v>
      </c>
      <c r="H157" s="228">
        <v>2180.9</v>
      </c>
      <c r="I157" s="228">
        <v>0</v>
      </c>
      <c r="J157" s="228">
        <v>2280</v>
      </c>
      <c r="K157" s="228">
        <v>0</v>
      </c>
      <c r="L157" s="228">
        <v>5564.7</v>
      </c>
      <c r="M157" s="228">
        <v>16258.4</v>
      </c>
      <c r="N157" s="228">
        <v>22358.6</v>
      </c>
      <c r="O157" s="228">
        <v>1223.5</v>
      </c>
      <c r="P157" s="186"/>
      <c r="Q157" s="186"/>
    </row>
    <row r="158" spans="1:17">
      <c r="A158" s="253"/>
      <c r="B158" s="145" t="s">
        <v>85</v>
      </c>
      <c r="C158" s="228">
        <v>26054.9</v>
      </c>
      <c r="D158" s="228">
        <v>7240.9</v>
      </c>
      <c r="E158" s="228">
        <v>11271.7</v>
      </c>
      <c r="F158" s="228">
        <v>10201.799999999999</v>
      </c>
      <c r="G158" s="228">
        <v>40924.6</v>
      </c>
      <c r="H158" s="228">
        <v>30839.8</v>
      </c>
      <c r="I158" s="228">
        <v>47159</v>
      </c>
      <c r="J158" s="228">
        <v>43127.1</v>
      </c>
      <c r="K158" s="228">
        <v>112869.5</v>
      </c>
      <c r="L158" s="228">
        <v>59321.599999999999</v>
      </c>
      <c r="M158" s="228">
        <v>65114.400000000001</v>
      </c>
      <c r="N158" s="228">
        <v>113586.9</v>
      </c>
      <c r="O158" s="228">
        <v>20209.7</v>
      </c>
      <c r="P158" s="186"/>
      <c r="Q158" s="186"/>
    </row>
    <row r="159" spans="1:17">
      <c r="A159" s="253"/>
      <c r="B159" s="145" t="s">
        <v>86</v>
      </c>
      <c r="C159" s="228">
        <v>19329.3</v>
      </c>
      <c r="D159" s="228">
        <v>12900.5</v>
      </c>
      <c r="E159" s="228">
        <v>327.2</v>
      </c>
      <c r="F159" s="228">
        <v>144.30000000000001</v>
      </c>
      <c r="G159" s="228">
        <v>397.2</v>
      </c>
      <c r="H159" s="228">
        <v>1849.2</v>
      </c>
      <c r="I159" s="228">
        <v>19900.599999999999</v>
      </c>
      <c r="J159" s="228">
        <v>41530.199999999997</v>
      </c>
      <c r="K159" s="228">
        <v>31386.799999999999</v>
      </c>
      <c r="L159" s="228">
        <v>78205.899999999994</v>
      </c>
      <c r="M159" s="228">
        <v>162175.4</v>
      </c>
      <c r="N159" s="228">
        <v>30024.6</v>
      </c>
      <c r="O159" s="228">
        <v>32267.599999999999</v>
      </c>
      <c r="P159" s="187"/>
      <c r="Q159" s="187"/>
    </row>
    <row r="160" spans="1:17">
      <c r="A160" s="253"/>
      <c r="B160" s="145" t="s">
        <v>87</v>
      </c>
      <c r="C160" s="228">
        <v>4158.8999999999996</v>
      </c>
      <c r="D160" s="228">
        <v>0</v>
      </c>
      <c r="E160" s="228">
        <v>72.2</v>
      </c>
      <c r="F160" s="228">
        <v>50.3</v>
      </c>
      <c r="G160" s="228">
        <v>861</v>
      </c>
      <c r="H160" s="228">
        <v>2802</v>
      </c>
      <c r="I160" s="228">
        <v>2658.1</v>
      </c>
      <c r="J160" s="228">
        <v>8077.8</v>
      </c>
      <c r="K160" s="228">
        <v>12440.9</v>
      </c>
      <c r="L160" s="228">
        <v>6474.7</v>
      </c>
      <c r="M160" s="228">
        <v>30259.599999999999</v>
      </c>
      <c r="N160" s="228">
        <v>2441</v>
      </c>
      <c r="O160" s="228">
        <v>8109.1</v>
      </c>
      <c r="P160" s="140"/>
      <c r="Q160" s="140"/>
    </row>
    <row r="161" spans="1:20">
      <c r="A161" s="253"/>
      <c r="B161" s="145" t="s">
        <v>88</v>
      </c>
      <c r="C161" s="228">
        <v>488.4</v>
      </c>
      <c r="D161" s="228">
        <v>1214.8</v>
      </c>
      <c r="E161" s="228">
        <v>195.2</v>
      </c>
      <c r="F161" s="228">
        <v>466.5</v>
      </c>
      <c r="G161" s="228">
        <v>5902.2</v>
      </c>
      <c r="H161" s="228">
        <v>2937.8</v>
      </c>
      <c r="I161" s="228">
        <v>18046.2</v>
      </c>
      <c r="J161" s="228">
        <v>11810.8</v>
      </c>
      <c r="K161" s="228">
        <v>17047.5</v>
      </c>
      <c r="L161" s="228">
        <v>13323.5</v>
      </c>
      <c r="M161" s="228">
        <v>19750</v>
      </c>
      <c r="N161" s="228">
        <v>20882.5</v>
      </c>
      <c r="O161" s="228">
        <v>6632.4</v>
      </c>
    </row>
    <row r="162" spans="1:20">
      <c r="A162" s="253"/>
      <c r="B162" s="145" t="s">
        <v>89</v>
      </c>
      <c r="C162" s="228">
        <v>466.4</v>
      </c>
      <c r="D162" s="228">
        <v>501.7</v>
      </c>
      <c r="E162" s="228">
        <v>43.5</v>
      </c>
      <c r="F162" s="228">
        <v>68.400000000000006</v>
      </c>
      <c r="G162" s="228">
        <v>2210.8000000000002</v>
      </c>
      <c r="H162" s="228">
        <v>565.6</v>
      </c>
      <c r="I162" s="228">
        <v>523.70000000000005</v>
      </c>
      <c r="J162" s="228">
        <v>1123.7</v>
      </c>
      <c r="K162" s="228">
        <v>2033.2</v>
      </c>
      <c r="L162" s="228">
        <v>2690.6</v>
      </c>
      <c r="M162" s="228">
        <v>4946</v>
      </c>
      <c r="N162" s="228">
        <v>5978.7</v>
      </c>
      <c r="O162" s="228">
        <v>1487.4</v>
      </c>
      <c r="P162" s="195"/>
      <c r="Q162" s="195"/>
      <c r="R162" s="195"/>
      <c r="S162" s="195"/>
      <c r="T162" s="195"/>
    </row>
    <row r="163" spans="1:20">
      <c r="A163" s="253"/>
      <c r="B163" s="145" t="s">
        <v>94</v>
      </c>
      <c r="C163" s="228">
        <v>0</v>
      </c>
      <c r="D163" s="228">
        <v>0</v>
      </c>
      <c r="E163" s="228">
        <v>0</v>
      </c>
      <c r="F163" s="228">
        <v>0</v>
      </c>
      <c r="G163" s="228">
        <v>541.20000000000005</v>
      </c>
      <c r="H163" s="228">
        <v>0</v>
      </c>
      <c r="I163" s="228">
        <v>0</v>
      </c>
      <c r="J163" s="228">
        <v>0</v>
      </c>
      <c r="K163" s="228">
        <v>0</v>
      </c>
      <c r="L163" s="228">
        <v>340</v>
      </c>
      <c r="M163" s="228">
        <v>396</v>
      </c>
      <c r="N163" s="228">
        <v>1618</v>
      </c>
      <c r="O163" s="228">
        <v>0</v>
      </c>
      <c r="P163" s="195"/>
      <c r="Q163" s="195"/>
      <c r="R163" s="195"/>
      <c r="S163" s="195"/>
      <c r="T163" s="195"/>
    </row>
    <row r="164" spans="1:20">
      <c r="A164" s="253"/>
      <c r="B164" s="145" t="s">
        <v>82</v>
      </c>
      <c r="C164" s="228">
        <v>0</v>
      </c>
      <c r="D164" s="228">
        <v>0</v>
      </c>
      <c r="E164" s="228">
        <v>0</v>
      </c>
      <c r="F164" s="228">
        <v>0</v>
      </c>
      <c r="G164" s="228">
        <v>0</v>
      </c>
      <c r="H164" s="228">
        <v>0</v>
      </c>
      <c r="I164" s="228">
        <v>0</v>
      </c>
      <c r="J164" s="228">
        <v>0</v>
      </c>
      <c r="K164" s="228">
        <v>0</v>
      </c>
      <c r="L164" s="228">
        <v>0</v>
      </c>
      <c r="M164" s="228">
        <v>0</v>
      </c>
      <c r="N164" s="228">
        <v>0</v>
      </c>
      <c r="O164" s="228">
        <v>0</v>
      </c>
      <c r="P164" s="195"/>
      <c r="Q164" s="195"/>
      <c r="R164" s="195"/>
      <c r="S164" s="195"/>
      <c r="T164" s="195"/>
    </row>
    <row r="165" spans="1:20">
      <c r="A165" s="253"/>
      <c r="B165" s="145" t="s">
        <v>90</v>
      </c>
      <c r="C165" s="228">
        <v>0</v>
      </c>
      <c r="D165" s="228">
        <v>0</v>
      </c>
      <c r="E165" s="228">
        <v>0</v>
      </c>
      <c r="F165" s="228">
        <v>0</v>
      </c>
      <c r="G165" s="228">
        <v>0</v>
      </c>
      <c r="H165" s="228">
        <v>0</v>
      </c>
      <c r="I165" s="228">
        <v>0</v>
      </c>
      <c r="J165" s="228">
        <v>0</v>
      </c>
      <c r="K165" s="228">
        <v>0</v>
      </c>
      <c r="L165" s="228">
        <v>0</v>
      </c>
      <c r="M165" s="228">
        <v>0</v>
      </c>
      <c r="N165" s="228">
        <v>0</v>
      </c>
      <c r="O165" s="228">
        <v>0</v>
      </c>
      <c r="P165" s="195"/>
      <c r="Q165" s="195"/>
      <c r="R165" s="195"/>
      <c r="S165" s="195"/>
      <c r="T165" s="195"/>
    </row>
    <row r="166" spans="1:20">
      <c r="A166" s="253"/>
      <c r="B166" s="145" t="s">
        <v>91</v>
      </c>
      <c r="C166" s="228">
        <v>0</v>
      </c>
      <c r="D166" s="228">
        <v>0</v>
      </c>
      <c r="E166" s="228">
        <v>0</v>
      </c>
      <c r="F166" s="228">
        <v>0</v>
      </c>
      <c r="G166" s="228">
        <v>0</v>
      </c>
      <c r="H166" s="228">
        <v>0</v>
      </c>
      <c r="I166" s="228">
        <v>0</v>
      </c>
      <c r="J166" s="228">
        <v>0</v>
      </c>
      <c r="K166" s="228">
        <v>0</v>
      </c>
      <c r="L166" s="228">
        <v>0</v>
      </c>
      <c r="M166" s="228">
        <v>0</v>
      </c>
      <c r="N166" s="228">
        <v>0</v>
      </c>
      <c r="O166" s="228">
        <v>0</v>
      </c>
      <c r="P166" s="195"/>
      <c r="Q166" s="195"/>
      <c r="R166" s="195"/>
      <c r="S166" s="195"/>
      <c r="T166" s="195"/>
    </row>
    <row r="167" spans="1:20">
      <c r="A167" s="253"/>
      <c r="B167" s="145" t="s">
        <v>93</v>
      </c>
      <c r="C167" s="228">
        <v>0</v>
      </c>
      <c r="D167" s="228">
        <v>0</v>
      </c>
      <c r="E167" s="228">
        <v>0</v>
      </c>
      <c r="F167" s="228">
        <v>0</v>
      </c>
      <c r="G167" s="228">
        <v>0</v>
      </c>
      <c r="H167" s="228">
        <v>0</v>
      </c>
      <c r="I167" s="228">
        <v>0</v>
      </c>
      <c r="J167" s="228">
        <v>0</v>
      </c>
      <c r="K167" s="228">
        <v>0</v>
      </c>
      <c r="L167" s="228">
        <v>0</v>
      </c>
      <c r="M167" s="228">
        <v>0</v>
      </c>
      <c r="N167" s="228">
        <v>0</v>
      </c>
      <c r="O167" s="228">
        <v>0</v>
      </c>
      <c r="P167" s="195"/>
      <c r="Q167" s="195"/>
      <c r="R167" s="195"/>
      <c r="S167" s="195"/>
      <c r="T167" s="195"/>
    </row>
    <row r="168" spans="1:20">
      <c r="A168" s="253"/>
      <c r="B168" s="145" t="s">
        <v>228</v>
      </c>
      <c r="C168" s="228">
        <v>0</v>
      </c>
      <c r="D168" s="228">
        <v>0</v>
      </c>
      <c r="E168" s="228">
        <v>0</v>
      </c>
      <c r="F168" s="228">
        <v>0</v>
      </c>
      <c r="G168" s="228">
        <v>0</v>
      </c>
      <c r="H168" s="228">
        <v>0</v>
      </c>
      <c r="I168" s="228">
        <v>0</v>
      </c>
      <c r="J168" s="228">
        <v>0</v>
      </c>
      <c r="K168" s="228">
        <v>0</v>
      </c>
      <c r="L168" s="228">
        <v>0</v>
      </c>
      <c r="M168" s="228">
        <v>0</v>
      </c>
      <c r="N168" s="228">
        <v>0</v>
      </c>
      <c r="O168" s="228">
        <v>0</v>
      </c>
      <c r="P168" s="195"/>
      <c r="Q168" s="195"/>
      <c r="R168" s="195"/>
      <c r="S168" s="195"/>
      <c r="T168" s="195"/>
    </row>
    <row r="169" spans="1:20">
      <c r="A169" s="254"/>
      <c r="B169" s="226" t="s">
        <v>0</v>
      </c>
      <c r="C169" s="229">
        <v>89872.9</v>
      </c>
      <c r="D169" s="229">
        <v>29629.200000000001</v>
      </c>
      <c r="E169" s="229">
        <v>12132.5</v>
      </c>
      <c r="F169" s="229">
        <v>17739.3</v>
      </c>
      <c r="G169" s="229">
        <v>61633</v>
      </c>
      <c r="H169" s="229">
        <v>44174.9</v>
      </c>
      <c r="I169" s="229">
        <v>92801.1</v>
      </c>
      <c r="J169" s="229">
        <v>112154.4</v>
      </c>
      <c r="K169" s="229">
        <v>180840.8</v>
      </c>
      <c r="L169" s="229">
        <v>166643</v>
      </c>
      <c r="M169" s="229">
        <v>301581.7</v>
      </c>
      <c r="N169" s="229">
        <v>197812.1</v>
      </c>
      <c r="O169" s="229">
        <v>71572.600000000006</v>
      </c>
      <c r="P169" s="187">
        <f>O169/C169-1</f>
        <v>-0.20362422932830682</v>
      </c>
      <c r="Q169" s="187">
        <f>(O151+O169)/(C151+C169)-1</f>
        <v>1.8956585596075666</v>
      </c>
      <c r="R169" s="195"/>
      <c r="S169" s="195"/>
      <c r="T169" s="195"/>
    </row>
    <row r="170" spans="1:20">
      <c r="A170" s="195"/>
      <c r="B170" s="195"/>
      <c r="C170" s="203"/>
      <c r="D170" s="195"/>
      <c r="E170" s="195"/>
      <c r="F170" s="195"/>
      <c r="G170" s="195"/>
      <c r="H170" s="195"/>
      <c r="I170" s="195"/>
      <c r="J170" s="195"/>
      <c r="K170" s="195"/>
      <c r="L170" s="195"/>
      <c r="M170" s="195"/>
      <c r="N170" s="195"/>
      <c r="O170" s="203"/>
      <c r="P170" s="195"/>
      <c r="Q170" s="195"/>
      <c r="R170" s="195"/>
      <c r="S170" s="195"/>
      <c r="T170" s="195"/>
    </row>
    <row r="171" spans="1:20">
      <c r="C171" s="203"/>
      <c r="O171" s="203"/>
      <c r="P171" s="195"/>
      <c r="Q171" s="195"/>
      <c r="R171" s="195"/>
      <c r="S171" s="195"/>
      <c r="T171" s="195"/>
    </row>
    <row r="172" spans="1:20">
      <c r="O172" s="195"/>
      <c r="P172" s="195"/>
      <c r="Q172" s="195"/>
      <c r="R172" s="195"/>
      <c r="S172" s="195"/>
      <c r="T172" s="195"/>
    </row>
    <row r="173" spans="1:20">
      <c r="O173" s="195"/>
      <c r="P173" s="195"/>
      <c r="Q173" s="195"/>
      <c r="R173" s="195"/>
      <c r="S173" s="195"/>
      <c r="T173" s="195"/>
    </row>
    <row r="174" spans="1:20">
      <c r="O174" s="195"/>
      <c r="P174" s="195"/>
      <c r="Q174" s="195"/>
      <c r="R174" s="195"/>
      <c r="S174" s="195"/>
      <c r="T174" s="195"/>
    </row>
    <row r="175" spans="1:20">
      <c r="C175" s="224"/>
      <c r="O175" s="195"/>
      <c r="P175" s="195"/>
      <c r="Q175" s="195"/>
      <c r="R175" s="195"/>
      <c r="S175" s="195"/>
      <c r="T175" s="195"/>
    </row>
    <row r="176" spans="1:20">
      <c r="A176" s="195"/>
      <c r="B176" s="195"/>
      <c r="C176" s="195"/>
      <c r="D176" s="195"/>
      <c r="E176" s="195"/>
      <c r="F176" s="195"/>
      <c r="G176" s="195"/>
      <c r="H176" s="195"/>
      <c r="I176" s="195"/>
      <c r="J176" s="195"/>
      <c r="K176" s="195"/>
      <c r="L176" s="195"/>
      <c r="M176" s="195"/>
      <c r="N176" s="195"/>
      <c r="O176" s="195"/>
      <c r="P176" s="195"/>
      <c r="Q176" s="195"/>
      <c r="R176" s="195"/>
      <c r="S176" s="195"/>
      <c r="T176" s="195"/>
    </row>
    <row r="177" spans="1:21">
      <c r="A177" s="195"/>
      <c r="B177" s="195"/>
      <c r="C177" s="195"/>
      <c r="D177" s="195"/>
      <c r="E177" s="195"/>
      <c r="F177" s="195"/>
      <c r="G177" s="195"/>
      <c r="H177" s="195"/>
      <c r="I177" s="195"/>
      <c r="J177" s="195"/>
      <c r="K177" s="195"/>
      <c r="L177" s="195"/>
      <c r="M177" s="195"/>
      <c r="N177" s="195"/>
      <c r="O177" s="195"/>
      <c r="P177" s="195"/>
      <c r="Q177" s="195"/>
      <c r="R177" s="195"/>
      <c r="S177" s="195"/>
      <c r="T177" s="195"/>
    </row>
    <row r="178" spans="1:21">
      <c r="B178" s="195"/>
      <c r="C178" s="195"/>
      <c r="D178" s="195"/>
      <c r="E178" s="195"/>
      <c r="F178" s="195"/>
      <c r="G178" s="195"/>
      <c r="H178" s="195"/>
      <c r="I178" s="195"/>
      <c r="J178" s="195"/>
      <c r="K178" s="195"/>
      <c r="L178" s="195"/>
      <c r="M178" s="195"/>
      <c r="N178" s="195"/>
    </row>
    <row r="179" spans="1:21">
      <c r="A179" s="88" t="s">
        <v>230</v>
      </c>
      <c r="B179" s="195"/>
    </row>
    <row r="180" spans="1:21">
      <c r="B180" s="199" t="str">
        <f>MID(B181,6,1)</f>
        <v>S</v>
      </c>
      <c r="C180" s="199" t="str">
        <f t="shared" ref="C180:N180" si="5">MID(C181,6,1)</f>
        <v>O</v>
      </c>
      <c r="D180" s="199" t="str">
        <f t="shared" si="5"/>
        <v>N</v>
      </c>
      <c r="E180" s="199" t="str">
        <f t="shared" si="5"/>
        <v>D</v>
      </c>
      <c r="F180" s="199" t="str">
        <f t="shared" si="5"/>
        <v>E</v>
      </c>
      <c r="G180" s="199" t="str">
        <f t="shared" si="5"/>
        <v>F</v>
      </c>
      <c r="H180" s="199" t="str">
        <f t="shared" si="5"/>
        <v>M</v>
      </c>
      <c r="I180" s="199" t="str">
        <f t="shared" si="5"/>
        <v>A</v>
      </c>
      <c r="J180" s="199" t="str">
        <f t="shared" si="5"/>
        <v>M</v>
      </c>
      <c r="K180" s="199" t="str">
        <f t="shared" si="5"/>
        <v>J</v>
      </c>
      <c r="L180" s="199" t="str">
        <f t="shared" si="5"/>
        <v>J</v>
      </c>
      <c r="M180" s="199" t="str">
        <f t="shared" si="5"/>
        <v>A</v>
      </c>
      <c r="N180" s="199" t="str">
        <f t="shared" si="5"/>
        <v>S</v>
      </c>
    </row>
    <row r="181" spans="1:21">
      <c r="A181" s="143" t="s">
        <v>95</v>
      </c>
      <c r="B181" s="245" t="s">
        <v>242</v>
      </c>
      <c r="C181" s="245" t="s">
        <v>244</v>
      </c>
      <c r="D181" s="245" t="s">
        <v>250</v>
      </c>
      <c r="E181" s="245" t="s">
        <v>252</v>
      </c>
      <c r="F181" s="245" t="s">
        <v>256</v>
      </c>
      <c r="G181" s="245" t="s">
        <v>263</v>
      </c>
      <c r="H181" s="245" t="s">
        <v>267</v>
      </c>
      <c r="I181" s="245" t="s">
        <v>269</v>
      </c>
      <c r="J181" s="245" t="s">
        <v>277</v>
      </c>
      <c r="K181" s="245" t="s">
        <v>288</v>
      </c>
      <c r="L181" s="245" t="s">
        <v>290</v>
      </c>
      <c r="M181" s="245" t="s">
        <v>293</v>
      </c>
      <c r="N181" s="245" t="s">
        <v>324</v>
      </c>
      <c r="P181" s="140"/>
    </row>
    <row r="182" spans="1:21">
      <c r="A182" s="143" t="s">
        <v>28</v>
      </c>
      <c r="B182" s="172"/>
      <c r="C182" s="172"/>
      <c r="D182" s="172"/>
      <c r="E182" s="172"/>
      <c r="F182" s="172"/>
      <c r="G182" s="172"/>
      <c r="H182" s="172"/>
      <c r="I182" s="172"/>
      <c r="J182" s="172"/>
      <c r="K182" s="172"/>
      <c r="L182" s="172"/>
      <c r="M182" s="172"/>
      <c r="N182" s="172"/>
      <c r="P182" s="140"/>
    </row>
    <row r="183" spans="1:21">
      <c r="A183" s="145" t="s">
        <v>67</v>
      </c>
      <c r="B183" s="224">
        <v>816.21041666667497</v>
      </c>
      <c r="C183" s="224">
        <v>822.82617449664997</v>
      </c>
      <c r="D183" s="224">
        <v>823.95694444444996</v>
      </c>
      <c r="E183" s="224">
        <v>816.37365591397497</v>
      </c>
      <c r="F183" s="224">
        <v>820.97681451612505</v>
      </c>
      <c r="G183" s="224">
        <v>826.22172619047501</v>
      </c>
      <c r="H183" s="224">
        <v>823.77792732167495</v>
      </c>
      <c r="I183" s="224">
        <v>823.60972222222495</v>
      </c>
      <c r="J183" s="224">
        <v>822.85887096775002</v>
      </c>
      <c r="K183" s="224">
        <v>823.94027777777501</v>
      </c>
      <c r="L183" s="224">
        <v>824.27654569892502</v>
      </c>
      <c r="M183" s="224">
        <v>824.01747311827501</v>
      </c>
      <c r="N183" s="224">
        <v>822.56562499999995</v>
      </c>
      <c r="O183" s="188">
        <f>N183/B183-1</f>
        <v>7.7862377195319077E-3</v>
      </c>
      <c r="P183" s="140"/>
    </row>
    <row r="184" spans="1:21">
      <c r="A184" s="145" t="s">
        <v>68</v>
      </c>
      <c r="B184" s="224">
        <v>815.74097222222497</v>
      </c>
      <c r="C184" s="224">
        <v>822.44496644294998</v>
      </c>
      <c r="D184" s="224">
        <v>823.82916666667495</v>
      </c>
      <c r="E184" s="224">
        <v>816.37231182795006</v>
      </c>
      <c r="F184" s="224">
        <v>821.40826612902504</v>
      </c>
      <c r="G184" s="224">
        <v>825.95238095237505</v>
      </c>
      <c r="H184" s="224">
        <v>824.18304172274998</v>
      </c>
      <c r="I184" s="224">
        <v>824.38055555555002</v>
      </c>
      <c r="J184" s="224">
        <v>823.33736559140004</v>
      </c>
      <c r="K184" s="224">
        <v>823.52083333332496</v>
      </c>
      <c r="L184" s="224">
        <v>823.92842741934999</v>
      </c>
      <c r="M184" s="224">
        <v>824.32795698924997</v>
      </c>
      <c r="N184" s="224">
        <v>822.96006944445003</v>
      </c>
      <c r="O184" s="188"/>
      <c r="P184" s="140"/>
    </row>
    <row r="185" spans="1:21">
      <c r="C185" s="228"/>
      <c r="P185" s="140"/>
    </row>
    <row r="186" spans="1:21">
      <c r="C186" s="228"/>
      <c r="P186" s="140"/>
    </row>
    <row r="187" spans="1:21">
      <c r="A187" s="88" t="s">
        <v>231</v>
      </c>
      <c r="B187" s="199" t="str">
        <f>MID(B189,6,1)</f>
        <v>S</v>
      </c>
      <c r="C187" s="199" t="str">
        <f t="shared" ref="C187:N187" si="6">MID(C189,6,1)</f>
        <v>O</v>
      </c>
      <c r="D187" s="199" t="str">
        <f t="shared" si="6"/>
        <v>N</v>
      </c>
      <c r="E187" s="199" t="str">
        <f t="shared" si="6"/>
        <v>D</v>
      </c>
      <c r="F187" s="199" t="str">
        <f t="shared" si="6"/>
        <v>E</v>
      </c>
      <c r="G187" s="199" t="str">
        <f t="shared" si="6"/>
        <v>F</v>
      </c>
      <c r="H187" s="199" t="str">
        <f t="shared" si="6"/>
        <v>M</v>
      </c>
      <c r="I187" s="199" t="str">
        <f t="shared" si="6"/>
        <v>A</v>
      </c>
      <c r="J187" s="199" t="str">
        <f t="shared" si="6"/>
        <v>M</v>
      </c>
      <c r="K187" s="199" t="str">
        <f t="shared" si="6"/>
        <v>J</v>
      </c>
      <c r="L187" s="199" t="str">
        <f t="shared" si="6"/>
        <v>J</v>
      </c>
      <c r="M187" s="199" t="str">
        <f t="shared" si="6"/>
        <v>A</v>
      </c>
      <c r="N187" s="199" t="str">
        <f t="shared" si="6"/>
        <v>S</v>
      </c>
      <c r="P187" s="186"/>
      <c r="Q187" s="186"/>
    </row>
    <row r="188" spans="1:21">
      <c r="A188" s="143" t="s">
        <v>28</v>
      </c>
      <c r="B188" s="256" t="s">
        <v>271</v>
      </c>
      <c r="C188" s="257"/>
      <c r="D188" s="257"/>
      <c r="E188" s="257"/>
      <c r="F188" s="257"/>
      <c r="G188" s="257"/>
      <c r="H188" s="257"/>
      <c r="I188" s="257"/>
      <c r="J188" s="257"/>
      <c r="K188" s="257"/>
      <c r="L188" s="257"/>
      <c r="M188" s="257"/>
      <c r="N188" s="257"/>
      <c r="P188" s="186"/>
      <c r="Q188" s="186"/>
    </row>
    <row r="189" spans="1:21">
      <c r="A189" s="143" t="s">
        <v>95</v>
      </c>
      <c r="B189" s="245" t="s">
        <v>242</v>
      </c>
      <c r="C189" s="245" t="s">
        <v>244</v>
      </c>
      <c r="D189" s="245" t="s">
        <v>250</v>
      </c>
      <c r="E189" s="245" t="s">
        <v>252</v>
      </c>
      <c r="F189" s="245" t="s">
        <v>256</v>
      </c>
      <c r="G189" s="245" t="s">
        <v>263</v>
      </c>
      <c r="H189" s="245" t="s">
        <v>267</v>
      </c>
      <c r="I189" s="245" t="s">
        <v>269</v>
      </c>
      <c r="J189" s="245" t="s">
        <v>277</v>
      </c>
      <c r="K189" s="245" t="s">
        <v>288</v>
      </c>
      <c r="L189" s="245" t="s">
        <v>290</v>
      </c>
      <c r="M189" s="245" t="s">
        <v>293</v>
      </c>
      <c r="N189" s="245" t="s">
        <v>324</v>
      </c>
      <c r="P189" s="186"/>
      <c r="Q189" s="186"/>
    </row>
    <row r="190" spans="1:21">
      <c r="A190" s="143" t="s">
        <v>128</v>
      </c>
      <c r="B190" s="172"/>
      <c r="C190" s="172"/>
      <c r="D190" s="172"/>
      <c r="E190" s="172"/>
      <c r="F190" s="172"/>
      <c r="G190" s="172"/>
      <c r="H190" s="172"/>
      <c r="I190" s="172"/>
      <c r="J190" s="172"/>
      <c r="K190" s="172"/>
      <c r="L190" s="172"/>
      <c r="M190" s="172"/>
      <c r="N190" s="172"/>
      <c r="O190" s="188"/>
      <c r="P190" s="186"/>
      <c r="Q190" s="186"/>
    </row>
    <row r="191" spans="1:21">
      <c r="A191" s="145" t="s">
        <v>83</v>
      </c>
      <c r="B191" s="228">
        <v>234.98352499999999</v>
      </c>
      <c r="C191" s="228">
        <v>218.68865</v>
      </c>
      <c r="D191" s="228">
        <v>176.11584999999999</v>
      </c>
      <c r="E191" s="228">
        <v>183.60487499999999</v>
      </c>
      <c r="F191" s="228">
        <v>165.83975000000001</v>
      </c>
      <c r="G191" s="228">
        <v>184.155</v>
      </c>
      <c r="H191" s="228">
        <v>182.0497</v>
      </c>
      <c r="I191" s="228">
        <v>93.895724999999999</v>
      </c>
      <c r="J191" s="228">
        <v>120.06345</v>
      </c>
      <c r="K191" s="228">
        <v>197.6866</v>
      </c>
      <c r="L191" s="228">
        <v>191.74680000000001</v>
      </c>
      <c r="M191" s="228">
        <v>148.50980000000001</v>
      </c>
      <c r="N191" s="228">
        <v>162.49619999999999</v>
      </c>
      <c r="O191" s="188">
        <f>N191/B191-1</f>
        <v>-0.30847832842749301</v>
      </c>
      <c r="P191" s="186"/>
      <c r="Q191" s="186"/>
      <c r="S191" s="117"/>
      <c r="T191" s="117"/>
      <c r="U191" s="117"/>
    </row>
    <row r="192" spans="1:21">
      <c r="A192" s="145" t="s">
        <v>79</v>
      </c>
      <c r="B192" s="228">
        <v>95.748275000000007</v>
      </c>
      <c r="C192" s="228">
        <v>118.914025</v>
      </c>
      <c r="D192" s="228">
        <v>126.6534</v>
      </c>
      <c r="E192" s="228">
        <v>143.00412499999999</v>
      </c>
      <c r="F192" s="228">
        <v>166.86167499999999</v>
      </c>
      <c r="G192" s="228">
        <v>132.923225</v>
      </c>
      <c r="H192" s="228">
        <v>185.84370000000001</v>
      </c>
      <c r="I192" s="228">
        <v>310.96409999999997</v>
      </c>
      <c r="J192" s="228">
        <v>263.08567499999998</v>
      </c>
      <c r="K192" s="228">
        <v>155.79734999999999</v>
      </c>
      <c r="L192" s="228">
        <v>150.423925</v>
      </c>
      <c r="M192" s="228">
        <v>179.72805</v>
      </c>
      <c r="N192" s="228">
        <v>160.777525</v>
      </c>
      <c r="O192" s="188">
        <f>N192/B192-1</f>
        <v>0.67916889364325339</v>
      </c>
      <c r="P192" s="188">
        <f>(N191+N192)/(B191+B192)-1</f>
        <v>-2.2550220450528236E-2</v>
      </c>
      <c r="Q192" s="186"/>
      <c r="S192" s="117"/>
      <c r="T192" s="117"/>
      <c r="U192" s="117"/>
    </row>
    <row r="193" spans="1:17">
      <c r="B193" s="204"/>
      <c r="M193" s="204"/>
      <c r="N193" s="204"/>
    </row>
    <row r="194" spans="1:17">
      <c r="A194" s="88" t="s">
        <v>232</v>
      </c>
      <c r="C194" s="171" t="str">
        <f t="shared" ref="C194:O194" si="7">MID(C196,6,1)</f>
        <v>S</v>
      </c>
      <c r="D194" s="171" t="str">
        <f t="shared" si="7"/>
        <v>O</v>
      </c>
      <c r="E194" s="171" t="str">
        <f t="shared" si="7"/>
        <v>N</v>
      </c>
      <c r="F194" s="171" t="str">
        <f t="shared" si="7"/>
        <v>D</v>
      </c>
      <c r="G194" s="171" t="str">
        <f t="shared" si="7"/>
        <v>E</v>
      </c>
      <c r="H194" s="171" t="str">
        <f t="shared" si="7"/>
        <v>F</v>
      </c>
      <c r="I194" s="171" t="str">
        <f t="shared" si="7"/>
        <v>M</v>
      </c>
      <c r="J194" s="171" t="str">
        <f t="shared" si="7"/>
        <v>A</v>
      </c>
      <c r="K194" s="171" t="str">
        <f t="shared" si="7"/>
        <v>M</v>
      </c>
      <c r="L194" s="171" t="str">
        <f t="shared" si="7"/>
        <v>J</v>
      </c>
      <c r="M194" s="171" t="str">
        <f t="shared" si="7"/>
        <v>J</v>
      </c>
      <c r="N194" s="171" t="str">
        <f t="shared" si="7"/>
        <v>A</v>
      </c>
      <c r="O194" s="171" t="str">
        <f t="shared" si="7"/>
        <v>S</v>
      </c>
    </row>
    <row r="195" spans="1:17">
      <c r="A195" s="143"/>
      <c r="B195" s="143" t="s">
        <v>28</v>
      </c>
      <c r="C195" s="256" t="s">
        <v>212</v>
      </c>
      <c r="D195" s="257"/>
      <c r="E195" s="257"/>
      <c r="F195" s="257"/>
      <c r="G195" s="257"/>
      <c r="H195" s="257"/>
      <c r="I195" s="257"/>
      <c r="J195" s="257"/>
      <c r="K195" s="257"/>
      <c r="L195" s="257"/>
      <c r="M195" s="257"/>
      <c r="N195" s="257"/>
      <c r="O195" s="257"/>
      <c r="P195" s="186"/>
      <c r="Q195" s="186"/>
    </row>
    <row r="196" spans="1:17">
      <c r="A196" s="143"/>
      <c r="B196" s="144" t="s">
        <v>95</v>
      </c>
      <c r="C196" s="245" t="s">
        <v>242</v>
      </c>
      <c r="D196" s="245" t="s">
        <v>244</v>
      </c>
      <c r="E196" s="245" t="s">
        <v>250</v>
      </c>
      <c r="F196" s="245" t="s">
        <v>252</v>
      </c>
      <c r="G196" s="245" t="s">
        <v>256</v>
      </c>
      <c r="H196" s="245" t="s">
        <v>263</v>
      </c>
      <c r="I196" s="245" t="s">
        <v>267</v>
      </c>
      <c r="J196" s="245" t="s">
        <v>269</v>
      </c>
      <c r="K196" s="245" t="s">
        <v>277</v>
      </c>
      <c r="L196" s="245" t="s">
        <v>288</v>
      </c>
      <c r="M196" s="245" t="s">
        <v>290</v>
      </c>
      <c r="N196" s="245" t="s">
        <v>293</v>
      </c>
      <c r="O196" s="245" t="s">
        <v>324</v>
      </c>
      <c r="P196" s="186"/>
      <c r="Q196" s="186"/>
    </row>
    <row r="197" spans="1:17">
      <c r="A197" s="143" t="s">
        <v>128</v>
      </c>
      <c r="B197" s="143" t="s">
        <v>129</v>
      </c>
      <c r="C197" s="172"/>
      <c r="D197" s="172"/>
      <c r="E197" s="172"/>
      <c r="F197" s="172"/>
      <c r="G197" s="172"/>
      <c r="H197" s="172"/>
      <c r="I197" s="172"/>
      <c r="J197" s="172"/>
      <c r="K197" s="172"/>
      <c r="L197" s="172"/>
      <c r="M197" s="172"/>
      <c r="N197" s="172"/>
      <c r="O197" s="172"/>
      <c r="P197" s="186"/>
      <c r="Q197" s="186"/>
    </row>
    <row r="198" spans="1:17">
      <c r="A198" s="252" t="s">
        <v>79</v>
      </c>
      <c r="B198" s="145" t="s">
        <v>90</v>
      </c>
      <c r="C198" s="225">
        <v>0</v>
      </c>
      <c r="D198" s="225">
        <v>0</v>
      </c>
      <c r="E198" s="225">
        <v>0</v>
      </c>
      <c r="F198" s="225">
        <v>0</v>
      </c>
      <c r="G198" s="225">
        <v>0</v>
      </c>
      <c r="H198" s="225">
        <v>0</v>
      </c>
      <c r="I198" s="225">
        <v>0</v>
      </c>
      <c r="J198" s="225">
        <v>0</v>
      </c>
      <c r="K198" s="225">
        <v>0</v>
      </c>
      <c r="L198" s="225">
        <v>0</v>
      </c>
      <c r="M198" s="225">
        <v>0</v>
      </c>
      <c r="N198" s="225">
        <v>0</v>
      </c>
      <c r="O198" s="225">
        <v>0</v>
      </c>
      <c r="P198" s="186"/>
      <c r="Q198" s="186"/>
    </row>
    <row r="199" spans="1:17">
      <c r="A199" s="253"/>
      <c r="B199" s="145" t="s">
        <v>81</v>
      </c>
      <c r="C199" s="225">
        <v>2432.4749999999999</v>
      </c>
      <c r="D199" s="225">
        <v>1876.1</v>
      </c>
      <c r="E199" s="225">
        <v>1396.0250000000001</v>
      </c>
      <c r="F199" s="225">
        <v>1126.2080000000001</v>
      </c>
      <c r="G199" s="225">
        <v>478.95</v>
      </c>
      <c r="H199" s="225">
        <v>2850.9250000000002</v>
      </c>
      <c r="I199" s="225">
        <v>1195.0250000000001</v>
      </c>
      <c r="J199" s="225">
        <v>218.875</v>
      </c>
      <c r="K199" s="225">
        <v>150.482</v>
      </c>
      <c r="L199" s="225">
        <v>1968.9749999999999</v>
      </c>
      <c r="M199" s="225">
        <v>1606.69</v>
      </c>
      <c r="N199" s="225">
        <v>2991.569</v>
      </c>
      <c r="O199" s="225">
        <v>1098.8820000000001</v>
      </c>
      <c r="P199" s="186"/>
      <c r="Q199" s="186"/>
    </row>
    <row r="200" spans="1:17">
      <c r="A200" s="253"/>
      <c r="B200" s="145" t="s">
        <v>24</v>
      </c>
      <c r="C200" s="225">
        <v>52018.85</v>
      </c>
      <c r="D200" s="225">
        <v>110603.205</v>
      </c>
      <c r="E200" s="225">
        <v>61724.955000000002</v>
      </c>
      <c r="F200" s="225">
        <v>59335.684000000001</v>
      </c>
      <c r="G200" s="225">
        <v>39560.875</v>
      </c>
      <c r="H200" s="225">
        <v>76083.274999999994</v>
      </c>
      <c r="I200" s="225">
        <v>52392.533000000003</v>
      </c>
      <c r="J200" s="225">
        <v>57485.65</v>
      </c>
      <c r="K200" s="225">
        <v>86315.464999999997</v>
      </c>
      <c r="L200" s="225">
        <v>142738.351</v>
      </c>
      <c r="M200" s="225">
        <v>149175.946</v>
      </c>
      <c r="N200" s="225">
        <v>115032.711</v>
      </c>
      <c r="O200" s="225">
        <v>67978.899999999994</v>
      </c>
      <c r="P200" s="186"/>
      <c r="Q200" s="186"/>
    </row>
    <row r="201" spans="1:17">
      <c r="A201" s="253"/>
      <c r="B201" s="145" t="s">
        <v>88</v>
      </c>
      <c r="C201" s="225">
        <v>0.5</v>
      </c>
      <c r="D201" s="225">
        <v>45</v>
      </c>
      <c r="E201" s="225">
        <v>198.00800000000001</v>
      </c>
      <c r="F201" s="225">
        <v>104.85</v>
      </c>
      <c r="G201" s="225">
        <v>26.867000000000001</v>
      </c>
      <c r="H201" s="225">
        <v>1.55</v>
      </c>
      <c r="I201" s="225">
        <v>3.3</v>
      </c>
      <c r="J201" s="225">
        <v>46.225000000000001</v>
      </c>
      <c r="K201" s="225">
        <v>30</v>
      </c>
      <c r="L201" s="225">
        <v>35.225000000000001</v>
      </c>
      <c r="M201" s="225">
        <v>137.97499999999999</v>
      </c>
      <c r="N201" s="225">
        <v>108.25</v>
      </c>
      <c r="O201" s="225">
        <v>0.25</v>
      </c>
      <c r="P201" s="186"/>
      <c r="Q201" s="186"/>
    </row>
    <row r="202" spans="1:17">
      <c r="A202" s="253"/>
      <c r="B202" s="145" t="s">
        <v>82</v>
      </c>
      <c r="C202" s="225">
        <v>16627</v>
      </c>
      <c r="D202" s="225">
        <v>25745.4</v>
      </c>
      <c r="E202" s="225">
        <v>21869.974999999999</v>
      </c>
      <c r="F202" s="225">
        <v>37837.800000000003</v>
      </c>
      <c r="G202" s="225">
        <v>43909.241999999998</v>
      </c>
      <c r="H202" s="225">
        <v>6739.65</v>
      </c>
      <c r="I202" s="225">
        <v>16393.157999999999</v>
      </c>
      <c r="J202" s="225">
        <v>15258.174999999999</v>
      </c>
      <c r="K202" s="225">
        <v>13099.874</v>
      </c>
      <c r="L202" s="225">
        <v>27797.375</v>
      </c>
      <c r="M202" s="225">
        <v>35048.925000000003</v>
      </c>
      <c r="N202" s="225">
        <v>37912.341</v>
      </c>
      <c r="O202" s="225">
        <v>23304.2</v>
      </c>
      <c r="P202" s="186"/>
      <c r="Q202" s="186"/>
    </row>
    <row r="203" spans="1:17">
      <c r="A203" s="253"/>
      <c r="B203" s="145" t="s">
        <v>91</v>
      </c>
      <c r="C203" s="225">
        <v>0</v>
      </c>
      <c r="D203" s="225">
        <v>0</v>
      </c>
      <c r="E203" s="225">
        <v>0</v>
      </c>
      <c r="F203" s="225">
        <v>0</v>
      </c>
      <c r="G203" s="225">
        <v>0</v>
      </c>
      <c r="H203" s="225">
        <v>0</v>
      </c>
      <c r="I203" s="225">
        <v>0</v>
      </c>
      <c r="J203" s="225">
        <v>0</v>
      </c>
      <c r="K203" s="225">
        <v>0</v>
      </c>
      <c r="L203" s="225">
        <v>0</v>
      </c>
      <c r="M203" s="225">
        <v>0</v>
      </c>
      <c r="N203" s="225">
        <v>0</v>
      </c>
      <c r="O203" s="225">
        <v>0</v>
      </c>
      <c r="P203" s="186"/>
      <c r="Q203" s="186"/>
    </row>
    <row r="204" spans="1:17">
      <c r="A204" s="253"/>
      <c r="B204" s="145" t="s">
        <v>85</v>
      </c>
      <c r="C204" s="225">
        <v>8549.8250000000007</v>
      </c>
      <c r="D204" s="225">
        <v>17659.375</v>
      </c>
      <c r="E204" s="225">
        <v>11579.495000000001</v>
      </c>
      <c r="F204" s="225">
        <v>20596.98</v>
      </c>
      <c r="G204" s="225">
        <v>28275.092000000001</v>
      </c>
      <c r="H204" s="225">
        <v>9661.1749999999993</v>
      </c>
      <c r="I204" s="225">
        <v>13789.6</v>
      </c>
      <c r="J204" s="225">
        <v>18096.25</v>
      </c>
      <c r="K204" s="225">
        <v>12607.441000000001</v>
      </c>
      <c r="L204" s="225">
        <v>14167.174999999999</v>
      </c>
      <c r="M204" s="225">
        <v>16290.2</v>
      </c>
      <c r="N204" s="225">
        <v>14171.547</v>
      </c>
      <c r="O204" s="225">
        <v>10673.95</v>
      </c>
      <c r="P204" s="186"/>
      <c r="Q204" s="186"/>
    </row>
    <row r="205" spans="1:17">
      <c r="A205" s="253"/>
      <c r="B205" s="145" t="s">
        <v>92</v>
      </c>
      <c r="C205" s="225">
        <v>0</v>
      </c>
      <c r="D205" s="225">
        <v>0</v>
      </c>
      <c r="E205" s="225">
        <v>0</v>
      </c>
      <c r="F205" s="225">
        <v>0</v>
      </c>
      <c r="G205" s="225">
        <v>0</v>
      </c>
      <c r="H205" s="225">
        <v>0</v>
      </c>
      <c r="I205" s="225">
        <v>0</v>
      </c>
      <c r="J205" s="225">
        <v>0</v>
      </c>
      <c r="K205" s="225">
        <v>0</v>
      </c>
      <c r="L205" s="225">
        <v>0</v>
      </c>
      <c r="M205" s="225">
        <v>0</v>
      </c>
      <c r="N205" s="225">
        <v>0</v>
      </c>
      <c r="O205" s="225">
        <v>0</v>
      </c>
      <c r="P205" s="186"/>
      <c r="Q205" s="186"/>
    </row>
    <row r="206" spans="1:17">
      <c r="A206" s="253"/>
      <c r="B206" s="145" t="s">
        <v>20</v>
      </c>
      <c r="C206" s="225">
        <v>9810.2999999999993</v>
      </c>
      <c r="D206" s="225">
        <v>17006.05</v>
      </c>
      <c r="E206" s="225">
        <v>12449.174999999999</v>
      </c>
      <c r="F206" s="225">
        <v>45465.167999999998</v>
      </c>
      <c r="G206" s="225">
        <v>20601.292000000001</v>
      </c>
      <c r="H206" s="225">
        <v>19240.099999999999</v>
      </c>
      <c r="I206" s="225">
        <v>16980.517</v>
      </c>
      <c r="J206" s="225">
        <v>24086.65</v>
      </c>
      <c r="K206" s="225">
        <v>17784.925999999999</v>
      </c>
      <c r="L206" s="225">
        <v>51399.925000000003</v>
      </c>
      <c r="M206" s="225">
        <v>39637.497000000003</v>
      </c>
      <c r="N206" s="225">
        <v>50649.252</v>
      </c>
      <c r="O206" s="225">
        <v>16895.894</v>
      </c>
      <c r="P206" s="186"/>
      <c r="Q206" s="186"/>
    </row>
    <row r="207" spans="1:17">
      <c r="A207" s="253"/>
      <c r="B207" s="145" t="s">
        <v>228</v>
      </c>
      <c r="C207" s="225">
        <v>0</v>
      </c>
      <c r="D207" s="225">
        <v>0</v>
      </c>
      <c r="E207" s="225">
        <v>0</v>
      </c>
      <c r="F207" s="225">
        <v>0</v>
      </c>
      <c r="G207" s="225">
        <v>0</v>
      </c>
      <c r="H207" s="225">
        <v>0</v>
      </c>
      <c r="I207" s="225">
        <v>0</v>
      </c>
      <c r="J207" s="225">
        <v>0</v>
      </c>
      <c r="K207" s="225">
        <v>0</v>
      </c>
      <c r="L207" s="225">
        <v>0</v>
      </c>
      <c r="M207" s="225">
        <v>0</v>
      </c>
      <c r="N207" s="225">
        <v>0</v>
      </c>
      <c r="O207" s="225">
        <v>0</v>
      </c>
      <c r="P207" s="186"/>
      <c r="Q207" s="186"/>
    </row>
    <row r="208" spans="1:17">
      <c r="A208" s="253"/>
      <c r="B208" s="145" t="s">
        <v>93</v>
      </c>
      <c r="C208" s="225">
        <v>0</v>
      </c>
      <c r="D208" s="225">
        <v>0</v>
      </c>
      <c r="E208" s="225">
        <v>0</v>
      </c>
      <c r="F208" s="225">
        <v>0</v>
      </c>
      <c r="G208" s="225">
        <v>0</v>
      </c>
      <c r="H208" s="225">
        <v>0</v>
      </c>
      <c r="I208" s="225">
        <v>0</v>
      </c>
      <c r="J208" s="225">
        <v>0</v>
      </c>
      <c r="K208" s="225">
        <v>0</v>
      </c>
      <c r="L208" s="225">
        <v>0</v>
      </c>
      <c r="M208" s="225">
        <v>0</v>
      </c>
      <c r="N208" s="225">
        <v>0</v>
      </c>
      <c r="O208" s="225">
        <v>0</v>
      </c>
      <c r="P208" s="186"/>
      <c r="Q208" s="186"/>
    </row>
    <row r="209" spans="1:17">
      <c r="A209" s="253"/>
      <c r="B209" s="145" t="s">
        <v>80</v>
      </c>
      <c r="C209" s="225">
        <v>0</v>
      </c>
      <c r="D209" s="225">
        <v>12.824999999999999</v>
      </c>
      <c r="E209" s="225">
        <v>266.72500000000002</v>
      </c>
      <c r="F209" s="225">
        <v>544.29999999999995</v>
      </c>
      <c r="G209" s="225">
        <v>143.6</v>
      </c>
      <c r="H209" s="225">
        <v>0</v>
      </c>
      <c r="I209" s="225">
        <v>40.625</v>
      </c>
      <c r="J209" s="225">
        <v>63.45</v>
      </c>
      <c r="K209" s="225">
        <v>256.32499999999999</v>
      </c>
      <c r="L209" s="225">
        <v>228.125</v>
      </c>
      <c r="M209" s="225">
        <v>0</v>
      </c>
      <c r="N209" s="225">
        <v>261.17500000000001</v>
      </c>
      <c r="O209" s="225">
        <v>188.6</v>
      </c>
      <c r="P209" s="186"/>
      <c r="Q209" s="186"/>
    </row>
    <row r="210" spans="1:17">
      <c r="A210" s="253"/>
      <c r="B210" s="145" t="s">
        <v>89</v>
      </c>
      <c r="C210" s="225">
        <v>23</v>
      </c>
      <c r="D210" s="225">
        <v>16.600000000000001</v>
      </c>
      <c r="E210" s="225">
        <v>0</v>
      </c>
      <c r="F210" s="225">
        <v>0</v>
      </c>
      <c r="G210" s="225">
        <v>0</v>
      </c>
      <c r="H210" s="225">
        <v>0</v>
      </c>
      <c r="I210" s="225">
        <v>4.5</v>
      </c>
      <c r="J210" s="225">
        <v>0</v>
      </c>
      <c r="K210" s="225">
        <v>2</v>
      </c>
      <c r="L210" s="225">
        <v>0</v>
      </c>
      <c r="M210" s="225">
        <v>5</v>
      </c>
      <c r="N210" s="225">
        <v>69.900000000000006</v>
      </c>
      <c r="O210" s="225">
        <v>32.700000000000003</v>
      </c>
      <c r="P210" s="186"/>
      <c r="Q210" s="186"/>
    </row>
    <row r="211" spans="1:17">
      <c r="A211" s="253"/>
      <c r="B211" s="145" t="s">
        <v>94</v>
      </c>
      <c r="C211" s="225">
        <v>0</v>
      </c>
      <c r="D211" s="225">
        <v>0</v>
      </c>
      <c r="E211" s="225">
        <v>0</v>
      </c>
      <c r="F211" s="225">
        <v>0</v>
      </c>
      <c r="G211" s="225">
        <v>0</v>
      </c>
      <c r="H211" s="225">
        <v>0</v>
      </c>
      <c r="I211" s="225">
        <v>0</v>
      </c>
      <c r="J211" s="225">
        <v>0</v>
      </c>
      <c r="K211" s="225">
        <v>0</v>
      </c>
      <c r="L211" s="225">
        <v>0</v>
      </c>
      <c r="M211" s="225">
        <v>0</v>
      </c>
      <c r="N211" s="225">
        <v>0</v>
      </c>
      <c r="O211" s="225">
        <v>0</v>
      </c>
      <c r="P211" s="186"/>
      <c r="Q211" s="186"/>
    </row>
    <row r="212" spans="1:17">
      <c r="A212" s="253"/>
      <c r="B212" s="145" t="s">
        <v>86</v>
      </c>
      <c r="C212" s="225">
        <v>777.17499999999995</v>
      </c>
      <c r="D212" s="225">
        <v>1409.7750000000001</v>
      </c>
      <c r="E212" s="225">
        <v>996.22500000000002</v>
      </c>
      <c r="F212" s="225">
        <v>1011.875</v>
      </c>
      <c r="G212" s="225">
        <v>2603.2420000000002</v>
      </c>
      <c r="H212" s="225">
        <v>962.67499999999995</v>
      </c>
      <c r="I212" s="225">
        <v>911.6</v>
      </c>
      <c r="J212" s="225">
        <v>3316.0749999999998</v>
      </c>
      <c r="K212" s="225">
        <v>2256.9630000000002</v>
      </c>
      <c r="L212" s="225">
        <v>5290.65</v>
      </c>
      <c r="M212" s="225">
        <v>4774.95</v>
      </c>
      <c r="N212" s="225">
        <v>4696.2</v>
      </c>
      <c r="O212" s="225">
        <v>2616.3249999999998</v>
      </c>
      <c r="P212" s="186"/>
      <c r="Q212" s="186"/>
    </row>
    <row r="213" spans="1:17">
      <c r="A213" s="253"/>
      <c r="B213" s="145" t="s">
        <v>87</v>
      </c>
      <c r="C213" s="225">
        <v>6.75</v>
      </c>
      <c r="D213" s="225">
        <v>15.5</v>
      </c>
      <c r="E213" s="225">
        <v>0</v>
      </c>
      <c r="F213" s="225">
        <v>1.5</v>
      </c>
      <c r="G213" s="225">
        <v>1.5</v>
      </c>
      <c r="H213" s="225">
        <v>47.25</v>
      </c>
      <c r="I213" s="225">
        <v>43.15</v>
      </c>
      <c r="J213" s="225">
        <v>0</v>
      </c>
      <c r="K213" s="225">
        <v>1.5</v>
      </c>
      <c r="L213" s="225">
        <v>319.5</v>
      </c>
      <c r="M213" s="225">
        <v>398.125</v>
      </c>
      <c r="N213" s="225">
        <v>414.625</v>
      </c>
      <c r="O213" s="225">
        <v>77.25</v>
      </c>
      <c r="P213" s="186"/>
      <c r="Q213" s="186"/>
    </row>
    <row r="214" spans="1:17">
      <c r="A214" s="253"/>
      <c r="B214" s="145" t="s">
        <v>84</v>
      </c>
      <c r="C214" s="225">
        <v>19642.325000000001</v>
      </c>
      <c r="D214" s="225">
        <v>40055.836000000003</v>
      </c>
      <c r="E214" s="225">
        <v>34713.224000000002</v>
      </c>
      <c r="F214" s="225">
        <v>35471.985999999997</v>
      </c>
      <c r="G214" s="225">
        <v>34937.332999999999</v>
      </c>
      <c r="H214" s="225">
        <v>16781.025000000001</v>
      </c>
      <c r="I214" s="225">
        <v>14940.475</v>
      </c>
      <c r="J214" s="225">
        <v>23819.559000000001</v>
      </c>
      <c r="K214" s="225">
        <v>24199.004000000001</v>
      </c>
      <c r="L214" s="225">
        <v>35835.25</v>
      </c>
      <c r="M214" s="225">
        <v>50276.3</v>
      </c>
      <c r="N214" s="225">
        <v>38918.209000000003</v>
      </c>
      <c r="O214" s="225">
        <v>25361.951000000001</v>
      </c>
      <c r="P214" s="187"/>
      <c r="Q214" s="186"/>
    </row>
    <row r="215" spans="1:17">
      <c r="A215" s="254"/>
      <c r="B215" s="226" t="s">
        <v>0</v>
      </c>
      <c r="C215" s="227">
        <v>109888.2</v>
      </c>
      <c r="D215" s="227">
        <v>214445.666</v>
      </c>
      <c r="E215" s="227">
        <v>145193.807</v>
      </c>
      <c r="F215" s="227">
        <v>201496.351</v>
      </c>
      <c r="G215" s="227">
        <v>170537.99299999999</v>
      </c>
      <c r="H215" s="227">
        <v>132367.625</v>
      </c>
      <c r="I215" s="227">
        <v>116694.48299999999</v>
      </c>
      <c r="J215" s="227">
        <v>142390.90900000001</v>
      </c>
      <c r="K215" s="227">
        <v>156703.98000000001</v>
      </c>
      <c r="L215" s="227">
        <v>279780.55099999998</v>
      </c>
      <c r="M215" s="227">
        <v>297351.60800000001</v>
      </c>
      <c r="N215" s="227">
        <v>265225.77899999998</v>
      </c>
      <c r="O215" s="227">
        <v>148228.902</v>
      </c>
      <c r="P215" s="187">
        <f>O215/C215-1</f>
        <v>0.34890645219413918</v>
      </c>
      <c r="Q215" s="186"/>
    </row>
    <row r="216" spans="1:17">
      <c r="A216" s="255" t="s">
        <v>83</v>
      </c>
      <c r="B216" s="145" t="s">
        <v>90</v>
      </c>
      <c r="C216" s="225">
        <v>0</v>
      </c>
      <c r="D216" s="225">
        <v>0</v>
      </c>
      <c r="E216" s="225">
        <v>0</v>
      </c>
      <c r="F216" s="225">
        <v>0</v>
      </c>
      <c r="G216" s="225">
        <v>0</v>
      </c>
      <c r="H216" s="225">
        <v>0</v>
      </c>
      <c r="I216" s="225">
        <v>0</v>
      </c>
      <c r="J216" s="225">
        <v>0</v>
      </c>
      <c r="K216" s="225">
        <v>0</v>
      </c>
      <c r="L216" s="225">
        <v>0</v>
      </c>
      <c r="M216" s="225">
        <v>0</v>
      </c>
      <c r="N216" s="225">
        <v>0</v>
      </c>
      <c r="O216" s="225">
        <v>0</v>
      </c>
      <c r="P216" s="188"/>
      <c r="Q216" s="186"/>
    </row>
    <row r="217" spans="1:17">
      <c r="A217" s="253"/>
      <c r="B217" s="145" t="s">
        <v>81</v>
      </c>
      <c r="C217" s="225">
        <v>4138.5</v>
      </c>
      <c r="D217" s="225">
        <v>766.42499999999995</v>
      </c>
      <c r="E217" s="225">
        <v>882.24900000000002</v>
      </c>
      <c r="F217" s="225">
        <v>1625.5329999999999</v>
      </c>
      <c r="G217" s="225">
        <v>624.15</v>
      </c>
      <c r="H217" s="225">
        <v>573.29999999999995</v>
      </c>
      <c r="I217" s="225">
        <v>501.25</v>
      </c>
      <c r="J217" s="225">
        <v>170</v>
      </c>
      <c r="K217" s="225">
        <v>320.375</v>
      </c>
      <c r="L217" s="225">
        <v>92.075000000000003</v>
      </c>
      <c r="M217" s="225">
        <v>322.92500000000001</v>
      </c>
      <c r="N217" s="225">
        <v>791.02499999999998</v>
      </c>
      <c r="O217" s="225">
        <v>1345.508</v>
      </c>
      <c r="P217" s="186"/>
      <c r="Q217" s="186"/>
    </row>
    <row r="218" spans="1:17">
      <c r="A218" s="253"/>
      <c r="B218" s="145" t="s">
        <v>24</v>
      </c>
      <c r="C218" s="225">
        <v>84055.788</v>
      </c>
      <c r="D218" s="225">
        <v>22723.1</v>
      </c>
      <c r="E218" s="225">
        <v>33437.298999999999</v>
      </c>
      <c r="F218" s="225">
        <v>18353.308000000001</v>
      </c>
      <c r="G218" s="225">
        <v>20714.774000000001</v>
      </c>
      <c r="H218" s="225">
        <v>35710.625</v>
      </c>
      <c r="I218" s="225">
        <v>32124.392</v>
      </c>
      <c r="J218" s="225">
        <v>20766.184000000001</v>
      </c>
      <c r="K218" s="225">
        <v>21993.7</v>
      </c>
      <c r="L218" s="225">
        <v>31710.184000000001</v>
      </c>
      <c r="M218" s="225">
        <v>29487.87</v>
      </c>
      <c r="N218" s="225">
        <v>23383.803</v>
      </c>
      <c r="O218" s="225">
        <v>50563.017999999996</v>
      </c>
      <c r="P218" s="186"/>
      <c r="Q218" s="186"/>
    </row>
    <row r="219" spans="1:17">
      <c r="A219" s="253"/>
      <c r="B219" s="145" t="s">
        <v>88</v>
      </c>
      <c r="C219" s="225">
        <v>26</v>
      </c>
      <c r="D219" s="225">
        <v>23.25</v>
      </c>
      <c r="E219" s="225">
        <v>73.349999999999994</v>
      </c>
      <c r="F219" s="225">
        <v>50.674999999999997</v>
      </c>
      <c r="G219" s="225">
        <v>137.81700000000001</v>
      </c>
      <c r="H219" s="225">
        <v>48.25</v>
      </c>
      <c r="I219" s="225">
        <v>164.517</v>
      </c>
      <c r="J219" s="225">
        <v>571.72500000000002</v>
      </c>
      <c r="K219" s="225">
        <v>252.92500000000001</v>
      </c>
      <c r="L219" s="225">
        <v>28.016999999999999</v>
      </c>
      <c r="M219" s="225">
        <v>56.5</v>
      </c>
      <c r="N219" s="225">
        <v>61.5</v>
      </c>
      <c r="O219" s="225">
        <v>49</v>
      </c>
      <c r="P219" s="186"/>
      <c r="Q219" s="186"/>
    </row>
    <row r="220" spans="1:17">
      <c r="A220" s="253"/>
      <c r="B220" s="145" t="s">
        <v>82</v>
      </c>
      <c r="C220" s="225">
        <v>53462.35</v>
      </c>
      <c r="D220" s="225">
        <v>38873.508000000002</v>
      </c>
      <c r="E220" s="225">
        <v>57054.7</v>
      </c>
      <c r="F220" s="225">
        <v>44452.158000000003</v>
      </c>
      <c r="G220" s="225">
        <v>66005.482000000004</v>
      </c>
      <c r="H220" s="225">
        <v>49890.275000000001</v>
      </c>
      <c r="I220" s="225">
        <v>88685.498000000007</v>
      </c>
      <c r="J220" s="225">
        <v>76937.455000000002</v>
      </c>
      <c r="K220" s="225">
        <v>54297.65</v>
      </c>
      <c r="L220" s="225">
        <v>39954.500999999997</v>
      </c>
      <c r="M220" s="225">
        <v>36148.449999999997</v>
      </c>
      <c r="N220" s="225">
        <v>41567.114999999998</v>
      </c>
      <c r="O220" s="225">
        <v>74303.001000000004</v>
      </c>
      <c r="P220" s="186"/>
      <c r="Q220" s="186"/>
    </row>
    <row r="221" spans="1:17">
      <c r="A221" s="253"/>
      <c r="B221" s="145" t="s">
        <v>91</v>
      </c>
      <c r="C221" s="225">
        <v>0</v>
      </c>
      <c r="D221" s="225">
        <v>0</v>
      </c>
      <c r="E221" s="225">
        <v>0</v>
      </c>
      <c r="F221" s="225">
        <v>0</v>
      </c>
      <c r="G221" s="225">
        <v>0</v>
      </c>
      <c r="H221" s="225">
        <v>0</v>
      </c>
      <c r="I221" s="225">
        <v>0</v>
      </c>
      <c r="J221" s="225">
        <v>0</v>
      </c>
      <c r="K221" s="225">
        <v>0</v>
      </c>
      <c r="L221" s="225">
        <v>0</v>
      </c>
      <c r="M221" s="225">
        <v>0</v>
      </c>
      <c r="N221" s="225">
        <v>0</v>
      </c>
      <c r="O221" s="225">
        <v>0</v>
      </c>
      <c r="P221" s="186"/>
      <c r="Q221" s="186"/>
    </row>
    <row r="222" spans="1:17">
      <c r="A222" s="253"/>
      <c r="B222" s="145" t="s">
        <v>85</v>
      </c>
      <c r="C222" s="225">
        <v>21071.171999999999</v>
      </c>
      <c r="D222" s="225">
        <v>13638.3</v>
      </c>
      <c r="E222" s="225">
        <v>20324.707999999999</v>
      </c>
      <c r="F222" s="225">
        <v>31169.809000000001</v>
      </c>
      <c r="G222" s="225">
        <v>48358.133000000002</v>
      </c>
      <c r="H222" s="225">
        <v>24355.325000000001</v>
      </c>
      <c r="I222" s="225">
        <v>98417.967999999993</v>
      </c>
      <c r="J222" s="225">
        <v>86761.120999999999</v>
      </c>
      <c r="K222" s="225">
        <v>85403.657999999996</v>
      </c>
      <c r="L222" s="225">
        <v>15416.333000000001</v>
      </c>
      <c r="M222" s="225">
        <v>26555.431</v>
      </c>
      <c r="N222" s="225">
        <v>35359.803999999996</v>
      </c>
      <c r="O222" s="225">
        <v>34150.357000000004</v>
      </c>
      <c r="P222" s="186"/>
      <c r="Q222" s="186"/>
    </row>
    <row r="223" spans="1:17">
      <c r="A223" s="253"/>
      <c r="B223" s="145" t="s">
        <v>92</v>
      </c>
      <c r="C223" s="225">
        <v>0</v>
      </c>
      <c r="D223" s="225">
        <v>0</v>
      </c>
      <c r="E223" s="225">
        <v>0</v>
      </c>
      <c r="F223" s="225">
        <v>0</v>
      </c>
      <c r="G223" s="225">
        <v>0</v>
      </c>
      <c r="H223" s="225">
        <v>0</v>
      </c>
      <c r="I223" s="225">
        <v>0</v>
      </c>
      <c r="J223" s="225">
        <v>0</v>
      </c>
      <c r="K223" s="225">
        <v>0</v>
      </c>
      <c r="L223" s="225">
        <v>0</v>
      </c>
      <c r="M223" s="225">
        <v>0</v>
      </c>
      <c r="N223" s="225">
        <v>0</v>
      </c>
      <c r="O223" s="225">
        <v>0</v>
      </c>
      <c r="P223" s="186"/>
      <c r="Q223" s="186"/>
    </row>
    <row r="224" spans="1:17">
      <c r="A224" s="253"/>
      <c r="B224" s="145" t="s">
        <v>20</v>
      </c>
      <c r="C224" s="225">
        <v>6988.7529999999997</v>
      </c>
      <c r="D224" s="225">
        <v>3548.9749999999999</v>
      </c>
      <c r="E224" s="225">
        <v>13802.882</v>
      </c>
      <c r="F224" s="225">
        <v>17718.258999999998</v>
      </c>
      <c r="G224" s="225">
        <v>29783.674999999999</v>
      </c>
      <c r="H224" s="225">
        <v>25831</v>
      </c>
      <c r="I224" s="225">
        <v>18612.511999999999</v>
      </c>
      <c r="J224" s="225">
        <v>10133.333000000001</v>
      </c>
      <c r="K224" s="225">
        <v>12766.316999999999</v>
      </c>
      <c r="L224" s="225">
        <v>10344.86</v>
      </c>
      <c r="M224" s="225">
        <v>9322.9470000000001</v>
      </c>
      <c r="N224" s="225">
        <v>6042.4390000000003</v>
      </c>
      <c r="O224" s="225">
        <v>24005.525000000001</v>
      </c>
      <c r="P224" s="186"/>
      <c r="Q224" s="186"/>
    </row>
    <row r="225" spans="1:28">
      <c r="A225" s="253"/>
      <c r="B225" s="145" t="s">
        <v>228</v>
      </c>
      <c r="C225" s="225">
        <v>0</v>
      </c>
      <c r="D225" s="225">
        <v>0</v>
      </c>
      <c r="E225" s="225">
        <v>0</v>
      </c>
      <c r="F225" s="225">
        <v>0</v>
      </c>
      <c r="G225" s="225">
        <v>0</v>
      </c>
      <c r="H225" s="225">
        <v>0</v>
      </c>
      <c r="I225" s="225">
        <v>0</v>
      </c>
      <c r="J225" s="225">
        <v>0</v>
      </c>
      <c r="K225" s="225">
        <v>0</v>
      </c>
      <c r="L225" s="225">
        <v>0</v>
      </c>
      <c r="M225" s="225">
        <v>0</v>
      </c>
      <c r="N225" s="225">
        <v>0</v>
      </c>
      <c r="O225" s="225">
        <v>0</v>
      </c>
      <c r="P225" s="186"/>
      <c r="Q225" s="186"/>
    </row>
    <row r="226" spans="1:28">
      <c r="A226" s="253"/>
      <c r="B226" s="145" t="s">
        <v>93</v>
      </c>
      <c r="C226" s="225">
        <v>0</v>
      </c>
      <c r="D226" s="225">
        <v>0</v>
      </c>
      <c r="E226" s="225">
        <v>0</v>
      </c>
      <c r="F226" s="225">
        <v>0</v>
      </c>
      <c r="G226" s="225">
        <v>0</v>
      </c>
      <c r="H226" s="225">
        <v>0</v>
      </c>
      <c r="I226" s="225">
        <v>0</v>
      </c>
      <c r="J226" s="225">
        <v>0</v>
      </c>
      <c r="K226" s="225">
        <v>0</v>
      </c>
      <c r="L226" s="225">
        <v>0</v>
      </c>
      <c r="M226" s="225">
        <v>0</v>
      </c>
      <c r="N226" s="225">
        <v>0</v>
      </c>
      <c r="O226" s="225">
        <v>0</v>
      </c>
      <c r="P226" s="186"/>
      <c r="Q226" s="186"/>
    </row>
    <row r="227" spans="1:28">
      <c r="A227" s="253"/>
      <c r="B227" s="145" t="s">
        <v>80</v>
      </c>
      <c r="C227" s="225">
        <v>0</v>
      </c>
      <c r="D227" s="225">
        <v>0</v>
      </c>
      <c r="E227" s="225">
        <v>172</v>
      </c>
      <c r="F227" s="225">
        <v>225.52500000000001</v>
      </c>
      <c r="G227" s="225">
        <v>0</v>
      </c>
      <c r="H227" s="225">
        <v>0</v>
      </c>
      <c r="I227" s="225">
        <v>448.75</v>
      </c>
      <c r="J227" s="225">
        <v>40.924999999999997</v>
      </c>
      <c r="K227" s="225">
        <v>1357.65</v>
      </c>
      <c r="L227" s="225">
        <v>11.25</v>
      </c>
      <c r="M227" s="225">
        <v>0</v>
      </c>
      <c r="N227" s="225">
        <v>0</v>
      </c>
      <c r="O227" s="225">
        <v>791.75</v>
      </c>
      <c r="P227" s="186"/>
      <c r="Q227" s="186"/>
    </row>
    <row r="228" spans="1:28">
      <c r="A228" s="253"/>
      <c r="B228" s="145" t="s">
        <v>89</v>
      </c>
      <c r="C228" s="225">
        <v>0.85</v>
      </c>
      <c r="D228" s="225">
        <v>0</v>
      </c>
      <c r="E228" s="225">
        <v>5.375</v>
      </c>
      <c r="F228" s="225">
        <v>7.75</v>
      </c>
      <c r="G228" s="225">
        <v>1</v>
      </c>
      <c r="H228" s="225">
        <v>0</v>
      </c>
      <c r="I228" s="225">
        <v>16.574999999999999</v>
      </c>
      <c r="J228" s="225">
        <v>0</v>
      </c>
      <c r="K228" s="225">
        <v>14.475</v>
      </c>
      <c r="L228" s="225">
        <v>38.75</v>
      </c>
      <c r="M228" s="225">
        <v>27.5</v>
      </c>
      <c r="N228" s="225">
        <v>145.07499999999999</v>
      </c>
      <c r="O228" s="225">
        <v>160.27500000000001</v>
      </c>
      <c r="P228" s="186"/>
      <c r="Q228" s="186"/>
    </row>
    <row r="229" spans="1:28">
      <c r="A229" s="253"/>
      <c r="B229" s="145" t="s">
        <v>94</v>
      </c>
      <c r="C229" s="225">
        <v>0</v>
      </c>
      <c r="D229" s="225">
        <v>0</v>
      </c>
      <c r="E229" s="225">
        <v>0</v>
      </c>
      <c r="F229" s="225">
        <v>0</v>
      </c>
      <c r="G229" s="225">
        <v>0</v>
      </c>
      <c r="H229" s="225">
        <v>0</v>
      </c>
      <c r="I229" s="225">
        <v>0</v>
      </c>
      <c r="J229" s="225">
        <v>0</v>
      </c>
      <c r="K229" s="225">
        <v>0</v>
      </c>
      <c r="L229" s="225">
        <v>0</v>
      </c>
      <c r="M229" s="225">
        <v>0</v>
      </c>
      <c r="N229" s="225">
        <v>0</v>
      </c>
      <c r="O229" s="225">
        <v>0</v>
      </c>
      <c r="P229" s="186"/>
      <c r="Q229" s="186"/>
    </row>
    <row r="230" spans="1:28">
      <c r="A230" s="253"/>
      <c r="B230" s="145" t="s">
        <v>86</v>
      </c>
      <c r="C230" s="225">
        <v>7069.1989999999996</v>
      </c>
      <c r="D230" s="225">
        <v>2254.0749999999998</v>
      </c>
      <c r="E230" s="225">
        <v>4519.2669999999998</v>
      </c>
      <c r="F230" s="225">
        <v>2457.35</v>
      </c>
      <c r="G230" s="225">
        <v>1942.8579999999999</v>
      </c>
      <c r="H230" s="225">
        <v>3780.125</v>
      </c>
      <c r="I230" s="225">
        <v>11880.15</v>
      </c>
      <c r="J230" s="225">
        <v>14988.025</v>
      </c>
      <c r="K230" s="225">
        <v>23573.032999999999</v>
      </c>
      <c r="L230" s="225">
        <v>16255.674999999999</v>
      </c>
      <c r="M230" s="225">
        <v>9428.357</v>
      </c>
      <c r="N230" s="225">
        <v>7086.59</v>
      </c>
      <c r="O230" s="225">
        <v>11766.108</v>
      </c>
      <c r="P230" s="186"/>
      <c r="Q230" s="186"/>
    </row>
    <row r="231" spans="1:28">
      <c r="A231" s="253"/>
      <c r="B231" s="145" t="s">
        <v>87</v>
      </c>
      <c r="C231" s="225">
        <v>219.625</v>
      </c>
      <c r="D231" s="225">
        <v>15.75</v>
      </c>
      <c r="E231" s="225">
        <v>0</v>
      </c>
      <c r="F231" s="225">
        <v>4.2249999999999996</v>
      </c>
      <c r="G231" s="225">
        <v>28.625</v>
      </c>
      <c r="H231" s="225">
        <v>69.224999999999994</v>
      </c>
      <c r="I231" s="225">
        <v>572.625</v>
      </c>
      <c r="J231" s="225">
        <v>2004.65</v>
      </c>
      <c r="K231" s="225">
        <v>453.85</v>
      </c>
      <c r="L231" s="225">
        <v>192.1</v>
      </c>
      <c r="M231" s="225">
        <v>218.77500000000001</v>
      </c>
      <c r="N231" s="225">
        <v>334.92500000000001</v>
      </c>
      <c r="O231" s="225">
        <v>299.95</v>
      </c>
      <c r="P231" s="187"/>
      <c r="Q231" s="187"/>
    </row>
    <row r="232" spans="1:28">
      <c r="A232" s="253"/>
      <c r="B232" s="145" t="s">
        <v>84</v>
      </c>
      <c r="C232" s="225">
        <v>10948.251</v>
      </c>
      <c r="D232" s="225">
        <v>10421.953</v>
      </c>
      <c r="E232" s="225">
        <v>14514.075000000001</v>
      </c>
      <c r="F232" s="225">
        <v>23848.400000000001</v>
      </c>
      <c r="G232" s="225">
        <v>21792.308000000001</v>
      </c>
      <c r="H232" s="225">
        <v>12196.8</v>
      </c>
      <c r="I232" s="225">
        <v>20112.843000000001</v>
      </c>
      <c r="J232" s="225">
        <v>12082.525</v>
      </c>
      <c r="K232" s="225">
        <v>11577.424999999999</v>
      </c>
      <c r="L232" s="225">
        <v>14074.424999999999</v>
      </c>
      <c r="M232" s="225">
        <v>4884.7749999999996</v>
      </c>
      <c r="N232" s="225">
        <v>10897.775</v>
      </c>
      <c r="O232" s="225">
        <v>19108.924999999999</v>
      </c>
      <c r="P232" s="140"/>
      <c r="Q232" s="140"/>
    </row>
    <row r="233" spans="1:28">
      <c r="A233" s="254"/>
      <c r="B233" s="226" t="s">
        <v>0</v>
      </c>
      <c r="C233" s="227">
        <v>187980.48800000001</v>
      </c>
      <c r="D233" s="227">
        <v>92265.335999999996</v>
      </c>
      <c r="E233" s="227">
        <v>144785.905</v>
      </c>
      <c r="F233" s="227">
        <v>139912.992</v>
      </c>
      <c r="G233" s="227">
        <v>189388.82199999999</v>
      </c>
      <c r="H233" s="227">
        <v>152454.92499999999</v>
      </c>
      <c r="I233" s="227">
        <v>271537.08</v>
      </c>
      <c r="J233" s="227">
        <v>224455.943</v>
      </c>
      <c r="K233" s="227">
        <v>212011.05799999999</v>
      </c>
      <c r="L233" s="227">
        <v>128118.17</v>
      </c>
      <c r="M233" s="227">
        <v>116453.53</v>
      </c>
      <c r="N233" s="227">
        <v>125670.05100000001</v>
      </c>
      <c r="O233" s="227">
        <v>216543.41699999999</v>
      </c>
      <c r="P233" s="187">
        <f>O233/C233-1</f>
        <v>0.15194624348458952</v>
      </c>
      <c r="Q233" s="187">
        <f>(O215+O233)/(C233+C215)-1</f>
        <v>0.22460780100525368</v>
      </c>
    </row>
    <row r="234" spans="1:28">
      <c r="C234" s="205"/>
      <c r="O234" s="205"/>
      <c r="P234" s="196"/>
      <c r="Q234" s="196"/>
      <c r="R234" s="196"/>
      <c r="S234" s="196"/>
      <c r="T234" s="196"/>
      <c r="U234" s="196"/>
      <c r="V234" s="196"/>
      <c r="W234" s="196"/>
      <c r="X234" s="196"/>
      <c r="Y234" s="196"/>
      <c r="Z234" s="196"/>
      <c r="AA234" s="196"/>
      <c r="AB234" s="196"/>
    </row>
    <row r="235" spans="1:28">
      <c r="O235" s="205"/>
      <c r="P235" s="196"/>
      <c r="Q235" s="196"/>
      <c r="R235" s="196"/>
      <c r="S235" s="196"/>
      <c r="T235" s="196"/>
      <c r="U235" s="196"/>
      <c r="V235" s="196"/>
      <c r="W235" s="196"/>
      <c r="X235" s="196"/>
      <c r="Y235" s="196"/>
      <c r="Z235" s="196"/>
      <c r="AA235" s="196"/>
      <c r="AB235" s="196"/>
    </row>
    <row r="236" spans="1:28">
      <c r="P236" s="196"/>
      <c r="Q236" s="196"/>
      <c r="R236" s="196"/>
      <c r="S236" s="196"/>
      <c r="T236" s="196"/>
      <c r="U236" s="196"/>
      <c r="V236" s="196"/>
      <c r="W236" s="196"/>
      <c r="X236" s="196"/>
      <c r="Y236" s="196"/>
      <c r="Z236" s="196"/>
      <c r="AA236" s="196"/>
      <c r="AB236" s="196"/>
    </row>
    <row r="237" spans="1:28">
      <c r="P237" s="196"/>
      <c r="Q237" s="196"/>
      <c r="R237" s="196"/>
      <c r="S237" s="196"/>
      <c r="T237" s="196"/>
      <c r="U237" s="196"/>
      <c r="V237" s="196"/>
      <c r="W237" s="196"/>
      <c r="X237" s="196"/>
      <c r="Y237" s="196"/>
      <c r="Z237" s="196"/>
      <c r="AA237" s="196"/>
      <c r="AB237" s="196"/>
    </row>
    <row r="238" spans="1:28">
      <c r="P238" s="196"/>
      <c r="Q238" s="196"/>
      <c r="R238" s="196"/>
      <c r="S238" s="196"/>
      <c r="T238" s="196"/>
      <c r="U238" s="196"/>
      <c r="V238" s="196"/>
      <c r="W238" s="196"/>
      <c r="X238" s="196"/>
      <c r="Y238" s="196"/>
      <c r="Z238" s="196"/>
      <c r="AA238" s="196"/>
      <c r="AB238" s="196"/>
    </row>
    <row r="239" spans="1:28">
      <c r="P239" s="196"/>
      <c r="Q239" s="196"/>
      <c r="R239" s="196"/>
      <c r="S239" s="196"/>
      <c r="T239" s="196"/>
      <c r="U239" s="196"/>
      <c r="V239" s="196"/>
      <c r="W239" s="196"/>
      <c r="X239" s="196"/>
      <c r="Y239" s="196"/>
      <c r="Z239" s="196"/>
      <c r="AA239" s="196"/>
      <c r="AB239" s="196"/>
    </row>
    <row r="240" spans="1:28">
      <c r="O240" s="205"/>
      <c r="P240" s="196"/>
      <c r="Q240" s="196"/>
      <c r="R240" s="196"/>
      <c r="S240" s="196"/>
      <c r="T240" s="196"/>
      <c r="U240" s="196"/>
      <c r="V240" s="196"/>
      <c r="W240" s="196"/>
      <c r="X240" s="196"/>
      <c r="Y240" s="196"/>
      <c r="Z240" s="196"/>
      <c r="AA240" s="196"/>
      <c r="AB240" s="196"/>
    </row>
    <row r="241" spans="1:28">
      <c r="O241" s="205"/>
      <c r="P241" s="196"/>
      <c r="Q241" s="196"/>
      <c r="R241" s="196"/>
      <c r="S241" s="196"/>
      <c r="T241" s="196"/>
      <c r="U241" s="196"/>
      <c r="V241" s="196"/>
      <c r="W241" s="196"/>
      <c r="X241" s="196"/>
      <c r="Y241" s="196"/>
      <c r="Z241" s="196"/>
      <c r="AA241" s="196"/>
      <c r="AB241" s="196"/>
    </row>
    <row r="242" spans="1:28">
      <c r="O242" s="205"/>
      <c r="P242" s="196"/>
      <c r="Q242" s="196"/>
      <c r="R242" s="196"/>
      <c r="S242" s="196"/>
      <c r="T242" s="196"/>
      <c r="U242" s="196"/>
      <c r="V242" s="196"/>
      <c r="W242" s="196"/>
      <c r="X242" s="196"/>
      <c r="Y242" s="196"/>
      <c r="Z242" s="196"/>
      <c r="AA242" s="196"/>
      <c r="AB242" s="196"/>
    </row>
    <row r="243" spans="1:28">
      <c r="P243" s="196"/>
      <c r="Q243" s="196"/>
      <c r="R243" s="196"/>
      <c r="S243" s="196"/>
      <c r="T243" s="196"/>
      <c r="U243" s="196"/>
      <c r="V243" s="196"/>
      <c r="W243" s="196"/>
      <c r="X243" s="196"/>
      <c r="Y243" s="196"/>
      <c r="Z243" s="196"/>
      <c r="AA243" s="196"/>
      <c r="AB243" s="196"/>
    </row>
    <row r="244" spans="1:28">
      <c r="P244" s="196"/>
      <c r="Q244" s="196"/>
      <c r="R244" s="196"/>
      <c r="S244" s="196"/>
      <c r="T244" s="196"/>
      <c r="U244" s="196"/>
      <c r="V244" s="196"/>
      <c r="W244" s="196"/>
      <c r="X244" s="196"/>
      <c r="Y244" s="196"/>
      <c r="Z244" s="196"/>
      <c r="AA244" s="196"/>
      <c r="AB244" s="196"/>
    </row>
    <row r="245" spans="1:28">
      <c r="P245" s="196"/>
      <c r="Q245" s="196"/>
      <c r="R245" s="196"/>
      <c r="S245" s="196"/>
      <c r="T245" s="196"/>
      <c r="U245" s="196"/>
      <c r="V245" s="196"/>
      <c r="W245" s="196"/>
      <c r="X245" s="196"/>
      <c r="Y245" s="196"/>
      <c r="Z245" s="196"/>
      <c r="AA245" s="196"/>
      <c r="AB245" s="196"/>
    </row>
    <row r="246" spans="1:28">
      <c r="O246" s="196"/>
      <c r="P246" s="196"/>
      <c r="Q246" s="196"/>
      <c r="R246" s="196"/>
      <c r="S246" s="196"/>
      <c r="T246" s="196"/>
      <c r="U246" s="196"/>
      <c r="V246" s="196"/>
      <c r="W246" s="196"/>
      <c r="X246" s="196"/>
      <c r="Y246" s="196"/>
      <c r="Z246" s="196"/>
      <c r="AA246" s="196"/>
      <c r="AB246" s="196"/>
    </row>
    <row r="247" spans="1:28">
      <c r="O247" s="196"/>
      <c r="P247" s="196"/>
      <c r="Q247" s="196"/>
      <c r="R247" s="196"/>
      <c r="S247" s="196"/>
      <c r="T247" s="196"/>
      <c r="U247" s="196"/>
      <c r="V247" s="196"/>
      <c r="W247" s="196"/>
      <c r="X247" s="196"/>
      <c r="Y247" s="196"/>
      <c r="Z247" s="196"/>
      <c r="AA247" s="196"/>
      <c r="AB247" s="196"/>
    </row>
    <row r="248" spans="1:28">
      <c r="O248" s="196"/>
      <c r="P248" s="196"/>
      <c r="Q248" s="196"/>
      <c r="R248" s="196"/>
      <c r="S248" s="196"/>
      <c r="T248" s="196"/>
      <c r="U248" s="196"/>
      <c r="V248" s="196"/>
      <c r="W248" s="196"/>
      <c r="X248" s="196"/>
      <c r="Y248" s="196"/>
      <c r="Z248" s="196"/>
      <c r="AA248" s="196"/>
      <c r="AB248" s="196"/>
    </row>
    <row r="249" spans="1:28">
      <c r="A249" s="198"/>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row>
    <row r="250" spans="1:28">
      <c r="P250" s="196"/>
      <c r="Q250" s="196"/>
      <c r="R250" s="196"/>
      <c r="S250" s="196"/>
      <c r="T250" s="196"/>
      <c r="U250" s="196"/>
      <c r="V250" s="196"/>
      <c r="W250" s="196"/>
      <c r="X250" s="196"/>
      <c r="Y250" s="196"/>
      <c r="Z250" s="196"/>
      <c r="AA250" s="196"/>
      <c r="AB250" s="196"/>
    </row>
    <row r="251" spans="1:28">
      <c r="P251" s="196"/>
      <c r="Q251" s="196"/>
      <c r="R251" s="196"/>
      <c r="S251" s="196"/>
      <c r="T251" s="196"/>
      <c r="U251" s="196"/>
      <c r="V251" s="196"/>
      <c r="W251" s="196"/>
      <c r="X251" s="196"/>
      <c r="Y251" s="196"/>
      <c r="Z251" s="196"/>
      <c r="AA251" s="196"/>
      <c r="AB251" s="196"/>
    </row>
    <row r="252" spans="1:28">
      <c r="Q252" s="196"/>
      <c r="R252" s="196"/>
      <c r="S252" s="196"/>
      <c r="T252" s="196"/>
      <c r="U252" s="196"/>
      <c r="V252" s="196"/>
      <c r="W252" s="196"/>
      <c r="X252" s="196"/>
      <c r="Y252" s="196"/>
      <c r="Z252" s="196"/>
      <c r="AA252" s="196"/>
      <c r="AB252" s="196"/>
    </row>
    <row r="253" spans="1:28">
      <c r="Q253" s="186"/>
    </row>
    <row r="254" spans="1:28">
      <c r="Q254" s="186"/>
    </row>
    <row r="255" spans="1:28">
      <c r="Q255" s="186"/>
    </row>
    <row r="256" spans="1:28">
      <c r="Q256" s="186"/>
    </row>
    <row r="257" spans="1:17">
      <c r="A257" s="88" t="s">
        <v>233</v>
      </c>
      <c r="C257" s="200" t="str">
        <f>MID(C259,6,1)</f>
        <v>S</v>
      </c>
      <c r="D257" s="200" t="str">
        <f t="shared" ref="D257:O257" si="8">MID(D259,6,1)</f>
        <v>O</v>
      </c>
      <c r="E257" s="200" t="str">
        <f t="shared" si="8"/>
        <v>N</v>
      </c>
      <c r="F257" s="200" t="str">
        <f t="shared" si="8"/>
        <v>D</v>
      </c>
      <c r="G257" s="200" t="str">
        <f t="shared" si="8"/>
        <v>E</v>
      </c>
      <c r="H257" s="200" t="str">
        <f t="shared" si="8"/>
        <v>F</v>
      </c>
      <c r="I257" s="200" t="str">
        <f t="shared" si="8"/>
        <v>M</v>
      </c>
      <c r="J257" s="200" t="str">
        <f t="shared" si="8"/>
        <v>A</v>
      </c>
      <c r="K257" s="200" t="str">
        <f t="shared" si="8"/>
        <v>M</v>
      </c>
      <c r="L257" s="200" t="str">
        <f t="shared" si="8"/>
        <v>J</v>
      </c>
      <c r="M257" s="200" t="str">
        <f t="shared" si="8"/>
        <v>J</v>
      </c>
      <c r="N257" s="200" t="str">
        <f t="shared" si="8"/>
        <v>A</v>
      </c>
      <c r="O257" s="200" t="str">
        <f t="shared" si="8"/>
        <v>S</v>
      </c>
      <c r="Q257" s="186"/>
    </row>
    <row r="258" spans="1:17">
      <c r="A258" s="143"/>
      <c r="B258" s="143" t="s">
        <v>28</v>
      </c>
      <c r="C258" s="256" t="s">
        <v>229</v>
      </c>
      <c r="D258" s="257"/>
      <c r="E258" s="257"/>
      <c r="F258" s="257"/>
      <c r="G258" s="257"/>
      <c r="H258" s="257"/>
      <c r="I258" s="257"/>
      <c r="J258" s="257"/>
      <c r="K258" s="257"/>
      <c r="L258" s="257"/>
      <c r="M258" s="257"/>
      <c r="N258" s="257"/>
      <c r="O258" s="257"/>
      <c r="Q258" s="186"/>
    </row>
    <row r="259" spans="1:17">
      <c r="A259" s="143"/>
      <c r="B259" s="143" t="s">
        <v>95</v>
      </c>
      <c r="C259" s="245" t="s">
        <v>242</v>
      </c>
      <c r="D259" s="245" t="s">
        <v>244</v>
      </c>
      <c r="E259" s="245" t="s">
        <v>250</v>
      </c>
      <c r="F259" s="245" t="s">
        <v>252</v>
      </c>
      <c r="G259" s="245" t="s">
        <v>256</v>
      </c>
      <c r="H259" s="245" t="s">
        <v>263</v>
      </c>
      <c r="I259" s="245" t="s">
        <v>267</v>
      </c>
      <c r="J259" s="245" t="s">
        <v>269</v>
      </c>
      <c r="K259" s="245" t="s">
        <v>277</v>
      </c>
      <c r="L259" s="245" t="s">
        <v>288</v>
      </c>
      <c r="M259" s="245" t="s">
        <v>290</v>
      </c>
      <c r="N259" s="245" t="s">
        <v>293</v>
      </c>
      <c r="O259" s="245" t="s">
        <v>324</v>
      </c>
      <c r="Q259" s="186"/>
    </row>
    <row r="260" spans="1:17">
      <c r="A260" s="143" t="s">
        <v>128</v>
      </c>
      <c r="B260" s="143" t="s">
        <v>129</v>
      </c>
      <c r="C260" s="172"/>
      <c r="D260" s="172"/>
      <c r="E260" s="172"/>
      <c r="F260" s="172"/>
      <c r="G260" s="172"/>
      <c r="H260" s="172"/>
      <c r="I260" s="172"/>
      <c r="J260" s="172"/>
      <c r="K260" s="172"/>
      <c r="L260" s="172"/>
      <c r="M260" s="172"/>
      <c r="N260" s="172"/>
      <c r="O260" s="172"/>
      <c r="Q260" s="186"/>
    </row>
    <row r="261" spans="1:17">
      <c r="A261" s="252" t="s">
        <v>79</v>
      </c>
      <c r="B261" s="145" t="s">
        <v>90</v>
      </c>
      <c r="C261" s="225">
        <v>0</v>
      </c>
      <c r="D261" s="225">
        <v>0</v>
      </c>
      <c r="E261" s="225">
        <v>0</v>
      </c>
      <c r="F261" s="225">
        <v>0</v>
      </c>
      <c r="G261" s="225">
        <v>0</v>
      </c>
      <c r="H261" s="225">
        <v>0</v>
      </c>
      <c r="I261" s="225">
        <v>0</v>
      </c>
      <c r="J261" s="225">
        <v>0</v>
      </c>
      <c r="K261" s="225">
        <v>0</v>
      </c>
      <c r="L261" s="225">
        <v>0</v>
      </c>
      <c r="M261" s="225">
        <v>0</v>
      </c>
      <c r="N261" s="225">
        <v>0</v>
      </c>
      <c r="O261" s="225">
        <v>0</v>
      </c>
      <c r="Q261" s="186"/>
    </row>
    <row r="262" spans="1:17">
      <c r="A262" s="253"/>
      <c r="B262" s="145" t="s">
        <v>81</v>
      </c>
      <c r="C262" s="225">
        <v>2236</v>
      </c>
      <c r="D262" s="225">
        <v>4283</v>
      </c>
      <c r="E262" s="225">
        <v>861.375</v>
      </c>
      <c r="F262" s="225">
        <v>2372.9499999999998</v>
      </c>
      <c r="G262" s="225">
        <v>1284.5</v>
      </c>
      <c r="H262" s="225">
        <v>5209.75</v>
      </c>
      <c r="I262" s="225">
        <v>1206.25</v>
      </c>
      <c r="J262" s="225">
        <v>95</v>
      </c>
      <c r="K262" s="225">
        <v>53</v>
      </c>
      <c r="L262" s="225">
        <v>1199.5</v>
      </c>
      <c r="M262" s="225">
        <v>468.8</v>
      </c>
      <c r="N262" s="225">
        <v>2071.15</v>
      </c>
      <c r="O262" s="225">
        <v>242.5</v>
      </c>
      <c r="Q262" s="186"/>
    </row>
    <row r="263" spans="1:17">
      <c r="A263" s="253"/>
      <c r="B263" s="145" t="s">
        <v>24</v>
      </c>
      <c r="C263" s="225">
        <v>82926.675000000003</v>
      </c>
      <c r="D263" s="225">
        <v>144842.47500000001</v>
      </c>
      <c r="E263" s="225">
        <v>97623.7</v>
      </c>
      <c r="F263" s="225">
        <v>155746.54999999999</v>
      </c>
      <c r="G263" s="225">
        <v>71547.399999999994</v>
      </c>
      <c r="H263" s="225">
        <v>162258.02499999999</v>
      </c>
      <c r="I263" s="225">
        <v>95878.75</v>
      </c>
      <c r="J263" s="225">
        <v>62173.25</v>
      </c>
      <c r="K263" s="225">
        <v>93854.15</v>
      </c>
      <c r="L263" s="225">
        <v>200824.35</v>
      </c>
      <c r="M263" s="225">
        <v>174954.2</v>
      </c>
      <c r="N263" s="225">
        <v>170328.85</v>
      </c>
      <c r="O263" s="225">
        <v>105492.6</v>
      </c>
      <c r="P263" s="186"/>
      <c r="Q263" s="186"/>
    </row>
    <row r="264" spans="1:17">
      <c r="A264" s="253"/>
      <c r="B264" s="145" t="s">
        <v>88</v>
      </c>
      <c r="C264" s="225">
        <v>23</v>
      </c>
      <c r="D264" s="225">
        <v>127.925</v>
      </c>
      <c r="E264" s="225">
        <v>419.15</v>
      </c>
      <c r="F264" s="225">
        <v>697.65</v>
      </c>
      <c r="G264" s="225">
        <v>0</v>
      </c>
      <c r="H264" s="225">
        <v>4.5</v>
      </c>
      <c r="I264" s="225">
        <v>28.524999999999999</v>
      </c>
      <c r="J264" s="225">
        <v>34.424999999999997</v>
      </c>
      <c r="K264" s="225">
        <v>22.625</v>
      </c>
      <c r="L264" s="225">
        <v>314.8</v>
      </c>
      <c r="M264" s="225">
        <v>648.625</v>
      </c>
      <c r="N264" s="225">
        <v>646.32500000000005</v>
      </c>
      <c r="O264" s="225">
        <v>2.25</v>
      </c>
      <c r="P264" s="186"/>
      <c r="Q264" s="186"/>
    </row>
    <row r="265" spans="1:17">
      <c r="A265" s="253"/>
      <c r="B265" s="145" t="s">
        <v>82</v>
      </c>
      <c r="C265" s="225">
        <v>10509.975</v>
      </c>
      <c r="D265" s="225">
        <v>26134.799999999999</v>
      </c>
      <c r="E265" s="225">
        <v>20591.575000000001</v>
      </c>
      <c r="F265" s="225">
        <v>39478.974999999999</v>
      </c>
      <c r="G265" s="225">
        <v>53164.775000000001</v>
      </c>
      <c r="H265" s="225">
        <v>5734.4</v>
      </c>
      <c r="I265" s="225">
        <v>8412.5249999999996</v>
      </c>
      <c r="J265" s="225">
        <v>4159.95</v>
      </c>
      <c r="K265" s="225">
        <v>3893.75</v>
      </c>
      <c r="L265" s="225">
        <v>11178.5</v>
      </c>
      <c r="M265" s="225">
        <v>14357.5</v>
      </c>
      <c r="N265" s="225">
        <v>15367.25</v>
      </c>
      <c r="O265" s="225">
        <v>7781</v>
      </c>
      <c r="P265" s="186"/>
      <c r="Q265" s="186"/>
    </row>
    <row r="266" spans="1:17">
      <c r="A266" s="253"/>
      <c r="B266" s="145" t="s">
        <v>91</v>
      </c>
      <c r="C266" s="225">
        <v>0</v>
      </c>
      <c r="D266" s="225">
        <v>0</v>
      </c>
      <c r="E266" s="225">
        <v>0</v>
      </c>
      <c r="F266" s="225">
        <v>0</v>
      </c>
      <c r="G266" s="225">
        <v>0</v>
      </c>
      <c r="H266" s="225">
        <v>0</v>
      </c>
      <c r="I266" s="225">
        <v>0</v>
      </c>
      <c r="J266" s="225">
        <v>0</v>
      </c>
      <c r="K266" s="225">
        <v>0</v>
      </c>
      <c r="L266" s="225">
        <v>0</v>
      </c>
      <c r="M266" s="225">
        <v>0</v>
      </c>
      <c r="N266" s="225">
        <v>0</v>
      </c>
      <c r="O266" s="225">
        <v>0</v>
      </c>
      <c r="P266" s="187"/>
      <c r="Q266" s="186"/>
    </row>
    <row r="267" spans="1:17">
      <c r="A267" s="253"/>
      <c r="B267" s="145" t="s">
        <v>85</v>
      </c>
      <c r="C267" s="225">
        <v>7386.4250000000002</v>
      </c>
      <c r="D267" s="225">
        <v>18277.325000000001</v>
      </c>
      <c r="E267" s="225">
        <v>14440</v>
      </c>
      <c r="F267" s="225">
        <v>22031.424999999999</v>
      </c>
      <c r="G267" s="225">
        <v>45462.95</v>
      </c>
      <c r="H267" s="225">
        <v>10650.1</v>
      </c>
      <c r="I267" s="225">
        <v>10950.5</v>
      </c>
      <c r="J267" s="225">
        <v>9407.7749999999996</v>
      </c>
      <c r="K267" s="225">
        <v>7479.9750000000004</v>
      </c>
      <c r="L267" s="225">
        <v>17206.650000000001</v>
      </c>
      <c r="M267" s="225">
        <v>21420.05</v>
      </c>
      <c r="N267" s="225">
        <v>18494.75</v>
      </c>
      <c r="O267" s="225">
        <v>9960.15</v>
      </c>
      <c r="P267" s="186"/>
      <c r="Q267" s="186"/>
    </row>
    <row r="268" spans="1:17">
      <c r="A268" s="253"/>
      <c r="B268" s="145" t="s">
        <v>92</v>
      </c>
      <c r="C268" s="225">
        <v>0</v>
      </c>
      <c r="D268" s="225">
        <v>0</v>
      </c>
      <c r="E268" s="225">
        <v>0</v>
      </c>
      <c r="F268" s="225">
        <v>0</v>
      </c>
      <c r="G268" s="225">
        <v>0</v>
      </c>
      <c r="H268" s="225">
        <v>0</v>
      </c>
      <c r="I268" s="225">
        <v>0</v>
      </c>
      <c r="J268" s="225">
        <v>0</v>
      </c>
      <c r="K268" s="225">
        <v>0</v>
      </c>
      <c r="L268" s="225">
        <v>0</v>
      </c>
      <c r="M268" s="225">
        <v>0</v>
      </c>
      <c r="N268" s="225">
        <v>0</v>
      </c>
      <c r="O268" s="225">
        <v>0</v>
      </c>
      <c r="P268" s="186"/>
      <c r="Q268" s="186"/>
    </row>
    <row r="269" spans="1:17">
      <c r="A269" s="253"/>
      <c r="B269" s="145" t="s">
        <v>20</v>
      </c>
      <c r="C269" s="225">
        <v>8900.7250000000004</v>
      </c>
      <c r="D269" s="225">
        <v>11041.025</v>
      </c>
      <c r="E269" s="225">
        <v>9978.1749999999993</v>
      </c>
      <c r="F269" s="225">
        <v>33537.4</v>
      </c>
      <c r="G269" s="225">
        <v>28173.35</v>
      </c>
      <c r="H269" s="225">
        <v>22890.65</v>
      </c>
      <c r="I269" s="225">
        <v>11649.375</v>
      </c>
      <c r="J269" s="225">
        <v>15400.95</v>
      </c>
      <c r="K269" s="225">
        <v>9063.875</v>
      </c>
      <c r="L269" s="225">
        <v>30102.474999999999</v>
      </c>
      <c r="M269" s="225">
        <v>18314.474999999999</v>
      </c>
      <c r="N269" s="225">
        <v>30120.575000000001</v>
      </c>
      <c r="O269" s="225">
        <v>9303.9</v>
      </c>
      <c r="P269" s="186"/>
      <c r="Q269" s="186"/>
    </row>
    <row r="270" spans="1:17">
      <c r="A270" s="253"/>
      <c r="B270" s="145" t="s">
        <v>228</v>
      </c>
      <c r="C270" s="225">
        <v>0</v>
      </c>
      <c r="D270" s="225">
        <v>0</v>
      </c>
      <c r="E270" s="225">
        <v>0</v>
      </c>
      <c r="F270" s="225">
        <v>0</v>
      </c>
      <c r="G270" s="225">
        <v>0</v>
      </c>
      <c r="H270" s="225">
        <v>0</v>
      </c>
      <c r="I270" s="225">
        <v>0</v>
      </c>
      <c r="J270" s="225">
        <v>0</v>
      </c>
      <c r="K270" s="225">
        <v>0</v>
      </c>
      <c r="L270" s="225">
        <v>0</v>
      </c>
      <c r="M270" s="225">
        <v>0</v>
      </c>
      <c r="N270" s="225">
        <v>0</v>
      </c>
      <c r="O270" s="225">
        <v>0</v>
      </c>
      <c r="P270" s="186"/>
      <c r="Q270" s="186"/>
    </row>
    <row r="271" spans="1:17">
      <c r="A271" s="253"/>
      <c r="B271" s="145" t="s">
        <v>93</v>
      </c>
      <c r="C271" s="225">
        <v>0</v>
      </c>
      <c r="D271" s="225">
        <v>0</v>
      </c>
      <c r="E271" s="225">
        <v>0</v>
      </c>
      <c r="F271" s="225">
        <v>0</v>
      </c>
      <c r="G271" s="225">
        <v>0</v>
      </c>
      <c r="H271" s="225">
        <v>0</v>
      </c>
      <c r="I271" s="225">
        <v>0</v>
      </c>
      <c r="J271" s="225">
        <v>0</v>
      </c>
      <c r="K271" s="225">
        <v>0</v>
      </c>
      <c r="L271" s="225">
        <v>0</v>
      </c>
      <c r="M271" s="225">
        <v>0</v>
      </c>
      <c r="N271" s="225">
        <v>0</v>
      </c>
      <c r="O271" s="225">
        <v>0</v>
      </c>
      <c r="P271" s="186"/>
      <c r="Q271" s="186"/>
    </row>
    <row r="272" spans="1:17">
      <c r="A272" s="253"/>
      <c r="B272" s="145" t="s">
        <v>80</v>
      </c>
      <c r="C272" s="225">
        <v>0</v>
      </c>
      <c r="D272" s="225">
        <v>22.5</v>
      </c>
      <c r="E272" s="225">
        <v>722.07500000000005</v>
      </c>
      <c r="F272" s="225">
        <v>2006.425</v>
      </c>
      <c r="G272" s="225">
        <v>832.7</v>
      </c>
      <c r="H272" s="225">
        <v>0</v>
      </c>
      <c r="I272" s="225">
        <v>291.07499999999999</v>
      </c>
      <c r="J272" s="225">
        <v>65.5</v>
      </c>
      <c r="K272" s="225">
        <v>377.57499999999999</v>
      </c>
      <c r="L272" s="225">
        <v>201.5</v>
      </c>
      <c r="M272" s="225">
        <v>0</v>
      </c>
      <c r="N272" s="225">
        <v>0</v>
      </c>
      <c r="O272" s="225">
        <v>1998.5</v>
      </c>
      <c r="P272" s="186"/>
      <c r="Q272" s="186"/>
    </row>
    <row r="273" spans="1:18">
      <c r="A273" s="253"/>
      <c r="B273" s="145" t="s">
        <v>89</v>
      </c>
      <c r="C273" s="225">
        <v>0</v>
      </c>
      <c r="D273" s="225">
        <v>0</v>
      </c>
      <c r="E273" s="225">
        <v>1</v>
      </c>
      <c r="F273" s="225">
        <v>0</v>
      </c>
      <c r="G273" s="225">
        <v>0</v>
      </c>
      <c r="H273" s="225">
        <v>26</v>
      </c>
      <c r="I273" s="225">
        <v>0</v>
      </c>
      <c r="J273" s="225">
        <v>0</v>
      </c>
      <c r="K273" s="225">
        <v>0</v>
      </c>
      <c r="L273" s="225">
        <v>0</v>
      </c>
      <c r="M273" s="225">
        <v>0</v>
      </c>
      <c r="N273" s="225">
        <v>0</v>
      </c>
      <c r="O273" s="225">
        <v>2</v>
      </c>
      <c r="P273" s="186"/>
      <c r="Q273" s="186"/>
    </row>
    <row r="274" spans="1:18">
      <c r="A274" s="253"/>
      <c r="B274" s="145" t="s">
        <v>94</v>
      </c>
      <c r="C274" s="225">
        <v>0</v>
      </c>
      <c r="D274" s="225">
        <v>0</v>
      </c>
      <c r="E274" s="225">
        <v>0</v>
      </c>
      <c r="F274" s="225">
        <v>0</v>
      </c>
      <c r="G274" s="225">
        <v>0</v>
      </c>
      <c r="H274" s="225">
        <v>0</v>
      </c>
      <c r="I274" s="225">
        <v>0</v>
      </c>
      <c r="J274" s="225">
        <v>0</v>
      </c>
      <c r="K274" s="225">
        <v>0</v>
      </c>
      <c r="L274" s="225">
        <v>0</v>
      </c>
      <c r="M274" s="225">
        <v>0</v>
      </c>
      <c r="N274" s="225">
        <v>0</v>
      </c>
      <c r="O274" s="225">
        <v>0</v>
      </c>
      <c r="P274" s="186"/>
      <c r="Q274" s="186"/>
    </row>
    <row r="275" spans="1:18">
      <c r="A275" s="253"/>
      <c r="B275" s="145" t="s">
        <v>86</v>
      </c>
      <c r="C275" s="225">
        <v>476.125</v>
      </c>
      <c r="D275" s="225">
        <v>1111.175</v>
      </c>
      <c r="E275" s="225">
        <v>1239.075</v>
      </c>
      <c r="F275" s="225">
        <v>1334.875</v>
      </c>
      <c r="G275" s="225">
        <v>3920.5250000000001</v>
      </c>
      <c r="H275" s="225">
        <v>1697.2</v>
      </c>
      <c r="I275" s="225">
        <v>997.65</v>
      </c>
      <c r="J275" s="225">
        <v>1513.55</v>
      </c>
      <c r="K275" s="225">
        <v>1716.575</v>
      </c>
      <c r="L275" s="225">
        <v>6216.85</v>
      </c>
      <c r="M275" s="225">
        <v>3759.55</v>
      </c>
      <c r="N275" s="225">
        <v>4976.7749999999996</v>
      </c>
      <c r="O275" s="225">
        <v>5033.1000000000004</v>
      </c>
      <c r="P275" s="186"/>
      <c r="Q275" s="186"/>
    </row>
    <row r="276" spans="1:18">
      <c r="A276" s="253"/>
      <c r="B276" s="145" t="s">
        <v>87</v>
      </c>
      <c r="C276" s="225">
        <v>0</v>
      </c>
      <c r="D276" s="225">
        <v>0</v>
      </c>
      <c r="E276" s="225">
        <v>0</v>
      </c>
      <c r="F276" s="225">
        <v>0</v>
      </c>
      <c r="G276" s="225">
        <v>0</v>
      </c>
      <c r="H276" s="225">
        <v>0</v>
      </c>
      <c r="I276" s="225">
        <v>0</v>
      </c>
      <c r="J276" s="225">
        <v>0</v>
      </c>
      <c r="K276" s="225">
        <v>0</v>
      </c>
      <c r="L276" s="225">
        <v>0</v>
      </c>
      <c r="M276" s="225">
        <v>0</v>
      </c>
      <c r="N276" s="225">
        <v>0</v>
      </c>
      <c r="O276" s="225">
        <v>0</v>
      </c>
      <c r="P276" s="186"/>
      <c r="Q276" s="186"/>
    </row>
    <row r="277" spans="1:18">
      <c r="A277" s="253"/>
      <c r="B277" s="145" t="s">
        <v>84</v>
      </c>
      <c r="C277" s="225">
        <v>13369.775</v>
      </c>
      <c r="D277" s="225">
        <v>32778.949999999997</v>
      </c>
      <c r="E277" s="225">
        <v>28866.575000000001</v>
      </c>
      <c r="F277" s="225">
        <v>38128.574999999997</v>
      </c>
      <c r="G277" s="225">
        <v>37262.824999999997</v>
      </c>
      <c r="H277" s="225">
        <v>14370.575000000001</v>
      </c>
      <c r="I277" s="225">
        <v>18026.625</v>
      </c>
      <c r="J277" s="225">
        <v>13985.1</v>
      </c>
      <c r="K277" s="225">
        <v>17696.400000000001</v>
      </c>
      <c r="L277" s="225">
        <v>29529.224999999999</v>
      </c>
      <c r="M277" s="225">
        <v>38182.800000000003</v>
      </c>
      <c r="N277" s="225">
        <v>45807.425000000003</v>
      </c>
      <c r="O277" s="225">
        <v>21057.1</v>
      </c>
      <c r="P277" s="187"/>
      <c r="Q277" s="187"/>
    </row>
    <row r="278" spans="1:18">
      <c r="A278" s="254"/>
      <c r="B278" s="226" t="s">
        <v>0</v>
      </c>
      <c r="C278" s="227">
        <v>125828.7</v>
      </c>
      <c r="D278" s="227">
        <v>238619.17499999999</v>
      </c>
      <c r="E278" s="227">
        <v>174742.7</v>
      </c>
      <c r="F278" s="227">
        <v>295334.82500000001</v>
      </c>
      <c r="G278" s="227">
        <v>241649.02499999999</v>
      </c>
      <c r="H278" s="227">
        <v>222841.2</v>
      </c>
      <c r="I278" s="227">
        <v>147441.27499999999</v>
      </c>
      <c r="J278" s="227">
        <v>106835.5</v>
      </c>
      <c r="K278" s="227">
        <v>134157.92499999999</v>
      </c>
      <c r="L278" s="227">
        <v>296773.84999999998</v>
      </c>
      <c r="M278" s="227">
        <v>272106</v>
      </c>
      <c r="N278" s="227">
        <v>287813.09999999998</v>
      </c>
      <c r="O278" s="227">
        <v>160873.1</v>
      </c>
      <c r="P278" s="187">
        <f>O278/C278-1</f>
        <v>0.2785087980723</v>
      </c>
      <c r="Q278" s="187"/>
    </row>
    <row r="279" spans="1:18">
      <c r="A279" s="255" t="s">
        <v>83</v>
      </c>
      <c r="B279" s="145" t="s">
        <v>90</v>
      </c>
      <c r="C279" s="225">
        <v>0</v>
      </c>
      <c r="D279" s="225">
        <v>0</v>
      </c>
      <c r="E279" s="225">
        <v>0</v>
      </c>
      <c r="F279" s="225">
        <v>0</v>
      </c>
      <c r="G279" s="225">
        <v>0</v>
      </c>
      <c r="H279" s="225">
        <v>0</v>
      </c>
      <c r="I279" s="225">
        <v>0</v>
      </c>
      <c r="J279" s="225">
        <v>0</v>
      </c>
      <c r="K279" s="225">
        <v>0</v>
      </c>
      <c r="L279" s="225">
        <v>0</v>
      </c>
      <c r="M279" s="225">
        <v>0</v>
      </c>
      <c r="N279" s="225">
        <v>0</v>
      </c>
      <c r="O279" s="225">
        <v>0</v>
      </c>
    </row>
    <row r="280" spans="1:18">
      <c r="A280" s="253"/>
      <c r="B280" s="145" t="s">
        <v>81</v>
      </c>
      <c r="C280" s="225">
        <v>4777.8999999999996</v>
      </c>
      <c r="D280" s="225">
        <v>2339.9499999999998</v>
      </c>
      <c r="E280" s="225">
        <v>804</v>
      </c>
      <c r="F280" s="225">
        <v>1954</v>
      </c>
      <c r="G280" s="225">
        <v>1013</v>
      </c>
      <c r="H280" s="225">
        <v>883</v>
      </c>
      <c r="I280" s="225">
        <v>906</v>
      </c>
      <c r="J280" s="225">
        <v>552</v>
      </c>
      <c r="K280" s="225">
        <v>807.25</v>
      </c>
      <c r="L280" s="225">
        <v>106</v>
      </c>
      <c r="M280" s="225">
        <v>579.20000000000005</v>
      </c>
      <c r="N280" s="225">
        <v>1158</v>
      </c>
      <c r="O280" s="225">
        <v>1320</v>
      </c>
    </row>
    <row r="281" spans="1:18">
      <c r="A281" s="253"/>
      <c r="B281" s="145" t="s">
        <v>24</v>
      </c>
      <c r="C281" s="225">
        <v>72027.574999999997</v>
      </c>
      <c r="D281" s="225">
        <v>31212.45</v>
      </c>
      <c r="E281" s="225">
        <v>22741.325000000001</v>
      </c>
      <c r="F281" s="225">
        <v>18792.900000000001</v>
      </c>
      <c r="G281" s="225">
        <v>15498.975</v>
      </c>
      <c r="H281" s="225">
        <v>17650.875</v>
      </c>
      <c r="I281" s="225">
        <v>19278.900000000001</v>
      </c>
      <c r="J281" s="225">
        <v>22218.15</v>
      </c>
      <c r="K281" s="225">
        <v>25335.65</v>
      </c>
      <c r="L281" s="225">
        <v>17047.924999999999</v>
      </c>
      <c r="M281" s="225">
        <v>20963.400000000001</v>
      </c>
      <c r="N281" s="225">
        <v>24501.45</v>
      </c>
      <c r="O281" s="225">
        <v>26201.875</v>
      </c>
      <c r="P281" s="196"/>
      <c r="Q281" s="196"/>
      <c r="R281" s="196"/>
    </row>
    <row r="282" spans="1:18">
      <c r="A282" s="253"/>
      <c r="B282" s="145" t="s">
        <v>88</v>
      </c>
      <c r="C282" s="225">
        <v>369</v>
      </c>
      <c r="D282" s="225">
        <v>309</v>
      </c>
      <c r="E282" s="225">
        <v>259.55</v>
      </c>
      <c r="F282" s="225">
        <v>569.42499999999995</v>
      </c>
      <c r="G282" s="225">
        <v>284.05</v>
      </c>
      <c r="H282" s="225">
        <v>181.5</v>
      </c>
      <c r="I282" s="225">
        <v>1400.95</v>
      </c>
      <c r="J282" s="225">
        <v>797.8</v>
      </c>
      <c r="K282" s="225">
        <v>347.3</v>
      </c>
      <c r="L282" s="225">
        <v>126.5</v>
      </c>
      <c r="M282" s="225">
        <v>137.5</v>
      </c>
      <c r="N282" s="225">
        <v>317.67500000000001</v>
      </c>
      <c r="O282" s="225">
        <v>114.97499999999999</v>
      </c>
      <c r="P282" s="196"/>
      <c r="Q282" s="196"/>
      <c r="R282" s="196"/>
    </row>
    <row r="283" spans="1:18">
      <c r="A283" s="253"/>
      <c r="B283" s="145" t="s">
        <v>82</v>
      </c>
      <c r="C283" s="225">
        <v>96009.824999999997</v>
      </c>
      <c r="D283" s="225">
        <v>63146.125</v>
      </c>
      <c r="E283" s="225">
        <v>76959.399999999994</v>
      </c>
      <c r="F283" s="225">
        <v>60395.65</v>
      </c>
      <c r="G283" s="225">
        <v>67580.25</v>
      </c>
      <c r="H283" s="225">
        <v>57086.474999999999</v>
      </c>
      <c r="I283" s="225">
        <v>144482.17499999999</v>
      </c>
      <c r="J283" s="225">
        <v>108258.5</v>
      </c>
      <c r="K283" s="225">
        <v>108093.3</v>
      </c>
      <c r="L283" s="225">
        <v>29117.95</v>
      </c>
      <c r="M283" s="225">
        <v>30788.55</v>
      </c>
      <c r="N283" s="225">
        <v>54673.8</v>
      </c>
      <c r="O283" s="225">
        <v>52169.95</v>
      </c>
      <c r="P283" s="196"/>
      <c r="Q283" s="196"/>
      <c r="R283" s="196"/>
    </row>
    <row r="284" spans="1:18">
      <c r="A284" s="253"/>
      <c r="B284" s="145" t="s">
        <v>91</v>
      </c>
      <c r="C284" s="225">
        <v>0</v>
      </c>
      <c r="D284" s="225">
        <v>0</v>
      </c>
      <c r="E284" s="225">
        <v>0</v>
      </c>
      <c r="F284" s="225">
        <v>0</v>
      </c>
      <c r="G284" s="225">
        <v>0</v>
      </c>
      <c r="H284" s="225">
        <v>0</v>
      </c>
      <c r="I284" s="225">
        <v>0</v>
      </c>
      <c r="J284" s="225">
        <v>0</v>
      </c>
      <c r="K284" s="225">
        <v>0</v>
      </c>
      <c r="L284" s="225">
        <v>0</v>
      </c>
      <c r="M284" s="225">
        <v>0</v>
      </c>
      <c r="N284" s="225">
        <v>0</v>
      </c>
      <c r="O284" s="225">
        <v>0</v>
      </c>
      <c r="P284" s="196"/>
      <c r="Q284" s="196"/>
      <c r="R284" s="196"/>
    </row>
    <row r="285" spans="1:18">
      <c r="A285" s="253"/>
      <c r="B285" s="145" t="s">
        <v>85</v>
      </c>
      <c r="C285" s="225">
        <v>41297.175000000003</v>
      </c>
      <c r="D285" s="225">
        <v>35992.6</v>
      </c>
      <c r="E285" s="225">
        <v>36430.1</v>
      </c>
      <c r="F285" s="225">
        <v>48803.7</v>
      </c>
      <c r="G285" s="225">
        <v>60658.55</v>
      </c>
      <c r="H285" s="225">
        <v>38624.324999999997</v>
      </c>
      <c r="I285" s="225">
        <v>180813.55</v>
      </c>
      <c r="J285" s="225">
        <v>142089.65</v>
      </c>
      <c r="K285" s="225">
        <v>133344.02499999999</v>
      </c>
      <c r="L285" s="225">
        <v>23568.5</v>
      </c>
      <c r="M285" s="225">
        <v>34164.875</v>
      </c>
      <c r="N285" s="225">
        <v>75655.3</v>
      </c>
      <c r="O285" s="225">
        <v>62410.574999999997</v>
      </c>
      <c r="P285" s="196"/>
      <c r="Q285" s="196"/>
      <c r="R285" s="196"/>
    </row>
    <row r="286" spans="1:18">
      <c r="A286" s="253"/>
      <c r="B286" s="145" t="s">
        <v>92</v>
      </c>
      <c r="C286" s="225">
        <v>0</v>
      </c>
      <c r="D286" s="225">
        <v>0</v>
      </c>
      <c r="E286" s="225">
        <v>0</v>
      </c>
      <c r="F286" s="225">
        <v>0</v>
      </c>
      <c r="G286" s="225">
        <v>0</v>
      </c>
      <c r="H286" s="225">
        <v>0</v>
      </c>
      <c r="I286" s="225">
        <v>0</v>
      </c>
      <c r="J286" s="225">
        <v>0</v>
      </c>
      <c r="K286" s="225">
        <v>0</v>
      </c>
      <c r="L286" s="225">
        <v>0</v>
      </c>
      <c r="M286" s="225">
        <v>0</v>
      </c>
      <c r="N286" s="225">
        <v>0</v>
      </c>
      <c r="O286" s="225">
        <v>0</v>
      </c>
      <c r="P286" s="196"/>
      <c r="Q286" s="196"/>
      <c r="R286" s="196"/>
    </row>
    <row r="287" spans="1:18">
      <c r="A287" s="253"/>
      <c r="B287" s="145" t="s">
        <v>20</v>
      </c>
      <c r="C287" s="225">
        <v>9161.7250000000004</v>
      </c>
      <c r="D287" s="225">
        <v>9536.0750000000007</v>
      </c>
      <c r="E287" s="225">
        <v>16893</v>
      </c>
      <c r="F287" s="225">
        <v>22168.6</v>
      </c>
      <c r="G287" s="225">
        <v>27501.4</v>
      </c>
      <c r="H287" s="225">
        <v>35109.699999999997</v>
      </c>
      <c r="I287" s="225">
        <v>26734.575000000001</v>
      </c>
      <c r="J287" s="225">
        <v>16666.150000000001</v>
      </c>
      <c r="K287" s="225">
        <v>24879.7</v>
      </c>
      <c r="L287" s="225">
        <v>12502.85</v>
      </c>
      <c r="M287" s="225">
        <v>11525.424999999999</v>
      </c>
      <c r="N287" s="225">
        <v>7633.3</v>
      </c>
      <c r="O287" s="225">
        <v>19581.95</v>
      </c>
      <c r="P287" s="196"/>
      <c r="Q287" s="196"/>
      <c r="R287" s="196"/>
    </row>
    <row r="288" spans="1:18">
      <c r="A288" s="253"/>
      <c r="B288" s="145" t="s">
        <v>228</v>
      </c>
      <c r="C288" s="225">
        <v>0</v>
      </c>
      <c r="D288" s="225">
        <v>0</v>
      </c>
      <c r="E288" s="225">
        <v>0</v>
      </c>
      <c r="F288" s="225">
        <v>0</v>
      </c>
      <c r="G288" s="225">
        <v>0</v>
      </c>
      <c r="H288" s="225">
        <v>0</v>
      </c>
      <c r="I288" s="225">
        <v>0</v>
      </c>
      <c r="J288" s="225">
        <v>0</v>
      </c>
      <c r="K288" s="225">
        <v>0</v>
      </c>
      <c r="L288" s="225">
        <v>0</v>
      </c>
      <c r="M288" s="225">
        <v>0</v>
      </c>
      <c r="N288" s="225">
        <v>0</v>
      </c>
      <c r="O288" s="225">
        <v>0</v>
      </c>
      <c r="P288" s="196"/>
      <c r="Q288" s="196"/>
      <c r="R288" s="196"/>
    </row>
    <row r="289" spans="1:18">
      <c r="A289" s="253"/>
      <c r="B289" s="145" t="s">
        <v>93</v>
      </c>
      <c r="C289" s="225">
        <v>0</v>
      </c>
      <c r="D289" s="225">
        <v>0</v>
      </c>
      <c r="E289" s="225">
        <v>0</v>
      </c>
      <c r="F289" s="225">
        <v>0</v>
      </c>
      <c r="G289" s="225">
        <v>0</v>
      </c>
      <c r="H289" s="225">
        <v>0</v>
      </c>
      <c r="I289" s="225">
        <v>0</v>
      </c>
      <c r="J289" s="225">
        <v>0</v>
      </c>
      <c r="K289" s="225">
        <v>0</v>
      </c>
      <c r="L289" s="225">
        <v>0</v>
      </c>
      <c r="M289" s="225">
        <v>0</v>
      </c>
      <c r="N289" s="225">
        <v>0</v>
      </c>
      <c r="O289" s="225">
        <v>0</v>
      </c>
      <c r="P289" s="196"/>
      <c r="Q289" s="196"/>
      <c r="R289" s="196"/>
    </row>
    <row r="290" spans="1:18">
      <c r="A290" s="253"/>
      <c r="B290" s="145" t="s">
        <v>80</v>
      </c>
      <c r="C290" s="225">
        <v>0</v>
      </c>
      <c r="D290" s="225">
        <v>20</v>
      </c>
      <c r="E290" s="225">
        <v>82</v>
      </c>
      <c r="F290" s="225">
        <v>540.72500000000002</v>
      </c>
      <c r="G290" s="225">
        <v>0</v>
      </c>
      <c r="H290" s="225">
        <v>186</v>
      </c>
      <c r="I290" s="225">
        <v>692.75</v>
      </c>
      <c r="J290" s="225">
        <v>246.5</v>
      </c>
      <c r="K290" s="225">
        <v>2223.5</v>
      </c>
      <c r="L290" s="225">
        <v>1151.2750000000001</v>
      </c>
      <c r="M290" s="225">
        <v>0</v>
      </c>
      <c r="N290" s="225">
        <v>0</v>
      </c>
      <c r="O290" s="225">
        <v>749.72500000000002</v>
      </c>
      <c r="P290" s="196"/>
      <c r="Q290" s="196"/>
      <c r="R290" s="196"/>
    </row>
    <row r="291" spans="1:18">
      <c r="A291" s="253"/>
      <c r="B291" s="145" t="s">
        <v>89</v>
      </c>
      <c r="C291" s="225">
        <v>0</v>
      </c>
      <c r="D291" s="225">
        <v>0</v>
      </c>
      <c r="E291" s="225">
        <v>0</v>
      </c>
      <c r="F291" s="225">
        <v>0</v>
      </c>
      <c r="G291" s="225">
        <v>0</v>
      </c>
      <c r="H291" s="225">
        <v>16</v>
      </c>
      <c r="I291" s="225">
        <v>22</v>
      </c>
      <c r="J291" s="225">
        <v>0</v>
      </c>
      <c r="K291" s="225">
        <v>0</v>
      </c>
      <c r="L291" s="225">
        <v>77.25</v>
      </c>
      <c r="M291" s="225">
        <v>54.75</v>
      </c>
      <c r="N291" s="225">
        <v>222.25</v>
      </c>
      <c r="O291" s="225">
        <v>79.5</v>
      </c>
      <c r="P291" s="196"/>
      <c r="Q291" s="196"/>
      <c r="R291" s="196"/>
    </row>
    <row r="292" spans="1:18">
      <c r="A292" s="253"/>
      <c r="B292" s="145" t="s">
        <v>94</v>
      </c>
      <c r="C292" s="225">
        <v>0</v>
      </c>
      <c r="D292" s="225">
        <v>0</v>
      </c>
      <c r="E292" s="225">
        <v>0</v>
      </c>
      <c r="F292" s="225">
        <v>0</v>
      </c>
      <c r="G292" s="225">
        <v>0</v>
      </c>
      <c r="H292" s="225">
        <v>0</v>
      </c>
      <c r="I292" s="225">
        <v>0</v>
      </c>
      <c r="J292" s="225">
        <v>0</v>
      </c>
      <c r="K292" s="225">
        <v>0</v>
      </c>
      <c r="L292" s="225">
        <v>0</v>
      </c>
      <c r="M292" s="225">
        <v>0</v>
      </c>
      <c r="N292" s="225">
        <v>0</v>
      </c>
      <c r="O292" s="225">
        <v>0</v>
      </c>
      <c r="P292" s="196"/>
      <c r="Q292" s="196"/>
      <c r="R292" s="196"/>
    </row>
    <row r="293" spans="1:18">
      <c r="A293" s="253"/>
      <c r="B293" s="145" t="s">
        <v>86</v>
      </c>
      <c r="C293" s="225">
        <v>8173.5</v>
      </c>
      <c r="D293" s="225">
        <v>2519.6</v>
      </c>
      <c r="E293" s="225">
        <v>2101.3249999999998</v>
      </c>
      <c r="F293" s="225">
        <v>2191.9749999999999</v>
      </c>
      <c r="G293" s="225">
        <v>2682.8249999999998</v>
      </c>
      <c r="H293" s="225">
        <v>4912.9250000000002</v>
      </c>
      <c r="I293" s="225">
        <v>11477.9</v>
      </c>
      <c r="J293" s="225">
        <v>25852.05</v>
      </c>
      <c r="K293" s="225">
        <v>24040.15</v>
      </c>
      <c r="L293" s="225">
        <v>15574.875</v>
      </c>
      <c r="M293" s="225">
        <v>12384.3</v>
      </c>
      <c r="N293" s="225">
        <v>21301.724999999999</v>
      </c>
      <c r="O293" s="225">
        <v>15213.95</v>
      </c>
      <c r="P293" s="196"/>
      <c r="Q293" s="196"/>
      <c r="R293" s="196"/>
    </row>
    <row r="294" spans="1:18">
      <c r="A294" s="253"/>
      <c r="B294" s="145" t="s">
        <v>87</v>
      </c>
      <c r="C294" s="225">
        <v>0</v>
      </c>
      <c r="D294" s="225">
        <v>0</v>
      </c>
      <c r="E294" s="225">
        <v>0</v>
      </c>
      <c r="F294" s="225">
        <v>0</v>
      </c>
      <c r="G294" s="225">
        <v>0</v>
      </c>
      <c r="H294" s="225">
        <v>0</v>
      </c>
      <c r="I294" s="225">
        <v>11</v>
      </c>
      <c r="J294" s="225">
        <v>0</v>
      </c>
      <c r="K294" s="225">
        <v>0</v>
      </c>
      <c r="L294" s="225">
        <v>0</v>
      </c>
      <c r="M294" s="225">
        <v>0</v>
      </c>
      <c r="N294" s="225">
        <v>0</v>
      </c>
      <c r="O294" s="225">
        <v>0</v>
      </c>
      <c r="P294" s="196"/>
      <c r="Q294" s="196"/>
      <c r="R294" s="196"/>
    </row>
    <row r="295" spans="1:18">
      <c r="A295" s="253"/>
      <c r="B295" s="145" t="s">
        <v>84</v>
      </c>
      <c r="C295" s="225">
        <v>40164.949999999997</v>
      </c>
      <c r="D295" s="225">
        <v>19037.974999999999</v>
      </c>
      <c r="E295" s="225">
        <v>20947.55</v>
      </c>
      <c r="F295" s="225">
        <v>32969.35</v>
      </c>
      <c r="G295" s="225">
        <v>33526.625</v>
      </c>
      <c r="H295" s="225">
        <v>31800.3</v>
      </c>
      <c r="I295" s="225">
        <v>34001.625</v>
      </c>
      <c r="J295" s="225">
        <v>26149.599999999999</v>
      </c>
      <c r="K295" s="225">
        <v>18092.95</v>
      </c>
      <c r="L295" s="225">
        <v>17276.575000000001</v>
      </c>
      <c r="M295" s="225">
        <v>5908.5</v>
      </c>
      <c r="N295" s="225">
        <v>15716.4</v>
      </c>
      <c r="O295" s="225">
        <v>17984.525000000001</v>
      </c>
      <c r="P295" s="196"/>
      <c r="Q295" s="196"/>
      <c r="R295" s="196"/>
    </row>
    <row r="296" spans="1:18">
      <c r="A296" s="254"/>
      <c r="B296" s="226" t="s">
        <v>0</v>
      </c>
      <c r="C296" s="227">
        <v>271981.65000000002</v>
      </c>
      <c r="D296" s="227">
        <v>164113.77499999999</v>
      </c>
      <c r="E296" s="227">
        <v>177218.25</v>
      </c>
      <c r="F296" s="227">
        <v>188386.32500000001</v>
      </c>
      <c r="G296" s="227">
        <v>208745.67499999999</v>
      </c>
      <c r="H296" s="227">
        <v>186451.1</v>
      </c>
      <c r="I296" s="227">
        <v>419821.42499999999</v>
      </c>
      <c r="J296" s="227">
        <v>342830.4</v>
      </c>
      <c r="K296" s="227">
        <v>337163.82500000001</v>
      </c>
      <c r="L296" s="227">
        <v>116549.7</v>
      </c>
      <c r="M296" s="227">
        <v>116506.5</v>
      </c>
      <c r="N296" s="227">
        <v>201179.9</v>
      </c>
      <c r="O296" s="227">
        <v>195827.02499999999</v>
      </c>
      <c r="P296" s="187">
        <f>O296/C296-1</f>
        <v>-0.27999912861768439</v>
      </c>
      <c r="Q296" s="187">
        <f>(O278+O296)/(C296+C278)-1</f>
        <v>-0.10334126550503286</v>
      </c>
      <c r="R296" s="196"/>
    </row>
    <row r="297" spans="1:18">
      <c r="A297" s="196"/>
      <c r="B297" s="196"/>
      <c r="C297" s="196"/>
      <c r="D297" s="196"/>
      <c r="E297" s="196"/>
      <c r="F297" s="196"/>
      <c r="G297" s="196"/>
      <c r="H297" s="196"/>
      <c r="I297" s="196"/>
      <c r="J297" s="196"/>
      <c r="K297" s="196"/>
      <c r="L297" s="196"/>
      <c r="M297" s="196"/>
      <c r="N297" s="196"/>
      <c r="O297" s="196"/>
      <c r="P297" s="196"/>
      <c r="Q297" s="196"/>
      <c r="R297" s="196"/>
    </row>
    <row r="298" spans="1:18">
      <c r="A298" s="196"/>
      <c r="B298" s="196"/>
      <c r="C298" s="196"/>
      <c r="D298" s="196"/>
      <c r="E298" s="196"/>
      <c r="F298" s="196"/>
      <c r="G298" s="196"/>
      <c r="H298" s="196"/>
      <c r="I298" s="196"/>
      <c r="J298" s="196"/>
      <c r="K298" s="196"/>
      <c r="L298" s="196"/>
      <c r="M298" s="196"/>
      <c r="N298" s="196"/>
      <c r="O298" s="196"/>
      <c r="P298" s="196"/>
      <c r="Q298" s="196"/>
      <c r="R298" s="196"/>
    </row>
    <row r="299" spans="1:18">
      <c r="O299" s="205"/>
    </row>
    <row r="300" spans="1:18">
      <c r="P300" s="159"/>
    </row>
    <row r="304" spans="1:18">
      <c r="A304" s="88"/>
    </row>
    <row r="305" spans="1:18">
      <c r="O305" s="193"/>
      <c r="Q305" s="186"/>
      <c r="R305" s="186"/>
    </row>
    <row r="306" spans="1:18">
      <c r="Q306" s="186"/>
      <c r="R306" s="186"/>
    </row>
    <row r="307" spans="1:18">
      <c r="Q307" s="186"/>
      <c r="R307" s="186"/>
    </row>
    <row r="308" spans="1:18">
      <c r="Q308" s="186"/>
      <c r="R308" s="186"/>
    </row>
    <row r="309" spans="1:18">
      <c r="P309" s="146"/>
      <c r="Q309" s="186"/>
      <c r="R309" s="186"/>
    </row>
    <row r="310" spans="1:18">
      <c r="P310" s="146"/>
      <c r="Q310" s="186"/>
      <c r="R310" s="186"/>
    </row>
    <row r="311" spans="1:18">
      <c r="P311" s="146"/>
      <c r="Q311" s="186"/>
      <c r="R311" s="186"/>
    </row>
    <row r="312" spans="1:18">
      <c r="P312" s="146"/>
      <c r="Q312" s="186"/>
      <c r="R312" s="186"/>
    </row>
    <row r="313" spans="1:18">
      <c r="A313" s="88" t="s">
        <v>234</v>
      </c>
      <c r="B313" s="200" t="str">
        <f>MID(B314,6,1)</f>
        <v>S</v>
      </c>
      <c r="C313" s="200" t="str">
        <f t="shared" ref="C313:N313" si="9">MID(C314,6,1)</f>
        <v>O</v>
      </c>
      <c r="D313" s="200" t="str">
        <f t="shared" si="9"/>
        <v>N</v>
      </c>
      <c r="E313" s="200" t="str">
        <f t="shared" si="9"/>
        <v>D</v>
      </c>
      <c r="F313" s="200" t="str">
        <f t="shared" si="9"/>
        <v>E</v>
      </c>
      <c r="G313" s="200" t="str">
        <f t="shared" si="9"/>
        <v>F</v>
      </c>
      <c r="H313" s="200" t="str">
        <f t="shared" si="9"/>
        <v>M</v>
      </c>
      <c r="I313" s="200" t="str">
        <f t="shared" si="9"/>
        <v>A</v>
      </c>
      <c r="J313" s="200" t="str">
        <f t="shared" si="9"/>
        <v>M</v>
      </c>
      <c r="K313" s="200" t="str">
        <f t="shared" si="9"/>
        <v>J</v>
      </c>
      <c r="L313" s="200" t="str">
        <f t="shared" si="9"/>
        <v>J</v>
      </c>
      <c r="M313" s="200" t="str">
        <f t="shared" si="9"/>
        <v>A</v>
      </c>
      <c r="N313" s="200" t="str">
        <f t="shared" si="9"/>
        <v>S</v>
      </c>
      <c r="O313" s="146"/>
      <c r="P313" s="146"/>
      <c r="Q313" s="186"/>
      <c r="R313" s="186"/>
    </row>
    <row r="314" spans="1:18">
      <c r="A314" s="143" t="s">
        <v>95</v>
      </c>
      <c r="B314" s="245" t="s">
        <v>242</v>
      </c>
      <c r="C314" s="245" t="s">
        <v>244</v>
      </c>
      <c r="D314" s="245" t="s">
        <v>250</v>
      </c>
      <c r="E314" s="245" t="s">
        <v>252</v>
      </c>
      <c r="F314" s="245" t="s">
        <v>256</v>
      </c>
      <c r="G314" s="245" t="s">
        <v>263</v>
      </c>
      <c r="H314" s="245" t="s">
        <v>267</v>
      </c>
      <c r="I314" s="245" t="s">
        <v>269</v>
      </c>
      <c r="J314" s="245" t="s">
        <v>277</v>
      </c>
      <c r="K314" s="245" t="s">
        <v>288</v>
      </c>
      <c r="L314" s="245" t="s">
        <v>290</v>
      </c>
      <c r="M314" s="245" t="s">
        <v>293</v>
      </c>
      <c r="N314" s="245" t="s">
        <v>324</v>
      </c>
      <c r="O314" s="146"/>
      <c r="P314" s="146"/>
      <c r="Q314" s="186"/>
      <c r="R314" s="186"/>
    </row>
    <row r="315" spans="1:18">
      <c r="A315" s="143" t="s">
        <v>28</v>
      </c>
      <c r="B315" s="172"/>
      <c r="C315" s="172"/>
      <c r="D315" s="172"/>
      <c r="E315" s="172"/>
      <c r="F315" s="172"/>
      <c r="G315" s="172"/>
      <c r="H315" s="172"/>
      <c r="I315" s="172"/>
      <c r="J315" s="172"/>
      <c r="K315" s="172"/>
      <c r="L315" s="172"/>
      <c r="M315" s="172"/>
      <c r="N315" s="172"/>
      <c r="P315" s="146"/>
      <c r="Q315" s="186"/>
      <c r="R315" s="186"/>
    </row>
    <row r="316" spans="1:18">
      <c r="A316" s="145" t="s">
        <v>79</v>
      </c>
      <c r="B316" s="225">
        <v>92309.5</v>
      </c>
      <c r="C316" s="225">
        <v>225778</v>
      </c>
      <c r="D316" s="225">
        <v>139151.25</v>
      </c>
      <c r="E316" s="225">
        <v>211467</v>
      </c>
      <c r="F316" s="225">
        <v>171470.25</v>
      </c>
      <c r="G316" s="225">
        <v>136980.75</v>
      </c>
      <c r="H316" s="225">
        <v>91593.75</v>
      </c>
      <c r="I316" s="225">
        <v>70595</v>
      </c>
      <c r="J316" s="225">
        <v>78732.25</v>
      </c>
      <c r="K316" s="225">
        <v>222328.25</v>
      </c>
      <c r="L316" s="225">
        <v>226607.5</v>
      </c>
      <c r="M316" s="225">
        <v>240958.25</v>
      </c>
      <c r="N316" s="225">
        <v>79070</v>
      </c>
      <c r="Q316" s="186"/>
      <c r="R316" s="186"/>
    </row>
    <row r="317" spans="1:18">
      <c r="A317" s="145" t="s">
        <v>83</v>
      </c>
      <c r="B317" s="225">
        <v>191085.75</v>
      </c>
      <c r="C317" s="225">
        <v>78643.5</v>
      </c>
      <c r="D317" s="225">
        <v>121601.5</v>
      </c>
      <c r="E317" s="225">
        <v>145258.5</v>
      </c>
      <c r="F317" s="225">
        <v>170205</v>
      </c>
      <c r="G317" s="225">
        <v>149060.75</v>
      </c>
      <c r="H317" s="225">
        <v>330997.5</v>
      </c>
      <c r="I317" s="225">
        <v>282474.5</v>
      </c>
      <c r="J317" s="225">
        <v>271386.75</v>
      </c>
      <c r="K317" s="225">
        <v>80841</v>
      </c>
      <c r="L317" s="225">
        <v>86306</v>
      </c>
      <c r="M317" s="225">
        <v>153145.25</v>
      </c>
      <c r="N317" s="225">
        <v>196386</v>
      </c>
    </row>
    <row r="318" spans="1:18">
      <c r="A318" s="178" t="s">
        <v>216</v>
      </c>
      <c r="B318" s="181">
        <f>SUM(B316:B317)</f>
        <v>283395.25</v>
      </c>
      <c r="C318" s="181">
        <f t="shared" ref="C318:N318" si="10">SUM(C316:C317)</f>
        <v>304421.5</v>
      </c>
      <c r="D318" s="181">
        <f t="shared" si="10"/>
        <v>260752.75</v>
      </c>
      <c r="E318" s="181">
        <f t="shared" si="10"/>
        <v>356725.5</v>
      </c>
      <c r="F318" s="181">
        <f t="shared" si="10"/>
        <v>341675.25</v>
      </c>
      <c r="G318" s="181">
        <f t="shared" si="10"/>
        <v>286041.5</v>
      </c>
      <c r="H318" s="181">
        <f t="shared" si="10"/>
        <v>422591.25</v>
      </c>
      <c r="I318" s="181">
        <f t="shared" si="10"/>
        <v>353069.5</v>
      </c>
      <c r="J318" s="181">
        <f t="shared" si="10"/>
        <v>350119</v>
      </c>
      <c r="K318" s="181">
        <f t="shared" si="10"/>
        <v>303169.25</v>
      </c>
      <c r="L318" s="181">
        <f t="shared" si="10"/>
        <v>312913.5</v>
      </c>
      <c r="M318" s="181">
        <f t="shared" si="10"/>
        <v>394103.5</v>
      </c>
      <c r="N318" s="181">
        <f t="shared" si="10"/>
        <v>275456</v>
      </c>
      <c r="P318" s="186"/>
      <c r="Q318" s="186"/>
    </row>
    <row r="319" spans="1:18">
      <c r="A319" s="88" t="s">
        <v>220</v>
      </c>
      <c r="P319" s="186"/>
      <c r="Q319" s="186"/>
    </row>
    <row r="320" spans="1:18">
      <c r="A320" s="143"/>
      <c r="B320" s="143"/>
      <c r="C320" s="143" t="s">
        <v>28</v>
      </c>
      <c r="D320" s="258" t="s">
        <v>278</v>
      </c>
      <c r="E320" s="259"/>
      <c r="F320" s="259"/>
      <c r="G320" s="259"/>
      <c r="H320" s="259"/>
      <c r="I320" s="259"/>
      <c r="J320" s="259"/>
      <c r="K320" s="259"/>
      <c r="L320" s="259"/>
      <c r="M320" s="259"/>
      <c r="N320" s="259"/>
      <c r="O320" s="259"/>
      <c r="P320" s="259"/>
      <c r="Q320" s="186"/>
    </row>
    <row r="321" spans="1:17">
      <c r="A321" s="143"/>
      <c r="B321" s="143"/>
      <c r="C321" s="143" t="s">
        <v>95</v>
      </c>
      <c r="D321" s="245" t="s">
        <v>242</v>
      </c>
      <c r="E321" s="245" t="s">
        <v>244</v>
      </c>
      <c r="F321" s="245" t="s">
        <v>250</v>
      </c>
      <c r="G321" s="245" t="s">
        <v>252</v>
      </c>
      <c r="H321" s="245" t="s">
        <v>256</v>
      </c>
      <c r="I321" s="245" t="s">
        <v>263</v>
      </c>
      <c r="J321" s="245" t="s">
        <v>267</v>
      </c>
      <c r="K321" s="245" t="s">
        <v>269</v>
      </c>
      <c r="L321" s="245" t="s">
        <v>277</v>
      </c>
      <c r="M321" s="245" t="s">
        <v>288</v>
      </c>
      <c r="N321" s="245" t="s">
        <v>290</v>
      </c>
      <c r="O321" s="245" t="s">
        <v>293</v>
      </c>
      <c r="P321" s="245" t="s">
        <v>324</v>
      </c>
      <c r="Q321" s="186"/>
    </row>
    <row r="322" spans="1:17">
      <c r="A322" s="143" t="s">
        <v>128</v>
      </c>
      <c r="B322" s="143" t="s">
        <v>198</v>
      </c>
      <c r="C322" s="143" t="s">
        <v>199</v>
      </c>
      <c r="D322" s="172"/>
      <c r="E322" s="172"/>
      <c r="F322" s="172"/>
      <c r="G322" s="172"/>
      <c r="H322" s="172"/>
      <c r="I322" s="172"/>
      <c r="J322" s="172"/>
      <c r="K322" s="172"/>
      <c r="L322" s="172"/>
      <c r="M322" s="172"/>
      <c r="N322" s="172"/>
      <c r="O322" s="172"/>
      <c r="P322" s="172"/>
      <c r="Q322" s="186"/>
    </row>
    <row r="323" spans="1:17">
      <c r="A323" s="252" t="s">
        <v>193</v>
      </c>
      <c r="B323" s="252" t="s">
        <v>194</v>
      </c>
      <c r="C323" s="145" t="s">
        <v>195</v>
      </c>
      <c r="D323" s="225">
        <v>1385</v>
      </c>
      <c r="E323" s="225">
        <v>28420.1</v>
      </c>
      <c r="F323" s="225">
        <v>19231.900000000001</v>
      </c>
      <c r="G323" s="225">
        <v>7715.1</v>
      </c>
      <c r="H323" s="225">
        <v>13030.5</v>
      </c>
      <c r="I323" s="225">
        <v>23234.400000000001</v>
      </c>
      <c r="J323" s="225">
        <v>6126.3</v>
      </c>
      <c r="K323" s="225">
        <v>6210.9</v>
      </c>
      <c r="L323" s="225">
        <v>15418.6</v>
      </c>
      <c r="M323" s="225">
        <v>23610.9</v>
      </c>
      <c r="N323" s="225">
        <v>9754</v>
      </c>
      <c r="O323" s="225">
        <v>14419.4</v>
      </c>
      <c r="P323" s="225">
        <v>10544</v>
      </c>
      <c r="Q323" s="186"/>
    </row>
    <row r="324" spans="1:17">
      <c r="A324" s="253"/>
      <c r="B324" s="254"/>
      <c r="C324" s="145" t="s">
        <v>196</v>
      </c>
      <c r="D324" s="225">
        <v>85885</v>
      </c>
      <c r="E324" s="225">
        <v>102571.3</v>
      </c>
      <c r="F324" s="225">
        <v>62469.599999999999</v>
      </c>
      <c r="G324" s="225">
        <v>37807.199999999997</v>
      </c>
      <c r="H324" s="225">
        <v>39359.9</v>
      </c>
      <c r="I324" s="225">
        <v>29375.8</v>
      </c>
      <c r="J324" s="225">
        <v>91808.3</v>
      </c>
      <c r="K324" s="225">
        <v>74632.600000000006</v>
      </c>
      <c r="L324" s="225">
        <v>70990</v>
      </c>
      <c r="M324" s="225">
        <v>33804.6</v>
      </c>
      <c r="N324" s="225">
        <v>56632.6</v>
      </c>
      <c r="O324" s="225">
        <v>78281</v>
      </c>
      <c r="P324" s="225">
        <v>39388.9</v>
      </c>
      <c r="Q324" s="186"/>
    </row>
    <row r="325" spans="1:17">
      <c r="A325" s="253"/>
      <c r="B325" s="255" t="s">
        <v>197</v>
      </c>
      <c r="C325" s="145" t="s">
        <v>195</v>
      </c>
      <c r="D325" s="225">
        <v>0</v>
      </c>
      <c r="E325" s="225">
        <v>0</v>
      </c>
      <c r="F325" s="225">
        <v>0</v>
      </c>
      <c r="G325" s="225">
        <v>0</v>
      </c>
      <c r="H325" s="225">
        <v>0</v>
      </c>
      <c r="I325" s="225">
        <v>0</v>
      </c>
      <c r="J325" s="225">
        <v>0</v>
      </c>
      <c r="K325" s="225">
        <v>0</v>
      </c>
      <c r="L325" s="225">
        <v>0</v>
      </c>
      <c r="M325" s="225">
        <v>0</v>
      </c>
      <c r="N325" s="225">
        <v>0</v>
      </c>
      <c r="O325" s="225">
        <v>0</v>
      </c>
      <c r="P325" s="225">
        <v>0</v>
      </c>
      <c r="Q325" s="186"/>
    </row>
    <row r="326" spans="1:17">
      <c r="A326" s="254"/>
      <c r="B326" s="254"/>
      <c r="C326" s="145" t="s">
        <v>196</v>
      </c>
      <c r="D326" s="225">
        <v>0</v>
      </c>
      <c r="E326" s="225">
        <v>0</v>
      </c>
      <c r="F326" s="225">
        <v>0</v>
      </c>
      <c r="G326" s="225">
        <v>0</v>
      </c>
      <c r="H326" s="225">
        <v>0</v>
      </c>
      <c r="I326" s="225">
        <v>0</v>
      </c>
      <c r="J326" s="225">
        <v>0</v>
      </c>
      <c r="K326" s="225">
        <v>0</v>
      </c>
      <c r="L326" s="225">
        <v>0</v>
      </c>
      <c r="M326" s="225">
        <v>0</v>
      </c>
      <c r="N326" s="225">
        <v>0</v>
      </c>
      <c r="O326" s="225">
        <v>0</v>
      </c>
      <c r="P326" s="225">
        <v>0</v>
      </c>
      <c r="Q326" s="186"/>
    </row>
    <row r="327" spans="1:17">
      <c r="A327" s="255" t="s">
        <v>224</v>
      </c>
      <c r="B327" s="255" t="s">
        <v>194</v>
      </c>
      <c r="C327" s="145" t="s">
        <v>195</v>
      </c>
      <c r="D327" s="225">
        <v>130</v>
      </c>
      <c r="E327" s="225">
        <v>18818.7</v>
      </c>
      <c r="F327" s="225">
        <v>12730.4</v>
      </c>
      <c r="G327" s="225">
        <v>6515.6</v>
      </c>
      <c r="H327" s="225">
        <v>11423.2</v>
      </c>
      <c r="I327" s="225">
        <v>24373.9</v>
      </c>
      <c r="J327" s="225">
        <v>14091.1</v>
      </c>
      <c r="K327" s="225">
        <v>19044.400000000001</v>
      </c>
      <c r="L327" s="225">
        <v>28792</v>
      </c>
      <c r="M327" s="225">
        <v>30280</v>
      </c>
      <c r="N327" s="225">
        <v>38015.1</v>
      </c>
      <c r="O327" s="225">
        <v>37645.699999999997</v>
      </c>
      <c r="P327" s="225">
        <v>43063.3</v>
      </c>
      <c r="Q327" s="186"/>
    </row>
    <row r="328" spans="1:17">
      <c r="A328" s="253"/>
      <c r="B328" s="254"/>
      <c r="C328" s="145" t="s">
        <v>196</v>
      </c>
      <c r="D328" s="225">
        <v>39763.300000000003</v>
      </c>
      <c r="E328" s="225">
        <v>39543.599999999999</v>
      </c>
      <c r="F328" s="225">
        <v>48945.8</v>
      </c>
      <c r="G328" s="225">
        <v>79746.7</v>
      </c>
      <c r="H328" s="225">
        <v>72605.3</v>
      </c>
      <c r="I328" s="225">
        <v>76706.399999999994</v>
      </c>
      <c r="J328" s="225">
        <v>50867.1</v>
      </c>
      <c r="K328" s="225">
        <v>37683.699999999997</v>
      </c>
      <c r="L328" s="225">
        <v>47265.2</v>
      </c>
      <c r="M328" s="225">
        <v>65872.399999999994</v>
      </c>
      <c r="N328" s="225">
        <v>43669.5</v>
      </c>
      <c r="O328" s="225">
        <v>53874.9</v>
      </c>
      <c r="P328" s="225">
        <v>89231.9</v>
      </c>
      <c r="Q328" s="186"/>
    </row>
    <row r="329" spans="1:17">
      <c r="A329" s="253"/>
      <c r="B329" s="255" t="s">
        <v>197</v>
      </c>
      <c r="C329" s="145" t="s">
        <v>195</v>
      </c>
      <c r="D329" s="225">
        <v>0</v>
      </c>
      <c r="E329" s="225">
        <v>0</v>
      </c>
      <c r="F329" s="225">
        <v>0</v>
      </c>
      <c r="G329" s="225">
        <v>0</v>
      </c>
      <c r="H329" s="225">
        <v>0</v>
      </c>
      <c r="I329" s="225">
        <v>0</v>
      </c>
      <c r="J329" s="225">
        <v>0</v>
      </c>
      <c r="K329" s="225">
        <v>0</v>
      </c>
      <c r="L329" s="225">
        <v>0</v>
      </c>
      <c r="M329" s="225">
        <v>0</v>
      </c>
      <c r="N329" s="225">
        <v>0</v>
      </c>
      <c r="O329" s="225">
        <v>0</v>
      </c>
      <c r="P329" s="225">
        <v>0</v>
      </c>
      <c r="Q329" s="186"/>
    </row>
    <row r="330" spans="1:17">
      <c r="A330" s="254"/>
      <c r="B330" s="254"/>
      <c r="C330" s="145" t="s">
        <v>196</v>
      </c>
      <c r="D330" s="225">
        <v>0</v>
      </c>
      <c r="E330" s="225">
        <v>0</v>
      </c>
      <c r="F330" s="225">
        <v>0</v>
      </c>
      <c r="G330" s="225">
        <v>0</v>
      </c>
      <c r="H330" s="225">
        <v>0</v>
      </c>
      <c r="I330" s="225">
        <v>0</v>
      </c>
      <c r="J330" s="225">
        <v>0</v>
      </c>
      <c r="K330" s="225">
        <v>0</v>
      </c>
      <c r="L330" s="225">
        <v>0</v>
      </c>
      <c r="M330" s="225">
        <v>0</v>
      </c>
      <c r="N330" s="225">
        <v>0</v>
      </c>
      <c r="O330" s="225">
        <v>0</v>
      </c>
      <c r="P330" s="225">
        <v>0</v>
      </c>
      <c r="Q330" s="186"/>
    </row>
    <row r="331" spans="1:17">
      <c r="A331" s="194"/>
      <c r="B331" s="145"/>
      <c r="C331" s="146"/>
      <c r="D331" s="146"/>
      <c r="E331" s="146"/>
      <c r="F331" s="146"/>
      <c r="G331" s="146"/>
      <c r="H331" s="146"/>
      <c r="I331" s="146"/>
      <c r="J331" s="146"/>
      <c r="K331" s="146"/>
      <c r="L331" s="146"/>
      <c r="M331" s="146"/>
      <c r="N331" s="146"/>
      <c r="O331" s="146"/>
      <c r="P331" s="186"/>
      <c r="Q331" s="186"/>
    </row>
    <row r="332" spans="1:17">
      <c r="A332" s="194"/>
      <c r="B332" s="145"/>
      <c r="C332" s="146"/>
      <c r="D332" s="146"/>
      <c r="E332" s="146"/>
      <c r="F332" s="146"/>
      <c r="G332" s="146"/>
      <c r="H332" s="146"/>
      <c r="I332" s="146"/>
      <c r="J332" s="146"/>
      <c r="K332" s="146"/>
      <c r="L332" s="146"/>
      <c r="M332" s="146"/>
      <c r="N332" s="146"/>
      <c r="O332" s="146"/>
      <c r="P332" s="186"/>
      <c r="Q332" s="186"/>
    </row>
    <row r="333" spans="1:17">
      <c r="A333" s="194"/>
      <c r="B333" s="145"/>
      <c r="C333" s="146"/>
      <c r="D333" s="146"/>
      <c r="E333" s="146"/>
      <c r="F333" s="146"/>
      <c r="G333" s="146"/>
      <c r="H333" s="146"/>
      <c r="I333" s="146"/>
      <c r="J333" s="146"/>
      <c r="K333" s="146"/>
      <c r="L333" s="146"/>
      <c r="M333" s="146"/>
      <c r="N333" s="146"/>
      <c r="O333" s="146"/>
      <c r="P333" s="186"/>
      <c r="Q333" s="186"/>
    </row>
    <row r="334" spans="1:17">
      <c r="A334" s="194"/>
      <c r="B334" s="145"/>
      <c r="C334" s="146"/>
      <c r="D334" s="146"/>
      <c r="E334" s="146"/>
      <c r="F334" s="146"/>
      <c r="G334" s="146"/>
      <c r="H334" s="146"/>
      <c r="I334" s="146"/>
      <c r="J334" s="146"/>
      <c r="K334" s="146"/>
      <c r="L334" s="146"/>
      <c r="M334" s="146"/>
      <c r="N334" s="146"/>
      <c r="O334" s="146"/>
      <c r="P334" s="186"/>
      <c r="Q334" s="186"/>
    </row>
    <row r="335" spans="1:17">
      <c r="A335" s="194"/>
      <c r="B335" s="145"/>
      <c r="C335" s="146"/>
      <c r="D335" s="146"/>
      <c r="E335" s="146"/>
      <c r="F335" s="146"/>
      <c r="G335" s="146"/>
      <c r="H335" s="146"/>
      <c r="I335" s="146"/>
      <c r="J335" s="146"/>
      <c r="K335" s="146"/>
      <c r="L335" s="146"/>
      <c r="M335" s="146"/>
      <c r="N335" s="146"/>
      <c r="O335" s="146"/>
      <c r="P335" s="186"/>
      <c r="Q335" s="186"/>
    </row>
    <row r="336" spans="1:17">
      <c r="A336" s="88" t="s">
        <v>235</v>
      </c>
      <c r="C336" s="171" t="str">
        <f>MID(C338,6,1)</f>
        <v>S</v>
      </c>
      <c r="D336" s="171" t="str">
        <f t="shared" ref="D336:O336" si="11">MID(D338,6,1)</f>
        <v>O</v>
      </c>
      <c r="E336" s="171" t="str">
        <f t="shared" si="11"/>
        <v>N</v>
      </c>
      <c r="F336" s="171" t="str">
        <f t="shared" si="11"/>
        <v>D</v>
      </c>
      <c r="G336" s="171" t="str">
        <f t="shared" si="11"/>
        <v>E</v>
      </c>
      <c r="H336" s="171" t="str">
        <f t="shared" si="11"/>
        <v>F</v>
      </c>
      <c r="I336" s="171" t="str">
        <f t="shared" si="11"/>
        <v>M</v>
      </c>
      <c r="J336" s="171" t="str">
        <f t="shared" si="11"/>
        <v>A</v>
      </c>
      <c r="K336" s="171" t="str">
        <f t="shared" si="11"/>
        <v>M</v>
      </c>
      <c r="L336" s="171" t="str">
        <f t="shared" si="11"/>
        <v>J</v>
      </c>
      <c r="M336" s="171" t="str">
        <f t="shared" si="11"/>
        <v>J</v>
      </c>
      <c r="N336" s="171" t="str">
        <f t="shared" si="11"/>
        <v>A</v>
      </c>
      <c r="O336" s="171" t="str">
        <f t="shared" si="11"/>
        <v>S</v>
      </c>
      <c r="P336" s="186"/>
      <c r="Q336" s="186"/>
    </row>
    <row r="337" spans="1:22">
      <c r="A337" s="143"/>
      <c r="B337" s="143" t="s">
        <v>28</v>
      </c>
      <c r="C337" s="256" t="s">
        <v>208</v>
      </c>
      <c r="D337" s="257"/>
      <c r="E337" s="257"/>
      <c r="F337" s="257"/>
      <c r="G337" s="257"/>
      <c r="H337" s="257"/>
      <c r="I337" s="257"/>
      <c r="J337" s="257"/>
      <c r="K337" s="257"/>
      <c r="L337" s="257"/>
      <c r="M337" s="257"/>
      <c r="N337" s="257"/>
      <c r="O337" s="257"/>
      <c r="P337" s="186"/>
      <c r="Q337" s="186"/>
    </row>
    <row r="338" spans="1:22">
      <c r="A338" s="143"/>
      <c r="B338" s="143" t="s">
        <v>95</v>
      </c>
      <c r="C338" s="245" t="s">
        <v>242</v>
      </c>
      <c r="D338" s="245" t="s">
        <v>244</v>
      </c>
      <c r="E338" s="245" t="s">
        <v>250</v>
      </c>
      <c r="F338" s="245" t="s">
        <v>252</v>
      </c>
      <c r="G338" s="245" t="s">
        <v>256</v>
      </c>
      <c r="H338" s="245" t="s">
        <v>263</v>
      </c>
      <c r="I338" s="245" t="s">
        <v>267</v>
      </c>
      <c r="J338" s="245" t="s">
        <v>269</v>
      </c>
      <c r="K338" s="245" t="s">
        <v>277</v>
      </c>
      <c r="L338" s="245" t="s">
        <v>288</v>
      </c>
      <c r="M338" s="245" t="s">
        <v>290</v>
      </c>
      <c r="N338" s="245" t="s">
        <v>293</v>
      </c>
      <c r="O338" s="245" t="s">
        <v>324</v>
      </c>
      <c r="P338" s="186"/>
      <c r="Q338" s="186"/>
    </row>
    <row r="339" spans="1:22">
      <c r="A339" s="143" t="s">
        <v>128</v>
      </c>
      <c r="B339" s="143" t="s">
        <v>129</v>
      </c>
      <c r="C339" s="172"/>
      <c r="D339" s="172"/>
      <c r="E339" s="172"/>
      <c r="F339" s="172"/>
      <c r="G339" s="172"/>
      <c r="H339" s="172"/>
      <c r="I339" s="172"/>
      <c r="J339" s="172"/>
      <c r="K339" s="172"/>
      <c r="L339" s="172"/>
      <c r="M339" s="172"/>
      <c r="N339" s="172"/>
      <c r="O339" s="172"/>
      <c r="P339" s="186"/>
      <c r="Q339" s="186"/>
    </row>
    <row r="340" spans="1:22">
      <c r="A340" s="268" t="s">
        <v>79</v>
      </c>
      <c r="B340" s="145" t="s">
        <v>81</v>
      </c>
      <c r="C340" s="225">
        <v>555</v>
      </c>
      <c r="D340" s="225">
        <v>4836.8</v>
      </c>
      <c r="E340" s="225">
        <v>2212.6999999999998</v>
      </c>
      <c r="F340" s="225">
        <v>5478</v>
      </c>
      <c r="G340" s="225">
        <v>11268</v>
      </c>
      <c r="H340" s="225">
        <v>48958</v>
      </c>
      <c r="I340" s="225">
        <v>138130.4</v>
      </c>
      <c r="J340" s="225">
        <v>43920</v>
      </c>
      <c r="K340" s="225">
        <v>8172.8</v>
      </c>
      <c r="L340" s="225">
        <v>3400</v>
      </c>
      <c r="M340" s="225">
        <v>2260</v>
      </c>
      <c r="N340" s="225">
        <v>2834</v>
      </c>
      <c r="O340" s="225">
        <v>38425</v>
      </c>
      <c r="P340" s="186"/>
      <c r="Q340" s="189"/>
    </row>
    <row r="341" spans="1:22">
      <c r="A341" s="253"/>
      <c r="B341" s="145" t="s">
        <v>24</v>
      </c>
      <c r="C341" s="225">
        <v>232710.6</v>
      </c>
      <c r="D341" s="225">
        <v>227776.45499999999</v>
      </c>
      <c r="E341" s="225">
        <v>174006.85399999999</v>
      </c>
      <c r="F341" s="225">
        <v>334554.35800000001</v>
      </c>
      <c r="G341" s="225">
        <v>387716.67499999999</v>
      </c>
      <c r="H341" s="225">
        <v>280733.853</v>
      </c>
      <c r="I341" s="225">
        <v>224071.01699999999</v>
      </c>
      <c r="J341" s="225">
        <v>122955.6</v>
      </c>
      <c r="K341" s="225">
        <v>230037.60800000001</v>
      </c>
      <c r="L341" s="225">
        <v>321495.908</v>
      </c>
      <c r="M341" s="225">
        <v>255417.44200000001</v>
      </c>
      <c r="N341" s="225">
        <v>221717.226</v>
      </c>
      <c r="O341" s="225">
        <v>287082.59399999998</v>
      </c>
      <c r="P341" s="186"/>
      <c r="Q341" s="186"/>
    </row>
    <row r="342" spans="1:22">
      <c r="A342" s="253"/>
      <c r="B342" s="145" t="s">
        <v>88</v>
      </c>
      <c r="C342" s="225">
        <v>0</v>
      </c>
      <c r="D342" s="225">
        <v>0</v>
      </c>
      <c r="E342" s="225">
        <v>0</v>
      </c>
      <c r="F342" s="225">
        <v>0</v>
      </c>
      <c r="G342" s="225">
        <v>0</v>
      </c>
      <c r="H342" s="225">
        <v>0</v>
      </c>
      <c r="I342" s="225">
        <v>0</v>
      </c>
      <c r="J342" s="225">
        <v>0</v>
      </c>
      <c r="K342" s="225">
        <v>0</v>
      </c>
      <c r="L342" s="225">
        <v>0</v>
      </c>
      <c r="M342" s="225">
        <v>0</v>
      </c>
      <c r="N342" s="225">
        <v>0</v>
      </c>
      <c r="O342" s="225">
        <v>0</v>
      </c>
      <c r="P342" s="186"/>
      <c r="Q342" s="186"/>
    </row>
    <row r="343" spans="1:22">
      <c r="A343" s="253"/>
      <c r="B343" s="145" t="s">
        <v>82</v>
      </c>
      <c r="C343" s="225">
        <v>982.5</v>
      </c>
      <c r="D343" s="225">
        <v>2792.6</v>
      </c>
      <c r="E343" s="225">
        <v>126</v>
      </c>
      <c r="F343" s="225">
        <v>258.25</v>
      </c>
      <c r="G343" s="225">
        <v>572.57299999999998</v>
      </c>
      <c r="H343" s="225">
        <v>43.033000000000001</v>
      </c>
      <c r="I343" s="225">
        <v>316.875</v>
      </c>
      <c r="J343" s="225">
        <v>4435.0169999999998</v>
      </c>
      <c r="K343" s="225">
        <v>6374.2</v>
      </c>
      <c r="L343" s="225">
        <v>191.083</v>
      </c>
      <c r="M343" s="225">
        <v>8045.5839999999998</v>
      </c>
      <c r="N343" s="225">
        <v>11049.55</v>
      </c>
      <c r="O343" s="225">
        <v>5227.5839999999998</v>
      </c>
      <c r="P343" s="186"/>
      <c r="Q343" s="186"/>
    </row>
    <row r="344" spans="1:22">
      <c r="A344" s="253"/>
      <c r="B344" s="145" t="s">
        <v>91</v>
      </c>
      <c r="C344" s="225">
        <v>388.7</v>
      </c>
      <c r="D344" s="225">
        <v>0</v>
      </c>
      <c r="E344" s="225">
        <v>0</v>
      </c>
      <c r="F344" s="225">
        <v>0</v>
      </c>
      <c r="G344" s="225">
        <v>681.8</v>
      </c>
      <c r="H344" s="225">
        <v>0</v>
      </c>
      <c r="I344" s="225">
        <v>152.4</v>
      </c>
      <c r="J344" s="225">
        <v>148.1</v>
      </c>
      <c r="K344" s="225">
        <v>1318.3</v>
      </c>
      <c r="L344" s="225">
        <v>1224</v>
      </c>
      <c r="M344" s="225">
        <v>1144</v>
      </c>
      <c r="N344" s="225">
        <v>362</v>
      </c>
      <c r="O344" s="225">
        <v>0</v>
      </c>
      <c r="P344" s="186"/>
      <c r="Q344" s="186"/>
    </row>
    <row r="345" spans="1:22">
      <c r="A345" s="253"/>
      <c r="B345" s="145" t="s">
        <v>85</v>
      </c>
      <c r="C345" s="225">
        <v>0</v>
      </c>
      <c r="D345" s="225">
        <v>0</v>
      </c>
      <c r="E345" s="225">
        <v>0</v>
      </c>
      <c r="F345" s="225">
        <v>0</v>
      </c>
      <c r="G345" s="225">
        <v>0</v>
      </c>
      <c r="H345" s="225">
        <v>0</v>
      </c>
      <c r="I345" s="225">
        <v>0</v>
      </c>
      <c r="J345" s="225">
        <v>0</v>
      </c>
      <c r="K345" s="225">
        <v>0</v>
      </c>
      <c r="L345" s="225">
        <v>175.97499999999999</v>
      </c>
      <c r="M345" s="225">
        <v>41.665999999999997</v>
      </c>
      <c r="N345" s="225">
        <v>0</v>
      </c>
      <c r="O345" s="225">
        <v>0</v>
      </c>
      <c r="P345" s="186"/>
      <c r="Q345" s="186"/>
    </row>
    <row r="346" spans="1:22">
      <c r="A346" s="253"/>
      <c r="B346" s="145" t="s">
        <v>20</v>
      </c>
      <c r="C346" s="225">
        <v>418.25</v>
      </c>
      <c r="D346" s="225">
        <v>208.75</v>
      </c>
      <c r="E346" s="225">
        <v>449.2</v>
      </c>
      <c r="F346" s="225">
        <v>227.92500000000001</v>
      </c>
      <c r="G346" s="225">
        <v>835.85</v>
      </c>
      <c r="H346" s="225">
        <v>0</v>
      </c>
      <c r="I346" s="225">
        <v>0</v>
      </c>
      <c r="J346" s="225">
        <v>0</v>
      </c>
      <c r="K346" s="225">
        <v>0</v>
      </c>
      <c r="L346" s="225">
        <v>0</v>
      </c>
      <c r="M346" s="225">
        <v>475</v>
      </c>
      <c r="N346" s="225">
        <v>144.32499999999999</v>
      </c>
      <c r="O346" s="225">
        <v>0</v>
      </c>
      <c r="P346" s="186"/>
      <c r="Q346" s="186"/>
    </row>
    <row r="347" spans="1:22">
      <c r="A347" s="253"/>
      <c r="B347" s="145" t="s">
        <v>228</v>
      </c>
      <c r="C347" s="225">
        <v>0</v>
      </c>
      <c r="D347" s="225">
        <v>0</v>
      </c>
      <c r="E347" s="225">
        <v>0</v>
      </c>
      <c r="F347" s="225">
        <v>0</v>
      </c>
      <c r="G347" s="225">
        <v>0</v>
      </c>
      <c r="H347" s="225">
        <v>0</v>
      </c>
      <c r="I347" s="225">
        <v>0</v>
      </c>
      <c r="J347" s="225">
        <v>0</v>
      </c>
      <c r="K347" s="225">
        <v>0</v>
      </c>
      <c r="L347" s="225">
        <v>0</v>
      </c>
      <c r="M347" s="225">
        <v>0</v>
      </c>
      <c r="N347" s="225">
        <v>0</v>
      </c>
      <c r="O347" s="225">
        <v>0</v>
      </c>
      <c r="P347" s="186"/>
      <c r="Q347" s="186"/>
    </row>
    <row r="348" spans="1:22">
      <c r="A348" s="253"/>
      <c r="B348" s="145" t="s">
        <v>93</v>
      </c>
      <c r="C348" s="225">
        <v>0</v>
      </c>
      <c r="D348" s="225">
        <v>3824.8</v>
      </c>
      <c r="E348" s="225">
        <v>613.33299999999997</v>
      </c>
      <c r="F348" s="225">
        <v>0</v>
      </c>
      <c r="G348" s="225">
        <v>0</v>
      </c>
      <c r="H348" s="225">
        <v>0</v>
      </c>
      <c r="I348" s="225">
        <v>0</v>
      </c>
      <c r="J348" s="225">
        <v>0</v>
      </c>
      <c r="K348" s="225">
        <v>0</v>
      </c>
      <c r="L348" s="225">
        <v>0</v>
      </c>
      <c r="M348" s="225">
        <v>647.79999999999995</v>
      </c>
      <c r="N348" s="225">
        <v>0</v>
      </c>
      <c r="O348" s="225">
        <v>0</v>
      </c>
      <c r="P348" s="187"/>
      <c r="Q348" s="187"/>
    </row>
    <row r="349" spans="1:22">
      <c r="A349" s="253"/>
      <c r="B349" s="145" t="s">
        <v>89</v>
      </c>
      <c r="C349" s="225">
        <v>0</v>
      </c>
      <c r="D349" s="225">
        <v>0</v>
      </c>
      <c r="E349" s="225">
        <v>0</v>
      </c>
      <c r="F349" s="225">
        <v>0</v>
      </c>
      <c r="G349" s="225">
        <v>0</v>
      </c>
      <c r="H349" s="225">
        <v>0</v>
      </c>
      <c r="I349" s="225">
        <v>0</v>
      </c>
      <c r="J349" s="225">
        <v>0</v>
      </c>
      <c r="K349" s="225">
        <v>0</v>
      </c>
      <c r="L349" s="225">
        <v>0</v>
      </c>
      <c r="M349" s="225">
        <v>0</v>
      </c>
      <c r="N349" s="225">
        <v>0</v>
      </c>
      <c r="O349" s="225">
        <v>0</v>
      </c>
      <c r="P349" s="195"/>
      <c r="Q349" s="195"/>
      <c r="R349" s="195"/>
      <c r="S349" s="195"/>
      <c r="T349" s="195"/>
      <c r="U349" s="195"/>
      <c r="V349" s="195"/>
    </row>
    <row r="350" spans="1:22">
      <c r="A350" s="253"/>
      <c r="B350" s="145" t="s">
        <v>94</v>
      </c>
      <c r="C350" s="225">
        <v>0</v>
      </c>
      <c r="D350" s="225">
        <v>0</v>
      </c>
      <c r="E350" s="225">
        <v>0</v>
      </c>
      <c r="F350" s="225">
        <v>0</v>
      </c>
      <c r="G350" s="225">
        <v>0</v>
      </c>
      <c r="H350" s="225">
        <v>0</v>
      </c>
      <c r="I350" s="225">
        <v>0</v>
      </c>
      <c r="J350" s="225">
        <v>0</v>
      </c>
      <c r="K350" s="225">
        <v>0</v>
      </c>
      <c r="L350" s="225">
        <v>0</v>
      </c>
      <c r="M350" s="225">
        <v>0</v>
      </c>
      <c r="N350" s="225">
        <v>0</v>
      </c>
      <c r="O350" s="225">
        <v>0</v>
      </c>
      <c r="P350" s="195"/>
      <c r="Q350" s="195"/>
      <c r="R350" s="195"/>
      <c r="S350" s="195"/>
      <c r="T350" s="195"/>
      <c r="U350" s="195"/>
      <c r="V350" s="195"/>
    </row>
    <row r="351" spans="1:22">
      <c r="A351" s="253"/>
      <c r="B351" s="145" t="s">
        <v>86</v>
      </c>
      <c r="C351" s="225">
        <v>0</v>
      </c>
      <c r="D351" s="225">
        <v>0</v>
      </c>
      <c r="E351" s="225">
        <v>0</v>
      </c>
      <c r="F351" s="225">
        <v>0</v>
      </c>
      <c r="G351" s="225">
        <v>0</v>
      </c>
      <c r="H351" s="225">
        <v>0</v>
      </c>
      <c r="I351" s="225">
        <v>0</v>
      </c>
      <c r="J351" s="225">
        <v>0</v>
      </c>
      <c r="K351" s="225">
        <v>0</v>
      </c>
      <c r="L351" s="225">
        <v>0</v>
      </c>
      <c r="M351" s="225">
        <v>0</v>
      </c>
      <c r="N351" s="225">
        <v>0</v>
      </c>
      <c r="O351" s="225">
        <v>0</v>
      </c>
      <c r="P351" s="195"/>
      <c r="Q351" s="195"/>
      <c r="R351" s="195"/>
      <c r="S351" s="195"/>
      <c r="T351" s="195"/>
      <c r="U351" s="195"/>
      <c r="V351" s="195"/>
    </row>
    <row r="352" spans="1:22">
      <c r="A352" s="253"/>
      <c r="B352" s="145" t="s">
        <v>87</v>
      </c>
      <c r="C352" s="225">
        <v>0</v>
      </c>
      <c r="D352" s="225">
        <v>0</v>
      </c>
      <c r="E352" s="225">
        <v>0</v>
      </c>
      <c r="F352" s="225">
        <v>0</v>
      </c>
      <c r="G352" s="225">
        <v>0</v>
      </c>
      <c r="H352" s="225">
        <v>0</v>
      </c>
      <c r="I352" s="225">
        <v>0</v>
      </c>
      <c r="J352" s="225">
        <v>0</v>
      </c>
      <c r="K352" s="225">
        <v>0</v>
      </c>
      <c r="L352" s="225">
        <v>0</v>
      </c>
      <c r="M352" s="225">
        <v>0</v>
      </c>
      <c r="N352" s="225">
        <v>0</v>
      </c>
      <c r="O352" s="225">
        <v>0</v>
      </c>
      <c r="P352" s="195"/>
      <c r="Q352" s="195"/>
      <c r="R352" s="195"/>
      <c r="S352" s="195"/>
      <c r="T352" s="195"/>
      <c r="U352" s="195"/>
      <c r="V352" s="195"/>
    </row>
    <row r="353" spans="1:22">
      <c r="A353" s="253"/>
      <c r="B353" s="145" t="s">
        <v>84</v>
      </c>
      <c r="C353" s="225">
        <v>708.4</v>
      </c>
      <c r="D353" s="225">
        <v>1365.5</v>
      </c>
      <c r="E353" s="225">
        <v>1312.25</v>
      </c>
      <c r="F353" s="225">
        <v>1594.663</v>
      </c>
      <c r="G353" s="225">
        <v>77.5</v>
      </c>
      <c r="H353" s="225">
        <v>1846.75</v>
      </c>
      <c r="I353" s="225">
        <v>717.66700000000003</v>
      </c>
      <c r="J353" s="225">
        <v>13251.877</v>
      </c>
      <c r="K353" s="225">
        <v>9849.2919999999995</v>
      </c>
      <c r="L353" s="225">
        <v>4721.7749999999996</v>
      </c>
      <c r="M353" s="225">
        <v>5129.95</v>
      </c>
      <c r="N353" s="225">
        <v>2296.991</v>
      </c>
      <c r="O353" s="225">
        <v>2105.7669999999998</v>
      </c>
      <c r="P353" s="195"/>
      <c r="Q353" s="195"/>
      <c r="R353" s="195"/>
      <c r="S353" s="195"/>
      <c r="T353" s="195"/>
      <c r="U353" s="195"/>
      <c r="V353" s="195"/>
    </row>
    <row r="354" spans="1:22">
      <c r="A354" s="254"/>
      <c r="B354" s="226" t="s">
        <v>0</v>
      </c>
      <c r="C354" s="227">
        <v>235763.45</v>
      </c>
      <c r="D354" s="227">
        <v>240804.905</v>
      </c>
      <c r="E354" s="227">
        <v>178720.337</v>
      </c>
      <c r="F354" s="227">
        <v>342113.196</v>
      </c>
      <c r="G354" s="227">
        <v>401152.39799999999</v>
      </c>
      <c r="H354" s="227">
        <v>331581.636</v>
      </c>
      <c r="I354" s="227">
        <v>363388.359</v>
      </c>
      <c r="J354" s="227">
        <v>184710.59400000001</v>
      </c>
      <c r="K354" s="227">
        <v>255752.2</v>
      </c>
      <c r="L354" s="227">
        <v>331208.74099999998</v>
      </c>
      <c r="M354" s="227">
        <v>273161.44199999998</v>
      </c>
      <c r="N354" s="227">
        <v>238404.092</v>
      </c>
      <c r="O354" s="227">
        <v>332840.94500000001</v>
      </c>
      <c r="P354" s="187">
        <f>O354/C354-1</f>
        <v>0.41175803543763889</v>
      </c>
      <c r="Q354" s="195"/>
      <c r="R354" s="195"/>
      <c r="S354" s="195"/>
      <c r="T354" s="195"/>
      <c r="U354" s="195"/>
      <c r="V354" s="195"/>
    </row>
    <row r="355" spans="1:22">
      <c r="A355" s="267" t="s">
        <v>83</v>
      </c>
      <c r="B355" s="145" t="s">
        <v>81</v>
      </c>
      <c r="C355" s="225">
        <v>20</v>
      </c>
      <c r="D355" s="225">
        <v>0</v>
      </c>
      <c r="E355" s="225">
        <v>0</v>
      </c>
      <c r="F355" s="225">
        <v>0</v>
      </c>
      <c r="G355" s="225">
        <v>0</v>
      </c>
      <c r="H355" s="225">
        <v>0</v>
      </c>
      <c r="I355" s="225">
        <v>0</v>
      </c>
      <c r="J355" s="225">
        <v>0</v>
      </c>
      <c r="K355" s="225">
        <v>0</v>
      </c>
      <c r="L355" s="225">
        <v>0</v>
      </c>
      <c r="M355" s="225">
        <v>0</v>
      </c>
      <c r="N355" s="225">
        <v>0</v>
      </c>
      <c r="O355" s="225">
        <v>0</v>
      </c>
      <c r="P355" s="195"/>
      <c r="Q355" s="195"/>
      <c r="R355" s="195"/>
      <c r="S355" s="195"/>
      <c r="T355" s="195"/>
      <c r="U355" s="195"/>
      <c r="V355" s="195"/>
    </row>
    <row r="356" spans="1:22">
      <c r="A356" s="253"/>
      <c r="B356" s="145" t="s">
        <v>24</v>
      </c>
      <c r="C356" s="225">
        <v>1489.0419999999999</v>
      </c>
      <c r="D356" s="225">
        <v>1431.5</v>
      </c>
      <c r="E356" s="225">
        <v>4345.8999999999996</v>
      </c>
      <c r="F356" s="225">
        <v>3059.067</v>
      </c>
      <c r="G356" s="225">
        <v>0</v>
      </c>
      <c r="H356" s="225">
        <v>1578.425</v>
      </c>
      <c r="I356" s="225">
        <v>1682.35</v>
      </c>
      <c r="J356" s="225">
        <v>2896.5250000000001</v>
      </c>
      <c r="K356" s="225">
        <v>199.85</v>
      </c>
      <c r="L356" s="225">
        <v>2332.3249999999998</v>
      </c>
      <c r="M356" s="225">
        <v>8570.1929999999993</v>
      </c>
      <c r="N356" s="225">
        <v>898.7</v>
      </c>
      <c r="O356" s="225">
        <v>958.3</v>
      </c>
      <c r="P356" s="195"/>
      <c r="Q356" s="195"/>
      <c r="R356" s="195"/>
      <c r="S356" s="195"/>
      <c r="T356" s="195"/>
      <c r="U356" s="195"/>
      <c r="V356" s="195"/>
    </row>
    <row r="357" spans="1:22">
      <c r="A357" s="253"/>
      <c r="B357" s="145" t="s">
        <v>88</v>
      </c>
      <c r="C357" s="225">
        <v>599.78599999999994</v>
      </c>
      <c r="D357" s="225">
        <v>183.958</v>
      </c>
      <c r="E357" s="225">
        <v>27.314</v>
      </c>
      <c r="F357" s="225">
        <v>0</v>
      </c>
      <c r="G357" s="225">
        <v>655.67499999999995</v>
      </c>
      <c r="H357" s="225">
        <v>97.391000000000005</v>
      </c>
      <c r="I357" s="225">
        <v>1288.318</v>
      </c>
      <c r="J357" s="225">
        <v>1320.7940000000001</v>
      </c>
      <c r="K357" s="225">
        <v>1687.6179999999999</v>
      </c>
      <c r="L357" s="225">
        <v>837.54200000000003</v>
      </c>
      <c r="M357" s="225">
        <v>1044.5419999999999</v>
      </c>
      <c r="N357" s="225">
        <v>918.51900000000001</v>
      </c>
      <c r="O357" s="225">
        <v>215.17699999999999</v>
      </c>
      <c r="P357" s="195"/>
      <c r="Q357" s="195"/>
      <c r="R357" s="195"/>
      <c r="S357" s="195"/>
      <c r="T357" s="195"/>
      <c r="U357" s="195"/>
      <c r="V357" s="195"/>
    </row>
    <row r="358" spans="1:22">
      <c r="A358" s="253"/>
      <c r="B358" s="145" t="s">
        <v>82</v>
      </c>
      <c r="C358" s="225">
        <v>18456.273000000001</v>
      </c>
      <c r="D358" s="225">
        <v>50768.847000000002</v>
      </c>
      <c r="E358" s="225">
        <v>15616.296</v>
      </c>
      <c r="F358" s="225">
        <v>24243.491999999998</v>
      </c>
      <c r="G358" s="225">
        <v>11045.084000000001</v>
      </c>
      <c r="H358" s="225">
        <v>31105.358</v>
      </c>
      <c r="I358" s="225">
        <v>35237.998</v>
      </c>
      <c r="J358" s="225">
        <v>22481.383999999998</v>
      </c>
      <c r="K358" s="225">
        <v>25714.166000000001</v>
      </c>
      <c r="L358" s="225">
        <v>39583.667999999998</v>
      </c>
      <c r="M358" s="225">
        <v>22062.469000000001</v>
      </c>
      <c r="N358" s="225">
        <v>21253.542000000001</v>
      </c>
      <c r="O358" s="225">
        <v>27683.021000000001</v>
      </c>
      <c r="P358" s="195"/>
      <c r="Q358" s="195"/>
      <c r="R358" s="195"/>
      <c r="S358" s="195"/>
      <c r="T358" s="195"/>
      <c r="U358" s="195"/>
      <c r="V358" s="195"/>
    </row>
    <row r="359" spans="1:22">
      <c r="A359" s="253"/>
      <c r="B359" s="145" t="s">
        <v>91</v>
      </c>
      <c r="C359" s="225">
        <v>0</v>
      </c>
      <c r="D359" s="225">
        <v>0</v>
      </c>
      <c r="E359" s="225">
        <v>0</v>
      </c>
      <c r="F359" s="225">
        <v>0</v>
      </c>
      <c r="G359" s="225">
        <v>0</v>
      </c>
      <c r="H359" s="225">
        <v>0</v>
      </c>
      <c r="I359" s="225">
        <v>0</v>
      </c>
      <c r="J359" s="225">
        <v>0</v>
      </c>
      <c r="K359" s="225">
        <v>0</v>
      </c>
      <c r="L359" s="225">
        <v>0</v>
      </c>
      <c r="M359" s="225">
        <v>0</v>
      </c>
      <c r="N359" s="225">
        <v>0</v>
      </c>
      <c r="O359" s="225">
        <v>0</v>
      </c>
      <c r="P359" s="195"/>
      <c r="Q359" s="195"/>
      <c r="R359" s="195"/>
      <c r="S359" s="195"/>
      <c r="T359" s="195"/>
      <c r="U359" s="195"/>
      <c r="V359" s="195"/>
    </row>
    <row r="360" spans="1:22">
      <c r="A360" s="253"/>
      <c r="B360" s="145" t="s">
        <v>85</v>
      </c>
      <c r="C360" s="225">
        <v>20881.86</v>
      </c>
      <c r="D360" s="225">
        <v>5100.2079999999996</v>
      </c>
      <c r="E360" s="225">
        <v>6806.4530000000004</v>
      </c>
      <c r="F360" s="225">
        <v>10425.232</v>
      </c>
      <c r="G360" s="225">
        <v>19430.530999999999</v>
      </c>
      <c r="H360" s="225">
        <v>14760.555</v>
      </c>
      <c r="I360" s="225">
        <v>26715.501</v>
      </c>
      <c r="J360" s="225">
        <v>46423.207000000002</v>
      </c>
      <c r="K360" s="225">
        <v>34475.114000000001</v>
      </c>
      <c r="L360" s="225">
        <v>13865.681</v>
      </c>
      <c r="M360" s="225">
        <v>29099.06</v>
      </c>
      <c r="N360" s="225">
        <v>97910.857999999993</v>
      </c>
      <c r="O360" s="225">
        <v>3999.4050000000002</v>
      </c>
      <c r="P360" s="195"/>
      <c r="Q360" s="195"/>
      <c r="R360" s="195"/>
      <c r="S360" s="195"/>
      <c r="T360" s="195"/>
      <c r="U360" s="195"/>
      <c r="V360" s="195"/>
    </row>
    <row r="361" spans="1:22">
      <c r="A361" s="253"/>
      <c r="B361" s="145" t="s">
        <v>20</v>
      </c>
      <c r="C361" s="225">
        <v>87.748000000000005</v>
      </c>
      <c r="D361" s="225">
        <v>273.47399999999999</v>
      </c>
      <c r="E361" s="225">
        <v>2149.971</v>
      </c>
      <c r="F361" s="225">
        <v>13.795999999999999</v>
      </c>
      <c r="G361" s="225">
        <v>3297.1370000000002</v>
      </c>
      <c r="H361" s="225">
        <v>0.52500000000000002</v>
      </c>
      <c r="I361" s="225">
        <v>538.93600000000004</v>
      </c>
      <c r="J361" s="225">
        <v>245.29300000000001</v>
      </c>
      <c r="K361" s="225">
        <v>354.46100000000001</v>
      </c>
      <c r="L361" s="225">
        <v>874.01700000000005</v>
      </c>
      <c r="M361" s="225">
        <v>778.52099999999996</v>
      </c>
      <c r="N361" s="225">
        <v>671.55</v>
      </c>
      <c r="O361" s="225">
        <v>139.92500000000001</v>
      </c>
      <c r="P361" s="195"/>
      <c r="Q361" s="195"/>
      <c r="R361" s="195"/>
      <c r="S361" s="195"/>
      <c r="T361" s="195"/>
      <c r="U361" s="195"/>
      <c r="V361" s="195"/>
    </row>
    <row r="362" spans="1:22">
      <c r="A362" s="253"/>
      <c r="B362" s="145" t="s">
        <v>228</v>
      </c>
      <c r="C362" s="225">
        <v>0</v>
      </c>
      <c r="D362" s="225">
        <v>0</v>
      </c>
      <c r="E362" s="225">
        <v>0</v>
      </c>
      <c r="F362" s="225">
        <v>0</v>
      </c>
      <c r="G362" s="225">
        <v>0</v>
      </c>
      <c r="H362" s="225">
        <v>0</v>
      </c>
      <c r="I362" s="225">
        <v>0</v>
      </c>
      <c r="J362" s="225">
        <v>0</v>
      </c>
      <c r="K362" s="225">
        <v>0</v>
      </c>
      <c r="L362" s="225">
        <v>0</v>
      </c>
      <c r="M362" s="225">
        <v>0</v>
      </c>
      <c r="N362" s="225">
        <v>0</v>
      </c>
      <c r="O362" s="225">
        <v>0</v>
      </c>
      <c r="P362" s="195"/>
      <c r="Q362" s="195"/>
      <c r="R362" s="195"/>
      <c r="S362" s="195"/>
      <c r="T362" s="195"/>
      <c r="U362" s="195"/>
      <c r="V362" s="195"/>
    </row>
    <row r="363" spans="1:22">
      <c r="A363" s="253"/>
      <c r="B363" s="145" t="s">
        <v>93</v>
      </c>
      <c r="C363" s="225">
        <v>0</v>
      </c>
      <c r="D363" s="225">
        <v>0</v>
      </c>
      <c r="E363" s="225">
        <v>0</v>
      </c>
      <c r="F363" s="225">
        <v>0</v>
      </c>
      <c r="G363" s="225">
        <v>0</v>
      </c>
      <c r="H363" s="225">
        <v>0</v>
      </c>
      <c r="I363" s="225">
        <v>0</v>
      </c>
      <c r="J363" s="225">
        <v>0</v>
      </c>
      <c r="K363" s="225">
        <v>0</v>
      </c>
      <c r="L363" s="225">
        <v>0</v>
      </c>
      <c r="M363" s="225">
        <v>0</v>
      </c>
      <c r="N363" s="225">
        <v>0</v>
      </c>
      <c r="O363" s="225">
        <v>0</v>
      </c>
      <c r="P363" s="195"/>
      <c r="Q363" s="195"/>
      <c r="R363" s="195"/>
      <c r="S363" s="195"/>
      <c r="T363" s="195"/>
      <c r="U363" s="195"/>
      <c r="V363" s="195"/>
    </row>
    <row r="364" spans="1:22">
      <c r="A364" s="253"/>
      <c r="B364" s="145" t="s">
        <v>89</v>
      </c>
      <c r="C364" s="225">
        <v>304.72399999999999</v>
      </c>
      <c r="D364" s="225">
        <v>90.045000000000002</v>
      </c>
      <c r="E364" s="225">
        <v>152.334</v>
      </c>
      <c r="F364" s="225">
        <v>0</v>
      </c>
      <c r="G364" s="225">
        <v>1221.2</v>
      </c>
      <c r="H364" s="225">
        <v>6.9</v>
      </c>
      <c r="I364" s="225">
        <v>327.46600000000001</v>
      </c>
      <c r="J364" s="225">
        <v>655.22699999999998</v>
      </c>
      <c r="K364" s="225">
        <v>851.95500000000004</v>
      </c>
      <c r="L364" s="225">
        <v>764.25099999999998</v>
      </c>
      <c r="M364" s="225">
        <v>1951.3109999999999</v>
      </c>
      <c r="N364" s="225">
        <v>1839.655</v>
      </c>
      <c r="O364" s="225">
        <v>560.625</v>
      </c>
      <c r="P364" s="195"/>
      <c r="Q364" s="195"/>
      <c r="R364" s="195"/>
      <c r="S364" s="195"/>
      <c r="T364" s="195"/>
      <c r="U364" s="195"/>
      <c r="V364" s="195"/>
    </row>
    <row r="365" spans="1:22">
      <c r="A365" s="253"/>
      <c r="B365" s="145" t="s">
        <v>94</v>
      </c>
      <c r="C365" s="225">
        <v>12.55</v>
      </c>
      <c r="D365" s="225">
        <v>0</v>
      </c>
      <c r="E365" s="225">
        <v>42.654000000000003</v>
      </c>
      <c r="F365" s="225">
        <v>0</v>
      </c>
      <c r="G365" s="225">
        <v>4.5750000000000002</v>
      </c>
      <c r="H365" s="225">
        <v>0</v>
      </c>
      <c r="I365" s="225">
        <v>97.456999999999994</v>
      </c>
      <c r="J365" s="225">
        <v>248.36199999999999</v>
      </c>
      <c r="K365" s="225">
        <v>108.267</v>
      </c>
      <c r="L365" s="225">
        <v>122.4</v>
      </c>
      <c r="M365" s="225">
        <v>135.5</v>
      </c>
      <c r="N365" s="225">
        <v>0</v>
      </c>
      <c r="O365" s="225">
        <v>0</v>
      </c>
      <c r="P365" s="195"/>
      <c r="Q365" s="195"/>
      <c r="R365" s="195"/>
      <c r="S365" s="195"/>
      <c r="T365" s="195"/>
      <c r="U365" s="195"/>
      <c r="V365" s="195"/>
    </row>
    <row r="366" spans="1:22">
      <c r="A366" s="253"/>
      <c r="B366" s="145" t="s">
        <v>86</v>
      </c>
      <c r="C366" s="225">
        <v>573.46199999999999</v>
      </c>
      <c r="D366" s="225">
        <v>2259.4050000000002</v>
      </c>
      <c r="E366" s="225">
        <v>44.067</v>
      </c>
      <c r="F366" s="225">
        <v>9.1940000000000008</v>
      </c>
      <c r="G366" s="225">
        <v>380.93400000000003</v>
      </c>
      <c r="H366" s="225">
        <v>610.12800000000004</v>
      </c>
      <c r="I366" s="225">
        <v>3459.7950000000001</v>
      </c>
      <c r="J366" s="225">
        <v>8080.1790000000001</v>
      </c>
      <c r="K366" s="225">
        <v>3215.4839999999999</v>
      </c>
      <c r="L366" s="225">
        <v>51660.192000000003</v>
      </c>
      <c r="M366" s="225">
        <v>94698.2</v>
      </c>
      <c r="N366" s="225">
        <v>43222.777999999998</v>
      </c>
      <c r="O366" s="225">
        <v>31670.609</v>
      </c>
      <c r="P366" s="195"/>
      <c r="Q366" s="195"/>
      <c r="R366" s="195"/>
      <c r="S366" s="195"/>
      <c r="T366" s="195"/>
      <c r="U366" s="195"/>
      <c r="V366" s="195"/>
    </row>
    <row r="367" spans="1:22">
      <c r="A367" s="253"/>
      <c r="B367" s="145" t="s">
        <v>87</v>
      </c>
      <c r="C367" s="225">
        <v>1034.5889999999999</v>
      </c>
      <c r="D367" s="225">
        <v>2752.0419999999999</v>
      </c>
      <c r="E367" s="225">
        <v>19</v>
      </c>
      <c r="F367" s="225">
        <v>0</v>
      </c>
      <c r="G367" s="225">
        <v>279.19</v>
      </c>
      <c r="H367" s="225">
        <v>0</v>
      </c>
      <c r="I367" s="225">
        <v>7401.3389999999999</v>
      </c>
      <c r="J367" s="225">
        <v>7222.3050000000003</v>
      </c>
      <c r="K367" s="225">
        <v>949.05700000000002</v>
      </c>
      <c r="L367" s="225">
        <v>10959.39</v>
      </c>
      <c r="M367" s="225">
        <v>24041.496999999999</v>
      </c>
      <c r="N367" s="225">
        <v>33235.192000000003</v>
      </c>
      <c r="O367" s="225">
        <v>13214.049000000001</v>
      </c>
    </row>
    <row r="368" spans="1:22">
      <c r="A368" s="253"/>
      <c r="B368" s="145" t="s">
        <v>84</v>
      </c>
      <c r="C368" s="225">
        <v>0</v>
      </c>
      <c r="D368" s="225">
        <v>3910.5079999999998</v>
      </c>
      <c r="E368" s="225">
        <v>204.333</v>
      </c>
      <c r="F368" s="225">
        <v>1113.3</v>
      </c>
      <c r="G368" s="225">
        <v>100</v>
      </c>
      <c r="H368" s="225">
        <v>0</v>
      </c>
      <c r="I368" s="225">
        <v>450.58300000000003</v>
      </c>
      <c r="J368" s="225">
        <v>292.5</v>
      </c>
      <c r="K368" s="225">
        <v>183.208</v>
      </c>
      <c r="L368" s="225">
        <v>140</v>
      </c>
      <c r="M368" s="225">
        <v>242.13300000000001</v>
      </c>
      <c r="N368" s="225">
        <v>1586.933</v>
      </c>
      <c r="O368" s="225">
        <v>1776.567</v>
      </c>
    </row>
    <row r="369" spans="1:17">
      <c r="A369" s="254"/>
      <c r="B369" s="226" t="s">
        <v>0</v>
      </c>
      <c r="C369" s="227">
        <v>43460.034</v>
      </c>
      <c r="D369" s="227">
        <v>66769.986999999994</v>
      </c>
      <c r="E369" s="227">
        <v>29408.322</v>
      </c>
      <c r="F369" s="227">
        <v>38864.080999999998</v>
      </c>
      <c r="G369" s="227">
        <v>36414.326000000001</v>
      </c>
      <c r="H369" s="227">
        <v>48159.281999999999</v>
      </c>
      <c r="I369" s="227">
        <v>77199.743000000002</v>
      </c>
      <c r="J369" s="227">
        <v>89865.775999999998</v>
      </c>
      <c r="K369" s="227">
        <v>67739.179999999993</v>
      </c>
      <c r="L369" s="227">
        <v>121139.466</v>
      </c>
      <c r="M369" s="227">
        <v>182623.42600000001</v>
      </c>
      <c r="N369" s="227">
        <v>201537.72700000001</v>
      </c>
      <c r="O369" s="227">
        <v>80217.678</v>
      </c>
      <c r="P369" s="187">
        <f>O369/C369-1</f>
        <v>0.84578037835865483</v>
      </c>
      <c r="Q369" s="187">
        <f>(O354+O369)/(C369+C354)-1</f>
        <v>0.47931190128692758</v>
      </c>
    </row>
    <row r="370" spans="1:17">
      <c r="A370" s="195"/>
      <c r="B370" s="195"/>
      <c r="C370" s="206"/>
      <c r="D370" s="195"/>
      <c r="E370" s="195"/>
      <c r="F370" s="195"/>
      <c r="G370" s="195"/>
      <c r="H370" s="195"/>
      <c r="I370" s="195"/>
      <c r="J370" s="195"/>
      <c r="K370" s="195"/>
      <c r="L370" s="195"/>
      <c r="M370" s="195"/>
      <c r="N370" s="195"/>
      <c r="O370" s="206"/>
    </row>
    <row r="371" spans="1:17">
      <c r="A371" s="195"/>
      <c r="B371" s="195"/>
      <c r="C371" s="195"/>
      <c r="D371" s="195"/>
      <c r="E371" s="195"/>
      <c r="F371" s="195"/>
      <c r="G371" s="195"/>
      <c r="H371" s="195"/>
      <c r="I371" s="195"/>
      <c r="J371" s="195"/>
      <c r="K371" s="195"/>
      <c r="L371" s="195"/>
      <c r="M371" s="195"/>
      <c r="N371" s="195"/>
    </row>
    <row r="372" spans="1:17">
      <c r="A372" s="195"/>
      <c r="B372" s="195"/>
      <c r="C372" s="195"/>
      <c r="D372" s="195"/>
      <c r="E372" s="195"/>
      <c r="F372" s="195"/>
      <c r="G372" s="195"/>
      <c r="H372" s="195"/>
      <c r="I372" s="195"/>
      <c r="J372" s="195"/>
      <c r="K372" s="195"/>
      <c r="L372" s="195"/>
      <c r="M372" s="195"/>
      <c r="N372" s="195"/>
    </row>
    <row r="373" spans="1:17">
      <c r="A373" s="195"/>
      <c r="B373" s="195"/>
      <c r="C373" s="195"/>
      <c r="D373" s="195"/>
      <c r="E373" s="195"/>
      <c r="F373" s="195"/>
      <c r="G373" s="195"/>
      <c r="H373" s="195"/>
      <c r="I373" s="195"/>
      <c r="J373" s="195"/>
      <c r="K373" s="195"/>
      <c r="L373" s="195"/>
      <c r="M373" s="195"/>
      <c r="N373" s="195"/>
    </row>
    <row r="374" spans="1:17">
      <c r="A374" s="195"/>
      <c r="B374" s="195"/>
      <c r="C374" s="195"/>
      <c r="D374" s="195"/>
      <c r="E374" s="195"/>
      <c r="F374" s="195"/>
      <c r="G374" s="195"/>
      <c r="H374" s="195"/>
      <c r="I374" s="195"/>
      <c r="J374" s="195"/>
      <c r="K374" s="195"/>
      <c r="L374" s="195"/>
      <c r="M374" s="195"/>
      <c r="N374" s="195"/>
    </row>
    <row r="375" spans="1:17">
      <c r="A375" s="195"/>
      <c r="B375" s="195"/>
      <c r="C375" s="195"/>
      <c r="D375" s="195"/>
      <c r="E375" s="195"/>
      <c r="F375" s="195"/>
      <c r="G375" s="195"/>
      <c r="H375" s="195"/>
      <c r="I375" s="195"/>
      <c r="J375" s="195"/>
      <c r="K375" s="195"/>
      <c r="L375" s="195"/>
      <c r="M375" s="195"/>
      <c r="N375" s="195"/>
    </row>
    <row r="376" spans="1:17">
      <c r="A376" s="195"/>
      <c r="B376" s="195"/>
      <c r="C376" s="195"/>
      <c r="D376" s="195"/>
      <c r="E376" s="195"/>
      <c r="F376" s="195"/>
      <c r="G376" s="195"/>
      <c r="H376" s="195"/>
      <c r="I376" s="195"/>
      <c r="J376" s="195"/>
      <c r="K376" s="195"/>
      <c r="L376" s="195"/>
      <c r="M376" s="195"/>
      <c r="N376" s="195"/>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226</v>
      </c>
    </row>
    <row r="390" spans="1:15">
      <c r="B390" s="171" t="str">
        <f>MID(B391,6,1)</f>
        <v>S</v>
      </c>
      <c r="C390" s="171" t="str">
        <f t="shared" ref="C390:N390" si="12">MID(C391,6,1)</f>
        <v>O</v>
      </c>
      <c r="D390" s="171" t="str">
        <f t="shared" si="12"/>
        <v>N</v>
      </c>
      <c r="E390" s="171" t="str">
        <f t="shared" si="12"/>
        <v>D</v>
      </c>
      <c r="F390" s="171" t="str">
        <f t="shared" si="12"/>
        <v>E</v>
      </c>
      <c r="G390" s="171" t="str">
        <f t="shared" si="12"/>
        <v>F</v>
      </c>
      <c r="H390" s="171" t="str">
        <f t="shared" si="12"/>
        <v>M</v>
      </c>
      <c r="I390" s="171" t="str">
        <f t="shared" si="12"/>
        <v>A</v>
      </c>
      <c r="J390" s="171" t="str">
        <f t="shared" si="12"/>
        <v>M</v>
      </c>
      <c r="K390" s="171" t="str">
        <f t="shared" si="12"/>
        <v>J</v>
      </c>
      <c r="L390" s="171" t="str">
        <f t="shared" si="12"/>
        <v>J</v>
      </c>
      <c r="M390" s="171" t="str">
        <f t="shared" si="12"/>
        <v>A</v>
      </c>
      <c r="N390" s="171" t="str">
        <f t="shared" si="12"/>
        <v>S</v>
      </c>
    </row>
    <row r="391" spans="1:15">
      <c r="A391" s="143" t="s">
        <v>95</v>
      </c>
      <c r="B391" s="245" t="s">
        <v>242</v>
      </c>
      <c r="C391" s="245" t="s">
        <v>244</v>
      </c>
      <c r="D391" s="245" t="s">
        <v>250</v>
      </c>
      <c r="E391" s="245" t="s">
        <v>252</v>
      </c>
      <c r="F391" s="245" t="s">
        <v>256</v>
      </c>
      <c r="G391" s="245" t="s">
        <v>263</v>
      </c>
      <c r="H391" s="245" t="s">
        <v>267</v>
      </c>
      <c r="I391" s="245" t="s">
        <v>269</v>
      </c>
      <c r="J391" s="245" t="s">
        <v>277</v>
      </c>
      <c r="K391" s="245" t="s">
        <v>288</v>
      </c>
      <c r="L391" s="245" t="s">
        <v>290</v>
      </c>
      <c r="M391" s="245" t="s">
        <v>293</v>
      </c>
      <c r="N391" s="245" t="s">
        <v>324</v>
      </c>
    </row>
    <row r="392" spans="1:15">
      <c r="A392" s="143" t="s">
        <v>28</v>
      </c>
      <c r="B392" s="172"/>
      <c r="C392" s="172"/>
      <c r="D392" s="172"/>
      <c r="E392" s="172"/>
      <c r="F392" s="172"/>
      <c r="G392" s="172"/>
      <c r="H392" s="172"/>
      <c r="I392" s="172"/>
      <c r="J392" s="172"/>
      <c r="K392" s="172"/>
      <c r="L392" s="172"/>
      <c r="M392" s="172"/>
      <c r="N392" s="172"/>
    </row>
    <row r="393" spans="1:15">
      <c r="A393" s="145" t="s">
        <v>217</v>
      </c>
      <c r="B393" s="216">
        <v>29761.427</v>
      </c>
      <c r="C393" s="216">
        <v>32965.027000000002</v>
      </c>
      <c r="D393" s="216">
        <v>28796.804</v>
      </c>
      <c r="E393" s="216">
        <v>34007.85</v>
      </c>
      <c r="F393" s="216">
        <v>35971.822999999997</v>
      </c>
      <c r="G393" s="216">
        <v>34700.042000000001</v>
      </c>
      <c r="H393" s="216">
        <v>41928.341999999997</v>
      </c>
      <c r="I393" s="216">
        <v>46695.845999999998</v>
      </c>
      <c r="J393" s="216">
        <v>45600.459000000003</v>
      </c>
      <c r="K393" s="216">
        <v>32915.275000000001</v>
      </c>
      <c r="L393" s="216">
        <v>23402.638999999999</v>
      </c>
      <c r="M393" s="216">
        <v>29621.530999999999</v>
      </c>
      <c r="N393" s="216">
        <v>30548.858</v>
      </c>
    </row>
    <row r="394" spans="1:15">
      <c r="A394" s="145" t="s">
        <v>218</v>
      </c>
      <c r="B394" s="216">
        <v>11575.317999999999</v>
      </c>
      <c r="C394" s="216">
        <v>28440.255000000001</v>
      </c>
      <c r="D394" s="216">
        <v>21061.512999999999</v>
      </c>
      <c r="E394" s="216">
        <v>19858.398000000001</v>
      </c>
      <c r="F394" s="216">
        <v>27450.385999999999</v>
      </c>
      <c r="G394" s="216">
        <v>32063.79</v>
      </c>
      <c r="H394" s="216">
        <v>29998.449000000001</v>
      </c>
      <c r="I394" s="216">
        <v>22822.437000000002</v>
      </c>
      <c r="J394" s="216">
        <v>37223.851000000002</v>
      </c>
      <c r="K394" s="216">
        <v>47398.142</v>
      </c>
      <c r="L394" s="216">
        <v>53653.178</v>
      </c>
      <c r="M394" s="216">
        <v>48382.374000000003</v>
      </c>
      <c r="N394" s="216">
        <v>50930.133999999998</v>
      </c>
    </row>
    <row r="395" spans="1:15">
      <c r="A395" s="178" t="s">
        <v>216</v>
      </c>
      <c r="B395" s="181">
        <f t="shared" ref="B395:N395" si="13">SUM(B393:B394)</f>
        <v>41336.744999999995</v>
      </c>
      <c r="C395" s="181">
        <f t="shared" si="13"/>
        <v>61405.282000000007</v>
      </c>
      <c r="D395" s="181">
        <f t="shared" si="13"/>
        <v>49858.316999999995</v>
      </c>
      <c r="E395" s="181">
        <f t="shared" si="13"/>
        <v>53866.248</v>
      </c>
      <c r="F395" s="181">
        <f t="shared" si="13"/>
        <v>63422.208999999995</v>
      </c>
      <c r="G395" s="181">
        <f t="shared" si="13"/>
        <v>66763.831999999995</v>
      </c>
      <c r="H395" s="181">
        <f t="shared" si="13"/>
        <v>71926.790999999997</v>
      </c>
      <c r="I395" s="181">
        <f t="shared" si="13"/>
        <v>69518.282999999996</v>
      </c>
      <c r="J395" s="181">
        <f t="shared" si="13"/>
        <v>82824.31</v>
      </c>
      <c r="K395" s="181">
        <f t="shared" si="13"/>
        <v>80313.417000000001</v>
      </c>
      <c r="L395" s="181">
        <f t="shared" si="13"/>
        <v>77055.816999999995</v>
      </c>
      <c r="M395" s="181">
        <f t="shared" si="13"/>
        <v>78003.904999999999</v>
      </c>
      <c r="N395" s="181">
        <f t="shared" si="13"/>
        <v>81478.991999999998</v>
      </c>
    </row>
    <row r="396" spans="1:15">
      <c r="A396" s="145"/>
    </row>
    <row r="397" spans="1:15">
      <c r="A397" s="197"/>
    </row>
    <row r="398" spans="1:15">
      <c r="A398" s="88" t="s">
        <v>221</v>
      </c>
    </row>
    <row r="399" spans="1:15">
      <c r="A399" s="88" t="s">
        <v>222</v>
      </c>
    </row>
    <row r="400" spans="1:15">
      <c r="A400" s="143"/>
      <c r="B400" s="143" t="s">
        <v>28</v>
      </c>
      <c r="C400" s="258" t="s">
        <v>272</v>
      </c>
      <c r="D400" s="259"/>
      <c r="E400" s="259"/>
      <c r="F400" s="259"/>
      <c r="G400" s="259"/>
      <c r="H400" s="259"/>
      <c r="I400" s="259"/>
      <c r="J400" s="259"/>
      <c r="K400" s="259"/>
      <c r="L400" s="259"/>
      <c r="M400" s="259"/>
      <c r="N400" s="259"/>
      <c r="O400" s="259"/>
    </row>
    <row r="401" spans="1:18">
      <c r="A401" s="143"/>
      <c r="B401" s="143" t="s">
        <v>95</v>
      </c>
      <c r="C401" s="245" t="s">
        <v>242</v>
      </c>
      <c r="D401" s="245" t="s">
        <v>244</v>
      </c>
      <c r="E401" s="245" t="s">
        <v>250</v>
      </c>
      <c r="F401" s="245" t="s">
        <v>252</v>
      </c>
      <c r="G401" s="245" t="s">
        <v>256</v>
      </c>
      <c r="H401" s="245" t="s">
        <v>263</v>
      </c>
      <c r="I401" s="245" t="s">
        <v>267</v>
      </c>
      <c r="J401" s="245" t="s">
        <v>269</v>
      </c>
      <c r="K401" s="245" t="s">
        <v>277</v>
      </c>
      <c r="L401" s="245" t="s">
        <v>288</v>
      </c>
      <c r="M401" s="245" t="s">
        <v>290</v>
      </c>
      <c r="N401" s="245" t="s">
        <v>293</v>
      </c>
      <c r="O401" s="245" t="s">
        <v>324</v>
      </c>
    </row>
    <row r="402" spans="1:18">
      <c r="A402" s="143" t="s">
        <v>128</v>
      </c>
      <c r="B402" s="143" t="s">
        <v>273</v>
      </c>
      <c r="C402" s="172"/>
      <c r="D402" s="172"/>
      <c r="E402" s="172"/>
      <c r="F402" s="172"/>
      <c r="G402" s="172"/>
      <c r="H402" s="172"/>
      <c r="I402" s="172"/>
      <c r="J402" s="172"/>
      <c r="K402" s="172"/>
      <c r="L402" s="172"/>
      <c r="M402" s="172"/>
      <c r="N402" s="172"/>
      <c r="O402" s="172"/>
    </row>
    <row r="403" spans="1:18">
      <c r="A403" s="252" t="s">
        <v>79</v>
      </c>
      <c r="B403" s="145" t="s">
        <v>179</v>
      </c>
      <c r="C403" s="216">
        <v>184.1020718417</v>
      </c>
      <c r="D403" s="216">
        <v>195.19125945120001</v>
      </c>
      <c r="E403" s="216">
        <v>191.23630298169999</v>
      </c>
      <c r="F403" s="216">
        <v>191.06587897739999</v>
      </c>
      <c r="G403" s="216">
        <v>192.84633039600001</v>
      </c>
      <c r="H403" s="216">
        <v>204.4128831729</v>
      </c>
      <c r="I403" s="216">
        <v>189.8800114428</v>
      </c>
      <c r="J403" s="216">
        <v>182.0146293901</v>
      </c>
      <c r="K403" s="216">
        <v>155.72205038769999</v>
      </c>
      <c r="L403" s="216">
        <v>147.74014442149999</v>
      </c>
      <c r="M403" s="216">
        <v>154.34322896969999</v>
      </c>
      <c r="N403" s="216">
        <v>156.77560588750001</v>
      </c>
      <c r="O403" s="216">
        <v>165.89159940740001</v>
      </c>
      <c r="P403" s="188">
        <f>O403/C403-1</f>
        <v>-9.8915086897871762E-2</v>
      </c>
    </row>
    <row r="404" spans="1:18">
      <c r="A404" s="254"/>
      <c r="B404" s="145" t="s">
        <v>183</v>
      </c>
      <c r="C404" s="216">
        <v>582.93753290100005</v>
      </c>
      <c r="D404" s="216">
        <v>514.43905077429997</v>
      </c>
      <c r="E404" s="216">
        <v>377.54791190890001</v>
      </c>
      <c r="F404" s="216">
        <v>406.10943323570001</v>
      </c>
      <c r="G404" s="216">
        <v>355.08184961889998</v>
      </c>
      <c r="H404" s="216">
        <v>348.11719256369997</v>
      </c>
      <c r="I404" s="216">
        <v>301.9047639058</v>
      </c>
      <c r="J404" s="216">
        <v>300.40473139670002</v>
      </c>
      <c r="K404" s="216">
        <v>248.4554459801</v>
      </c>
      <c r="L404" s="216">
        <v>286.84197673390003</v>
      </c>
      <c r="M404" s="216">
        <v>246.8257444621</v>
      </c>
      <c r="N404" s="216">
        <v>294.65056971659999</v>
      </c>
      <c r="O404" s="216">
        <v>306.26898012800001</v>
      </c>
      <c r="P404" s="188">
        <f>O404/C404-1</f>
        <v>-0.47461097829153931</v>
      </c>
    </row>
    <row r="405" spans="1:18">
      <c r="A405" s="255" t="s">
        <v>83</v>
      </c>
      <c r="B405" s="145" t="s">
        <v>179</v>
      </c>
      <c r="C405" s="216">
        <v>111.1255023465</v>
      </c>
      <c r="D405" s="216">
        <v>101.22938919880001</v>
      </c>
      <c r="E405" s="216">
        <v>94.411558988699994</v>
      </c>
      <c r="F405" s="216">
        <v>56.496821129499999</v>
      </c>
      <c r="G405" s="216">
        <v>55.808575144199999</v>
      </c>
      <c r="H405" s="216">
        <v>121.30800297730001</v>
      </c>
      <c r="I405" s="216">
        <v>83.008551964299997</v>
      </c>
      <c r="J405" s="216">
        <v>64.335214168600004</v>
      </c>
      <c r="K405" s="216">
        <v>65.628185178500004</v>
      </c>
      <c r="L405" s="216">
        <v>84.953372216100007</v>
      </c>
      <c r="M405" s="216">
        <v>82.910978835199998</v>
      </c>
      <c r="N405" s="216">
        <v>80.456917413799999</v>
      </c>
      <c r="O405" s="216">
        <v>95.368364084600003</v>
      </c>
      <c r="P405" s="188">
        <f>O405/C405-1</f>
        <v>-0.14179587879627953</v>
      </c>
    </row>
    <row r="406" spans="1:18">
      <c r="A406" s="254"/>
      <c r="B406" s="145" t="s">
        <v>183</v>
      </c>
      <c r="C406" s="216">
        <v>34.183283697199997</v>
      </c>
      <c r="D406" s="216">
        <v>54.630306118500002</v>
      </c>
      <c r="E406" s="216">
        <v>32.681396425400003</v>
      </c>
      <c r="F406" s="216">
        <v>36.669874418200003</v>
      </c>
      <c r="G406" s="216">
        <v>15.446199738000001</v>
      </c>
      <c r="H406" s="216">
        <v>40.734617836300004</v>
      </c>
      <c r="I406" s="216">
        <v>27.0519405776</v>
      </c>
      <c r="J406" s="216">
        <v>14.6202312332</v>
      </c>
      <c r="K406" s="216">
        <v>16.128899559899999</v>
      </c>
      <c r="L406" s="216">
        <v>16.443804452399998</v>
      </c>
      <c r="M406" s="216">
        <v>6.4875056998999998</v>
      </c>
      <c r="N406" s="216">
        <v>6.9685262458999997</v>
      </c>
      <c r="O406" s="216">
        <v>20.7928198006</v>
      </c>
      <c r="P406" s="188">
        <f>O406/C406-1</f>
        <v>-0.39172549996116457</v>
      </c>
    </row>
    <row r="409" spans="1:18">
      <c r="A409" t="s">
        <v>223</v>
      </c>
    </row>
    <row r="410" spans="1:18">
      <c r="A410" s="143"/>
      <c r="B410" s="143" t="s">
        <v>28</v>
      </c>
      <c r="C410" s="258" t="s">
        <v>189</v>
      </c>
      <c r="D410" s="259"/>
      <c r="E410" s="259"/>
      <c r="F410" s="259"/>
      <c r="G410" s="259"/>
      <c r="H410" s="259"/>
      <c r="I410" s="259"/>
      <c r="J410" s="259"/>
      <c r="K410" s="259"/>
      <c r="L410" s="259"/>
      <c r="M410" s="259"/>
      <c r="N410" s="259"/>
      <c r="O410" s="259"/>
    </row>
    <row r="411" spans="1:18">
      <c r="A411" s="143"/>
      <c r="B411" s="143" t="s">
        <v>95</v>
      </c>
      <c r="C411" s="245" t="s">
        <v>242</v>
      </c>
      <c r="D411" s="245" t="s">
        <v>244</v>
      </c>
      <c r="E411" s="245" t="s">
        <v>250</v>
      </c>
      <c r="F411" s="245" t="s">
        <v>252</v>
      </c>
      <c r="G411" s="245" t="s">
        <v>256</v>
      </c>
      <c r="H411" s="245" t="s">
        <v>263</v>
      </c>
      <c r="I411" s="245" t="s">
        <v>267</v>
      </c>
      <c r="J411" s="245" t="s">
        <v>269</v>
      </c>
      <c r="K411" s="245" t="s">
        <v>277</v>
      </c>
      <c r="L411" s="245" t="s">
        <v>288</v>
      </c>
      <c r="M411" s="245" t="s">
        <v>290</v>
      </c>
      <c r="N411" s="245" t="s">
        <v>293</v>
      </c>
      <c r="O411" s="245" t="s">
        <v>324</v>
      </c>
    </row>
    <row r="412" spans="1:18">
      <c r="A412" s="143" t="s">
        <v>128</v>
      </c>
      <c r="B412" s="143" t="s">
        <v>275</v>
      </c>
      <c r="C412" s="172"/>
      <c r="D412" s="172"/>
      <c r="E412" s="172"/>
      <c r="F412" s="172"/>
      <c r="G412" s="172"/>
      <c r="H412" s="172"/>
      <c r="I412" s="172"/>
      <c r="J412" s="172"/>
      <c r="K412" s="172"/>
      <c r="L412" s="172"/>
      <c r="M412" s="172"/>
      <c r="N412" s="172"/>
      <c r="O412" s="172"/>
    </row>
    <row r="413" spans="1:18">
      <c r="A413" s="252" t="s">
        <v>79</v>
      </c>
      <c r="B413" s="145" t="s">
        <v>180</v>
      </c>
      <c r="C413" s="216">
        <v>41.529405645099999</v>
      </c>
      <c r="D413" s="216">
        <v>46.999557160800002</v>
      </c>
      <c r="E413" s="216">
        <v>41.981607207000003</v>
      </c>
      <c r="F413" s="216">
        <v>45.468116266300001</v>
      </c>
      <c r="G413" s="216">
        <v>47.575493661899998</v>
      </c>
      <c r="H413" s="216">
        <v>30.057829753499998</v>
      </c>
      <c r="I413" s="216">
        <v>49.5538082789</v>
      </c>
      <c r="J413" s="216">
        <v>44.394119908699999</v>
      </c>
      <c r="K413" s="216">
        <v>43.735089625000001</v>
      </c>
      <c r="L413" s="216">
        <v>32.459359452100003</v>
      </c>
      <c r="M413" s="216">
        <v>38.590141670100003</v>
      </c>
      <c r="N413" s="216">
        <v>33.333024481199999</v>
      </c>
      <c r="O413" s="216">
        <v>27.827466568599998</v>
      </c>
      <c r="P413" s="188">
        <f>O413/C413-1</f>
        <v>-0.32993342581382867</v>
      </c>
    </row>
    <row r="414" spans="1:18">
      <c r="A414" s="253"/>
      <c r="B414" s="145" t="s">
        <v>181</v>
      </c>
      <c r="C414" s="216">
        <v>140.30466800319999</v>
      </c>
      <c r="D414" s="216">
        <v>138.64936758089999</v>
      </c>
      <c r="E414" s="216">
        <v>128.36727925580001</v>
      </c>
      <c r="F414" s="216">
        <v>97.877178291199996</v>
      </c>
      <c r="G414" s="216">
        <v>83.332852025500003</v>
      </c>
      <c r="H414" s="216">
        <v>140.15181252560001</v>
      </c>
      <c r="I414" s="216">
        <v>86.798486252199993</v>
      </c>
      <c r="J414" s="216">
        <v>89.324436662500005</v>
      </c>
      <c r="K414" s="216">
        <v>89.9952372682</v>
      </c>
      <c r="L414" s="216">
        <v>112.0051348162</v>
      </c>
      <c r="M414" s="216">
        <v>111.7470922129</v>
      </c>
      <c r="N414" s="216">
        <v>115.351411164</v>
      </c>
      <c r="O414" s="216">
        <v>115.7818378377</v>
      </c>
      <c r="P414" s="188">
        <f>O414/C414-1</f>
        <v>-0.17478271047218963</v>
      </c>
    </row>
    <row r="415" spans="1:18">
      <c r="A415" s="253"/>
      <c r="B415" s="145" t="s">
        <v>274</v>
      </c>
      <c r="C415" s="216">
        <v>170.1994632036</v>
      </c>
      <c r="D415" s="216">
        <v>170.114810119</v>
      </c>
      <c r="E415" s="216">
        <v>133.04789605639999</v>
      </c>
      <c r="F415" s="216">
        <v>149.77792291809999</v>
      </c>
      <c r="G415" s="216">
        <v>80.298669485900007</v>
      </c>
      <c r="H415" s="216">
        <v>153.30472160389999</v>
      </c>
      <c r="I415" s="216">
        <v>136.2718317671</v>
      </c>
      <c r="J415" s="216">
        <v>122.270807525</v>
      </c>
      <c r="K415" s="216">
        <v>114.5849161916</v>
      </c>
      <c r="L415" s="216">
        <v>120.7040797997</v>
      </c>
      <c r="M415" s="216">
        <v>121.01276356050001</v>
      </c>
      <c r="N415" s="216">
        <v>131.3598311982</v>
      </c>
      <c r="O415" s="216">
        <v>122.48809194739999</v>
      </c>
      <c r="P415" s="188">
        <f>O415/C415-1</f>
        <v>-0.28032621465512841</v>
      </c>
    </row>
    <row r="416" spans="1:18">
      <c r="A416" s="254"/>
      <c r="B416" s="145" t="s">
        <v>182</v>
      </c>
      <c r="C416" s="216">
        <v>172.8239896254</v>
      </c>
      <c r="D416" s="216">
        <v>179.2085387262</v>
      </c>
      <c r="E416" s="216">
        <v>146.54289268510001</v>
      </c>
      <c r="F416" s="216">
        <v>145.6099592672</v>
      </c>
      <c r="G416" s="216">
        <v>84.625320058300005</v>
      </c>
      <c r="H416" s="216">
        <v>150.08736883169999</v>
      </c>
      <c r="I416" s="216">
        <v>123.99003672080001</v>
      </c>
      <c r="J416" s="216">
        <v>111.1141584783</v>
      </c>
      <c r="K416" s="216">
        <v>114.2808641133</v>
      </c>
      <c r="L416" s="216">
        <v>125.53714159810001</v>
      </c>
      <c r="M416" s="216">
        <v>126.1184174301</v>
      </c>
      <c r="N416" s="216">
        <v>131.2121146906</v>
      </c>
      <c r="O416" s="216">
        <v>126.5209824362</v>
      </c>
      <c r="P416" s="188">
        <f>O416/C416-1</f>
        <v>-0.26792002250129077</v>
      </c>
      <c r="R416" s="211">
        <v>147.141711762314</v>
      </c>
    </row>
    <row r="417" spans="1:18">
      <c r="A417" s="255" t="s">
        <v>83</v>
      </c>
      <c r="B417" s="145" t="s">
        <v>180</v>
      </c>
      <c r="C417" s="216"/>
      <c r="D417" s="216"/>
      <c r="E417" s="216"/>
      <c r="F417" s="216"/>
      <c r="G417" s="216"/>
      <c r="H417" s="216"/>
      <c r="I417" s="216"/>
      <c r="J417" s="216"/>
      <c r="K417" s="216"/>
      <c r="L417" s="216"/>
      <c r="M417" s="216"/>
      <c r="N417" s="216"/>
      <c r="O417" s="216"/>
      <c r="P417" s="186"/>
    </row>
    <row r="418" spans="1:18">
      <c r="A418" s="253"/>
      <c r="B418" s="145" t="s">
        <v>181</v>
      </c>
      <c r="C418" s="216">
        <v>75.266723696900002</v>
      </c>
      <c r="D418" s="216">
        <v>90.5693916054</v>
      </c>
      <c r="E418" s="216">
        <v>82.8762789508</v>
      </c>
      <c r="F418" s="216">
        <v>42.527694256499998</v>
      </c>
      <c r="G418" s="216">
        <v>39.726481476799997</v>
      </c>
      <c r="H418" s="216">
        <v>99.2996122383</v>
      </c>
      <c r="I418" s="216">
        <v>56.5960249289</v>
      </c>
      <c r="J418" s="216">
        <v>44.337853981099997</v>
      </c>
      <c r="K418" s="216">
        <v>46.024680650100002</v>
      </c>
      <c r="L418" s="216">
        <v>65.082740136400005</v>
      </c>
      <c r="M418" s="216">
        <v>65.059494391800001</v>
      </c>
      <c r="N418" s="216">
        <v>69.759672764000001</v>
      </c>
      <c r="O418" s="216">
        <v>70.620135029300002</v>
      </c>
      <c r="P418" s="188">
        <f>O418/C418-1</f>
        <v>-6.1734966521352352E-2</v>
      </c>
    </row>
    <row r="419" spans="1:18">
      <c r="A419" s="253"/>
      <c r="B419" s="145" t="s">
        <v>274</v>
      </c>
      <c r="C419" s="216">
        <v>55.445883250999998</v>
      </c>
      <c r="D419" s="216">
        <v>70.6538989461</v>
      </c>
      <c r="E419" s="216">
        <v>73.423315210499993</v>
      </c>
      <c r="F419" s="216">
        <v>33.954989745900001</v>
      </c>
      <c r="G419" s="216">
        <v>35.151198765700002</v>
      </c>
      <c r="H419" s="216">
        <v>87.954398650300007</v>
      </c>
      <c r="I419" s="216">
        <v>23.4894162778</v>
      </c>
      <c r="J419" s="216">
        <v>11.4916384497</v>
      </c>
      <c r="K419" s="216">
        <v>20.970125781</v>
      </c>
      <c r="L419" s="216">
        <v>44.753410009900001</v>
      </c>
      <c r="M419" s="216">
        <v>34.492524096399997</v>
      </c>
      <c r="N419" s="216">
        <v>18.189216001599998</v>
      </c>
      <c r="O419" s="216">
        <v>58.8299594</v>
      </c>
      <c r="P419" s="188">
        <f>O419/C419-1</f>
        <v>6.1033857710959483E-2</v>
      </c>
    </row>
    <row r="420" spans="1:18">
      <c r="A420" s="254"/>
      <c r="B420" s="145" t="s">
        <v>182</v>
      </c>
      <c r="C420" s="216">
        <v>52.745664346799998</v>
      </c>
      <c r="D420" s="216">
        <v>67.867796556299993</v>
      </c>
      <c r="E420" s="216">
        <v>63.754311870000002</v>
      </c>
      <c r="F420" s="216">
        <v>37.166520726000002</v>
      </c>
      <c r="G420" s="216">
        <v>34.267489543300002</v>
      </c>
      <c r="H420" s="216">
        <v>78.681202935300007</v>
      </c>
      <c r="I420" s="216">
        <v>16.409020056599999</v>
      </c>
      <c r="J420" s="216">
        <v>5.7235154766000003</v>
      </c>
      <c r="K420" s="216">
        <v>15.6039784763</v>
      </c>
      <c r="L420" s="216">
        <v>46.277294217399998</v>
      </c>
      <c r="M420" s="216">
        <v>37.594154153200002</v>
      </c>
      <c r="N420" s="216">
        <v>25.633295555</v>
      </c>
      <c r="O420" s="216">
        <v>51.570766712100003</v>
      </c>
      <c r="P420" s="188">
        <f>O420/C420-1</f>
        <v>-2.2274771760861789E-2</v>
      </c>
      <c r="R420" s="212">
        <v>39.372424399301003</v>
      </c>
    </row>
    <row r="421" spans="1:18">
      <c r="C421" s="208"/>
      <c r="D421" s="208"/>
      <c r="E421" s="208"/>
      <c r="F421" s="208"/>
      <c r="G421" s="208"/>
      <c r="H421" s="208"/>
      <c r="I421" s="208"/>
      <c r="J421" s="208"/>
      <c r="K421" s="208"/>
      <c r="L421" s="208"/>
      <c r="M421" s="208"/>
      <c r="N421" s="208"/>
      <c r="O421" s="208"/>
    </row>
    <row r="424" spans="1:18" s="130" customFormat="1" ht="15">
      <c r="B424" s="131" t="s">
        <v>144</v>
      </c>
      <c r="C424" s="132"/>
      <c r="D424" s="132"/>
      <c r="E424" s="132"/>
      <c r="F424" s="132"/>
      <c r="G424" s="132"/>
      <c r="H424" s="132"/>
      <c r="I424" s="132"/>
      <c r="J424" s="132"/>
    </row>
    <row r="425" spans="1:18" ht="33.75">
      <c r="A425" s="184"/>
      <c r="B425" s="184"/>
      <c r="C425" s="185" t="s">
        <v>20</v>
      </c>
      <c r="D425" s="185" t="s">
        <v>39</v>
      </c>
      <c r="E425" s="185" t="s">
        <v>40</v>
      </c>
      <c r="F425" s="185" t="s">
        <v>41</v>
      </c>
      <c r="G425" s="185" t="s">
        <v>24</v>
      </c>
      <c r="H425" s="185" t="s">
        <v>255</v>
      </c>
      <c r="I425" s="185" t="s">
        <v>42</v>
      </c>
      <c r="J425" s="185" t="s">
        <v>43</v>
      </c>
      <c r="K425" s="185" t="s">
        <v>254</v>
      </c>
      <c r="L425" s="130"/>
    </row>
    <row r="426" spans="1:18" ht="14.25">
      <c r="A426" s="179" t="s">
        <v>10</v>
      </c>
      <c r="B426" s="16" t="s">
        <v>243</v>
      </c>
      <c r="C426" s="48">
        <v>23.93518518518519</v>
      </c>
      <c r="D426" s="48">
        <v>14.513888888888888</v>
      </c>
      <c r="E426" s="48">
        <v>0</v>
      </c>
      <c r="F426" s="48">
        <v>0</v>
      </c>
      <c r="G426" s="48">
        <v>42.939814814814817</v>
      </c>
      <c r="H426" s="48">
        <v>3.2638888888888893</v>
      </c>
      <c r="I426" s="48">
        <v>0</v>
      </c>
      <c r="J426" s="48">
        <v>15.34722222222222</v>
      </c>
      <c r="K426" s="51">
        <v>0</v>
      </c>
      <c r="L426" s="130"/>
    </row>
    <row r="427" spans="1:18" ht="14.25">
      <c r="A427" s="179" t="s">
        <v>11</v>
      </c>
      <c r="B427" s="16" t="s">
        <v>248</v>
      </c>
      <c r="C427" s="48">
        <v>23.207885304659499</v>
      </c>
      <c r="D427" s="48">
        <v>12.92562724014337</v>
      </c>
      <c r="E427" s="48">
        <v>0</v>
      </c>
      <c r="F427" s="48">
        <v>0</v>
      </c>
      <c r="G427" s="48">
        <v>40.456989247311824</v>
      </c>
      <c r="H427" s="48">
        <v>2.4193548387096775</v>
      </c>
      <c r="I427" s="48">
        <v>0</v>
      </c>
      <c r="J427" s="48">
        <v>20.99014336917563</v>
      </c>
      <c r="K427" s="51">
        <v>0</v>
      </c>
      <c r="L427" s="130"/>
    </row>
    <row r="428" spans="1:18" ht="14.25">
      <c r="A428" s="179" t="s">
        <v>12</v>
      </c>
      <c r="B428" s="16" t="s">
        <v>251</v>
      </c>
      <c r="C428" s="48">
        <v>35.972222222222214</v>
      </c>
      <c r="D428" s="48">
        <v>9.5370370370370363</v>
      </c>
      <c r="E428" s="48">
        <v>0</v>
      </c>
      <c r="F428" s="48">
        <v>0</v>
      </c>
      <c r="G428" s="48">
        <v>28.63425925925926</v>
      </c>
      <c r="H428" s="48">
        <v>1.9444444444444444</v>
      </c>
      <c r="I428" s="48">
        <v>0</v>
      </c>
      <c r="J428" s="48">
        <v>23.912037037037042</v>
      </c>
      <c r="K428" s="51">
        <v>0</v>
      </c>
      <c r="L428" s="130"/>
    </row>
    <row r="429" spans="1:18" ht="14.25">
      <c r="A429" s="179" t="s">
        <v>13</v>
      </c>
      <c r="B429" s="16" t="s">
        <v>253</v>
      </c>
      <c r="C429" s="48">
        <v>41.662186379928315</v>
      </c>
      <c r="D429" s="48">
        <v>13.189964157706092</v>
      </c>
      <c r="E429" s="48">
        <v>0</v>
      </c>
      <c r="F429" s="48">
        <v>0</v>
      </c>
      <c r="G429" s="48">
        <v>12.589605734767023</v>
      </c>
      <c r="H429" s="48">
        <v>0.91397849462365588</v>
      </c>
      <c r="I429" s="48">
        <v>0</v>
      </c>
      <c r="J429" s="48">
        <v>31.536738351254485</v>
      </c>
      <c r="K429" s="51">
        <v>0.10752688172043011</v>
      </c>
      <c r="L429" s="130"/>
    </row>
    <row r="430" spans="1:18" ht="14.25">
      <c r="A430" s="179" t="s">
        <v>5</v>
      </c>
      <c r="B430" s="16" t="s">
        <v>257</v>
      </c>
      <c r="C430" s="48">
        <v>39.852150537634408</v>
      </c>
      <c r="D430" s="48">
        <v>9.4198028673835115</v>
      </c>
      <c r="E430" s="48">
        <v>0</v>
      </c>
      <c r="F430" s="48">
        <v>0.13440860215053765</v>
      </c>
      <c r="G430" s="48">
        <v>7.493279569892473</v>
      </c>
      <c r="H430" s="48">
        <v>1.7025089605734767</v>
      </c>
      <c r="I430" s="48">
        <v>0</v>
      </c>
      <c r="J430" s="48">
        <v>41.397849462365592</v>
      </c>
      <c r="K430" s="51">
        <v>0</v>
      </c>
      <c r="L430" s="130"/>
    </row>
    <row r="431" spans="1:18" ht="14.25">
      <c r="A431" s="179" t="s">
        <v>6</v>
      </c>
      <c r="B431" s="16" t="s">
        <v>264</v>
      </c>
      <c r="C431" s="48">
        <v>48.164682539682531</v>
      </c>
      <c r="D431" s="48">
        <v>11.656746031746033</v>
      </c>
      <c r="E431" s="48">
        <v>0</v>
      </c>
      <c r="F431" s="48">
        <v>0</v>
      </c>
      <c r="G431" s="48">
        <v>23.263888888888889</v>
      </c>
      <c r="H431" s="48">
        <v>1.4880952380952379</v>
      </c>
      <c r="I431" s="48">
        <v>0</v>
      </c>
      <c r="J431" s="48">
        <v>15.426587301587302</v>
      </c>
      <c r="K431" s="51">
        <v>0</v>
      </c>
      <c r="L431" s="130"/>
    </row>
    <row r="432" spans="1:18" ht="14.25">
      <c r="A432" s="179" t="s">
        <v>7</v>
      </c>
      <c r="B432" s="16" t="s">
        <v>268</v>
      </c>
      <c r="C432" s="48">
        <v>33.299685957828615</v>
      </c>
      <c r="D432" s="48">
        <v>11.518618214445942</v>
      </c>
      <c r="E432" s="48">
        <v>0</v>
      </c>
      <c r="F432" s="48">
        <v>0</v>
      </c>
      <c r="G432" s="48">
        <v>7.9744279946164207</v>
      </c>
      <c r="H432" s="48">
        <v>0.8299685957828622</v>
      </c>
      <c r="I432" s="48">
        <v>0</v>
      </c>
      <c r="J432" s="48">
        <v>46.377299237326156</v>
      </c>
      <c r="K432" s="51">
        <v>0</v>
      </c>
      <c r="L432" s="130"/>
    </row>
    <row r="433" spans="1:12" ht="14.25">
      <c r="A433" s="179" t="s">
        <v>8</v>
      </c>
      <c r="B433" s="16" t="s">
        <v>276</v>
      </c>
      <c r="C433" s="48">
        <v>36.770833333333336</v>
      </c>
      <c r="D433" s="48">
        <v>14.432870370370368</v>
      </c>
      <c r="E433" s="48">
        <v>0</v>
      </c>
      <c r="F433" s="48">
        <v>0</v>
      </c>
      <c r="G433" s="48">
        <v>9.2708333333333339</v>
      </c>
      <c r="H433" s="48">
        <v>0.87962962962962954</v>
      </c>
      <c r="I433" s="48">
        <v>6.9444444444444448E-2</v>
      </c>
      <c r="J433" s="48">
        <v>38.576388888888893</v>
      </c>
      <c r="K433" s="51">
        <v>0</v>
      </c>
      <c r="L433" s="130"/>
    </row>
    <row r="434" spans="1:12" ht="14.25">
      <c r="A434" s="179" t="s">
        <v>7</v>
      </c>
      <c r="B434" s="16" t="s">
        <v>281</v>
      </c>
      <c r="C434" s="48">
        <v>29.480286738351253</v>
      </c>
      <c r="D434" s="48">
        <v>13.418458781362006</v>
      </c>
      <c r="E434" s="48">
        <v>0</v>
      </c>
      <c r="F434" s="48">
        <v>0</v>
      </c>
      <c r="G434" s="48">
        <v>22.222222222222225</v>
      </c>
      <c r="H434" s="48">
        <v>0.53763440860215062</v>
      </c>
      <c r="I434" s="48">
        <v>0</v>
      </c>
      <c r="J434" s="48">
        <v>34.341397849462368</v>
      </c>
      <c r="K434" s="51">
        <v>0</v>
      </c>
      <c r="L434" s="130"/>
    </row>
    <row r="435" spans="1:12" ht="14.25">
      <c r="A435" s="179" t="s">
        <v>9</v>
      </c>
      <c r="B435" s="16" t="s">
        <v>289</v>
      </c>
      <c r="C435" s="48">
        <v>32.303240740740733</v>
      </c>
      <c r="D435" s="48">
        <v>14.467592592592593</v>
      </c>
      <c r="E435" s="48">
        <v>0</v>
      </c>
      <c r="F435" s="48">
        <v>0</v>
      </c>
      <c r="G435" s="48">
        <v>27.905092592592595</v>
      </c>
      <c r="H435" s="48">
        <v>3.4722222222222224E-2</v>
      </c>
      <c r="I435" s="48">
        <v>0</v>
      </c>
      <c r="J435" s="48">
        <v>25.289351851851855</v>
      </c>
      <c r="K435" s="51">
        <v>0</v>
      </c>
      <c r="L435" s="130"/>
    </row>
    <row r="436" spans="1:12" ht="14.25">
      <c r="A436" s="179" t="s">
        <v>9</v>
      </c>
      <c r="B436" s="16" t="s">
        <v>291</v>
      </c>
      <c r="C436" s="48">
        <v>31.193996415770613</v>
      </c>
      <c r="D436" s="48">
        <v>9.2181899641577054</v>
      </c>
      <c r="E436" s="48">
        <v>0</v>
      </c>
      <c r="F436" s="48">
        <v>0</v>
      </c>
      <c r="G436" s="48">
        <v>31.888440860215056</v>
      </c>
      <c r="H436" s="48">
        <v>0.51523297491039421</v>
      </c>
      <c r="I436" s="48">
        <v>0</v>
      </c>
      <c r="J436" s="48">
        <v>27.184139784946236</v>
      </c>
      <c r="K436" s="51">
        <v>0</v>
      </c>
      <c r="L436" s="130"/>
    </row>
    <row r="437" spans="1:12" ht="14.25">
      <c r="A437" s="179" t="str">
        <f t="shared" ref="A437" si="14">MID(B437,1,1)</f>
        <v>A</v>
      </c>
      <c r="B437" s="16" t="s">
        <v>292</v>
      </c>
      <c r="C437" s="48">
        <v>30.275537634408607</v>
      </c>
      <c r="D437" s="48">
        <v>11.279121863799284</v>
      </c>
      <c r="E437" s="48">
        <v>0</v>
      </c>
      <c r="F437" s="48">
        <v>0</v>
      </c>
      <c r="G437" s="48">
        <v>31.362007168458781</v>
      </c>
      <c r="H437" s="48">
        <v>0.79525089605734767</v>
      </c>
      <c r="I437" s="48">
        <v>0</v>
      </c>
      <c r="J437" s="48">
        <v>26.288082437275989</v>
      </c>
      <c r="K437" s="51">
        <v>0</v>
      </c>
      <c r="L437" s="130"/>
    </row>
    <row r="438" spans="1:12" ht="14.25">
      <c r="A438" s="180" t="s">
        <v>10</v>
      </c>
      <c r="B438" s="49" t="s">
        <v>340</v>
      </c>
      <c r="C438" s="50">
        <v>31.7361111111111</v>
      </c>
      <c r="D438" s="50">
        <v>7.9398148148148149</v>
      </c>
      <c r="E438" s="50">
        <v>0</v>
      </c>
      <c r="F438" s="50">
        <v>0</v>
      </c>
      <c r="G438" s="50">
        <v>28.611111111111111</v>
      </c>
      <c r="H438" s="50">
        <v>0.46296296296296297</v>
      </c>
      <c r="I438" s="50">
        <v>0</v>
      </c>
      <c r="J438" s="50">
        <v>31.250000000000007</v>
      </c>
      <c r="K438" s="210">
        <v>0</v>
      </c>
      <c r="L438" s="130"/>
    </row>
    <row r="439" spans="1:12">
      <c r="B439" s="246" t="s">
        <v>4</v>
      </c>
      <c r="C439" s="201">
        <f>OMIE!BD38</f>
        <v>31.7361111111111</v>
      </c>
      <c r="D439" s="201">
        <f>OMIE!BE38</f>
        <v>7.9398148148148149</v>
      </c>
      <c r="E439" s="201">
        <f>OMIE!BF38</f>
        <v>0</v>
      </c>
      <c r="F439" s="201">
        <f>OMIE!BG38</f>
        <v>0</v>
      </c>
      <c r="G439" s="201">
        <f>OMIE!BH38</f>
        <v>28.611111111111111</v>
      </c>
      <c r="H439" s="201">
        <f>OMIE!BI38</f>
        <v>0.27777777777777779</v>
      </c>
      <c r="I439" s="201">
        <f>OMIE!BJ38</f>
        <v>0</v>
      </c>
      <c r="J439" s="201">
        <f>OMIE!BK38</f>
        <v>31.250000000000007</v>
      </c>
      <c r="K439" s="201">
        <f>OMIE!BL38</f>
        <v>0</v>
      </c>
      <c r="L439" s="201">
        <f>OMIE!BN38</f>
        <v>0.18518518518518517</v>
      </c>
    </row>
    <row r="440" spans="1:12">
      <c r="H440" s="208">
        <f>H439+L439</f>
        <v>0.46296296296296297</v>
      </c>
    </row>
    <row r="441" spans="1:12">
      <c r="H441" s="208"/>
    </row>
    <row r="451" spans="1:14">
      <c r="A451" s="110" t="s">
        <v>69</v>
      </c>
      <c r="B451" s="89"/>
      <c r="C451" s="89"/>
      <c r="D451" s="89"/>
      <c r="E451" s="89"/>
      <c r="F451" s="89"/>
      <c r="G451" s="89"/>
      <c r="H451" s="89"/>
      <c r="I451" s="89"/>
      <c r="N451" s="168"/>
    </row>
    <row r="452" spans="1:14">
      <c r="A452" s="14"/>
      <c r="B452" s="260" t="s">
        <v>1</v>
      </c>
      <c r="C452" s="260" t="s">
        <v>2</v>
      </c>
      <c r="D452" s="260" t="s">
        <v>26</v>
      </c>
      <c r="E452" s="260" t="s">
        <v>17</v>
      </c>
      <c r="F452" s="260" t="s">
        <v>18</v>
      </c>
      <c r="G452" s="260" t="s">
        <v>238</v>
      </c>
      <c r="H452" s="260" t="s">
        <v>27</v>
      </c>
      <c r="I452" s="260" t="s">
        <v>30</v>
      </c>
      <c r="J452" s="262" t="s">
        <v>126</v>
      </c>
    </row>
    <row r="453" spans="1:14">
      <c r="A453" s="15"/>
      <c r="B453" s="261"/>
      <c r="C453" s="261"/>
      <c r="D453" s="261"/>
      <c r="E453" s="261"/>
      <c r="F453" s="261"/>
      <c r="G453" s="261"/>
      <c r="H453" s="261"/>
      <c r="I453" s="261"/>
      <c r="J453" s="263"/>
    </row>
    <row r="454" spans="1:14">
      <c r="A454" s="111" t="str">
        <f>MID(B43,6,3) &amp; "-" &amp; MID(B43,3,2)</f>
        <v>Sep-22</v>
      </c>
      <c r="B454" s="109">
        <f>VLOOKUP("Mercado Diario",$A$45:$N$65,2,FALSE)</f>
        <v>142.68</v>
      </c>
      <c r="C454" s="109">
        <f>VLOOKUP("Mercado Intradiario",$A$45:$N$65,2,FALSE)</f>
        <v>-0.61</v>
      </c>
      <c r="D454" s="109">
        <f t="shared" ref="D454:D466" si="15">SUM(B454:C454)</f>
        <v>142.07</v>
      </c>
      <c r="E454" s="109">
        <f>SUM(B82:B90)</f>
        <v>8.9699999999999971</v>
      </c>
      <c r="F454" s="109">
        <f>VLOOKUP("Pago capacidad",$A$45:$N$65,2,FALSE)</f>
        <v>0.26</v>
      </c>
      <c r="G454" s="109">
        <f>VLOOKUP("Mecanismo Ajuste RD-L10/2022 Coste OM",$A$45:$N$65,2,FALSE)+VLOOKUP("Mecanismo Ajuste RD-L10/2022 Coste OS",$A$45:$N$65,2,FALSE)+VLOOKUP("Mecanismo Ajuste RD-L10/2022 Ajuste OS",$A$45:$N$65,2,FALSE)</f>
        <v>64.97</v>
      </c>
      <c r="H454" s="109">
        <f t="shared" ref="H454:H466" si="16">SUM(D454:G454)</f>
        <v>216.26999999999998</v>
      </c>
      <c r="I454" s="96">
        <f>VLOOKUP("Energía final MWh",$A$45:$N$61,2,FALSE)/1000</f>
        <v>18982.531026999997</v>
      </c>
      <c r="J454" s="114" t="str">
        <f t="shared" ref="J454:J466" si="17">MID(A454,1,1)</f>
        <v>S</v>
      </c>
      <c r="K454" s="208"/>
    </row>
    <row r="455" spans="1:14">
      <c r="A455" s="111" t="str">
        <f>MID(C43,6,3) &amp; "-" &amp; MID(C43,3,2)</f>
        <v>Oct-22</v>
      </c>
      <c r="B455" s="109">
        <f>VLOOKUP("Mercado Diario",$A$45:$N$65,3,FALSE)</f>
        <v>128.83000000000001</v>
      </c>
      <c r="C455" s="109">
        <f>VLOOKUP("Mercado Intradiario",$A$45:$N$65,3,FALSE)</f>
        <v>-0.13</v>
      </c>
      <c r="D455" s="109">
        <f t="shared" si="15"/>
        <v>128.70000000000002</v>
      </c>
      <c r="E455" s="109">
        <f>SUM(C82:C90)</f>
        <v>9.92</v>
      </c>
      <c r="F455" s="109">
        <f>VLOOKUP("Pago capacidad",$A$45:$N$65,3,FALSE)</f>
        <v>0.21</v>
      </c>
      <c r="G455" s="109">
        <f>VLOOKUP("Mecanismo Ajuste RD-L10/2022 Coste OM",$A$45:$N$65,3,FALSE)+VLOOKUP("Mecanismo Ajuste RD-L10/2022 Coste OS",$A$45:$N$65,3,FALSE)+VLOOKUP("Mecanismo Ajuste RD-L10/2022 Ajuste OS",$A$45:$N$65,3,FALSE)</f>
        <v>22.46</v>
      </c>
      <c r="H455" s="109">
        <f t="shared" si="16"/>
        <v>161.29000000000002</v>
      </c>
      <c r="I455" s="96">
        <f>VLOOKUP("Energía final MWh",$A$45:$N$61,3,FALSE)/1000</f>
        <v>18146.309984</v>
      </c>
      <c r="J455" s="114" t="str">
        <f t="shared" si="17"/>
        <v>O</v>
      </c>
      <c r="K455" s="208"/>
    </row>
    <row r="456" spans="1:14">
      <c r="A456" s="111" t="str">
        <f>MID(D43,6,3) &amp; "-" &amp; MID(D43,3,2)</f>
        <v>Nov-22</v>
      </c>
      <c r="B456" s="109">
        <f>VLOOKUP("Mercado Diario",$A$45:$N$65,4,FALSE)</f>
        <v>117.31</v>
      </c>
      <c r="C456" s="109">
        <f>VLOOKUP("Mercado Intradiario",$A$45:$N$65,4,FALSE)</f>
        <v>-0.17</v>
      </c>
      <c r="D456" s="109">
        <f t="shared" si="15"/>
        <v>117.14</v>
      </c>
      <c r="E456" s="109">
        <f>SUM(D82:D90)</f>
        <v>7.3</v>
      </c>
      <c r="F456" s="109">
        <f>VLOOKUP("Pago capacidad",$A$45:$N$65,4,FALSE)</f>
        <v>0.31</v>
      </c>
      <c r="G456" s="109">
        <f>VLOOKUP("Mecanismo Ajuste RD-L10/2022 Coste OM",$A$45:$N$65,4,FALSE)+VLOOKUP("Mecanismo Ajuste RD-L10/2022 Coste OS",$A$45:$N$65,4,FALSE)+VLOOKUP("Mecanismo Ajuste RD-L10/2022 Ajuste OS",$A$45:$N$65,4,FALSE)</f>
        <v>7.1199999999999992</v>
      </c>
      <c r="H456" s="109">
        <f t="shared" si="16"/>
        <v>131.87</v>
      </c>
      <c r="I456" s="96">
        <f>VLOOKUP("Energía final MWh",$A$45:$N$61,4,FALSE)/1000</f>
        <v>18298.473517999999</v>
      </c>
      <c r="J456" s="114" t="str">
        <f t="shared" si="17"/>
        <v>N</v>
      </c>
    </row>
    <row r="457" spans="1:14">
      <c r="A457" s="111" t="str">
        <f>MID(E43,6,3) &amp; "-" &amp; MID(E43,3,2)</f>
        <v>Dic-22</v>
      </c>
      <c r="B457" s="109">
        <f>VLOOKUP("Mercado Diario",$A$45:$N$65,5,FALSE)</f>
        <v>101.32</v>
      </c>
      <c r="C457" s="109">
        <f>VLOOKUP("Mercado Intradiario",$A$45:$N$65,5,FALSE)</f>
        <v>-0.15</v>
      </c>
      <c r="D457" s="109">
        <f t="shared" si="15"/>
        <v>101.16999999999999</v>
      </c>
      <c r="E457" s="109">
        <f>SUM(E82:E90)</f>
        <v>12.19</v>
      </c>
      <c r="F457" s="109">
        <f>VLOOKUP("Pago capacidad",$A$45:$N$65,5,FALSE)</f>
        <v>0.43</v>
      </c>
      <c r="G457" s="109">
        <f>VLOOKUP("Mecanismo Ajuste RD-L10/2022 Coste OM",$A$45:$N$65,5,FALSE)+VLOOKUP("Mecanismo Ajuste RD-L10/2022 Coste OS",$A$45:$N$65,5,FALSE)+VLOOKUP("Mecanismo Ajuste RD-L10/2022 Ajuste OS",$A$45:$N$65,5,FALSE)</f>
        <v>32.159999999999997</v>
      </c>
      <c r="H457" s="109">
        <f t="shared" si="16"/>
        <v>145.94999999999999</v>
      </c>
      <c r="I457" s="96">
        <f>VLOOKUP("Energía final MWh",$A$45:$N$61,5,FALSE)/1000</f>
        <v>19167.05503</v>
      </c>
      <c r="J457" s="114" t="str">
        <f t="shared" si="17"/>
        <v>D</v>
      </c>
    </row>
    <row r="458" spans="1:14">
      <c r="A458" s="111" t="str">
        <f>MID(F43,6,3) &amp; "-" &amp; MID(F43,3,2)</f>
        <v>Ene-23</v>
      </c>
      <c r="B458" s="109">
        <f>VLOOKUP("Mercado Diario",$A$45:$N$65,6,FALSE)</f>
        <v>73.17</v>
      </c>
      <c r="C458" s="109">
        <f>VLOOKUP("Mercado Intradiario",$A$45:$N$65,6,FALSE)</f>
        <v>-0.08</v>
      </c>
      <c r="D458" s="109">
        <f t="shared" si="15"/>
        <v>73.09</v>
      </c>
      <c r="E458" s="109">
        <f>SUM(F82:F90)</f>
        <v>13.3</v>
      </c>
      <c r="F458" s="109">
        <f>VLOOKUP("Pago capacidad",$A$45:$N$65,6,FALSE)</f>
        <v>0.34</v>
      </c>
      <c r="G458" s="109">
        <f>VLOOKUP("Mecanismo Ajuste RD-L10/2022 Coste OM",$A$45:$N$65,6,FALSE)+VLOOKUP("Mecanismo Ajuste RD-L10/2022 Coste OS",$A$45:$N$65,6,FALSE)+VLOOKUP("Mecanismo Ajuste RD-L10/2022 Ajuste OS",$A$45:$N$65,6,FALSE)</f>
        <v>2.9</v>
      </c>
      <c r="H458" s="109">
        <f t="shared" si="16"/>
        <v>89.63000000000001</v>
      </c>
      <c r="I458" s="96">
        <f>VLOOKUP("Energía final MWh",$A$45:$N$61,6,FALSE)/1000</f>
        <v>20833.891551000001</v>
      </c>
      <c r="J458" s="114" t="str">
        <f t="shared" si="17"/>
        <v>E</v>
      </c>
    </row>
    <row r="459" spans="1:14">
      <c r="A459" s="111" t="str">
        <f>MID(G43,6,3) &amp; "-" &amp; MID(G43,3,2)</f>
        <v>Feb-23</v>
      </c>
      <c r="B459" s="109">
        <f>VLOOKUP("Mercado Diario",$A$45:$N$65,7,FALSE)</f>
        <v>135.5</v>
      </c>
      <c r="C459" s="109">
        <f>VLOOKUP("Mercado Intradiario",$A$45:$N$65,7,FALSE)</f>
        <v>-0.08</v>
      </c>
      <c r="D459" s="109">
        <f t="shared" si="15"/>
        <v>135.41999999999999</v>
      </c>
      <c r="E459" s="109">
        <f>SUM(G82:G90)</f>
        <v>8.35</v>
      </c>
      <c r="F459" s="109">
        <f>VLOOKUP("Pago capacidad",$A$45:$N$65,7,FALSE)</f>
        <v>0.35</v>
      </c>
      <c r="G459" s="109">
        <f>VLOOKUP("Mecanismo Ajuste RD-L10/2022 Coste OM",$A$45:$N$65,7,FALSE)+VLOOKUP("Mecanismo Ajuste RD-L10/2022 Coste OS",$A$45:$N$65,7,FALSE)+VLOOKUP("Mecanismo Ajuste RD-L10/2022 Ajuste OS",$A$45:$N$65,7,FALSE)</f>
        <v>-0.71</v>
      </c>
      <c r="H459" s="109">
        <f t="shared" si="16"/>
        <v>143.40999999999997</v>
      </c>
      <c r="I459" s="96">
        <f>VLOOKUP("Energía final MWh",$A$45:$N$61,7,FALSE)/1000</f>
        <v>19347.793429000001</v>
      </c>
      <c r="J459" s="114" t="str">
        <f t="shared" si="17"/>
        <v>F</v>
      </c>
    </row>
    <row r="460" spans="1:14">
      <c r="A460" s="111" t="str">
        <f>MID(H43,6,3) &amp; "-" &amp; MID(H43,3,2)</f>
        <v>Mar-23</v>
      </c>
      <c r="B460" s="109">
        <f>VLOOKUP("Mercado Diario",$A$45:$N$65,8,FALSE)</f>
        <v>92.07</v>
      </c>
      <c r="C460" s="109">
        <f>VLOOKUP("Mercado Intradiario",$A$45:$N$65,8,FALSE)</f>
        <v>-0.17</v>
      </c>
      <c r="D460" s="109">
        <f t="shared" si="15"/>
        <v>91.899999999999991</v>
      </c>
      <c r="E460" s="109">
        <f>SUM(H82:H90)</f>
        <v>12.55</v>
      </c>
      <c r="F460" s="109">
        <f>VLOOKUP("Pago capacidad",$A$45:$N$65,8,FALSE)</f>
        <v>0.24</v>
      </c>
      <c r="G460" s="109">
        <f>VLOOKUP("Mecanismo Ajuste RD-L10/2022 Coste OM",$A$45:$N$65,8,FALSE)+VLOOKUP("Mecanismo Ajuste RD-L10/2022 Coste OS",$A$45:$N$65,8,FALSE)+VLOOKUP("Mecanismo Ajuste RD-L10/2022 Ajuste OS",$A$45:$N$65,8,FALSE)</f>
        <v>0</v>
      </c>
      <c r="H460" s="109">
        <f t="shared" si="16"/>
        <v>104.68999999999998</v>
      </c>
      <c r="I460" s="96">
        <f>VLOOKUP("Energía final MWh",$A$45:$N$61,8,FALSE)/1000</f>
        <v>19378.563787999999</v>
      </c>
      <c r="J460" s="114" t="str">
        <f t="shared" si="17"/>
        <v>M</v>
      </c>
    </row>
    <row r="461" spans="1:14">
      <c r="A461" s="111" t="str">
        <f>MID(I43,6,3) &amp; "-" &amp; MID(I43,3,2)</f>
        <v>Abr-23</v>
      </c>
      <c r="B461" s="109">
        <f>VLOOKUP("Mercado Diario",$A$45:$N$65,9,FALSE)</f>
        <v>74.34</v>
      </c>
      <c r="C461" s="109">
        <f>VLOOKUP("Mercado Intradiario",$A$45:$N$65,9,FALSE)</f>
        <v>-0.27</v>
      </c>
      <c r="D461" s="109">
        <f t="shared" si="15"/>
        <v>74.070000000000007</v>
      </c>
      <c r="E461" s="109">
        <f>SUM(I82:I90)</f>
        <v>13.35</v>
      </c>
      <c r="F461" s="109">
        <f>VLOOKUP("Pago capacidad",$A$45:$N$65,9,FALSE)</f>
        <v>0.16</v>
      </c>
      <c r="G461" s="109">
        <f>VLOOKUP("Mecanismo Ajuste RD-L10/2022 Coste OM",$A$45:$N$65,9,FALSE)+VLOOKUP("Mecanismo Ajuste RD-L10/2022 Coste OS",$A$45:$N$65,9,FALSE)+VLOOKUP("Mecanismo Ajuste RD-L10/2022 Ajuste OS",$A$45:$N$65,9,FALSE)</f>
        <v>0</v>
      </c>
      <c r="H461" s="109">
        <f t="shared" si="16"/>
        <v>87.58</v>
      </c>
      <c r="I461" s="96">
        <f>VLOOKUP("Energía final MWh",$A$45:$N$61,9,FALSE)/1000</f>
        <v>17157.935364999998</v>
      </c>
      <c r="J461" s="114" t="str">
        <f t="shared" si="17"/>
        <v>A</v>
      </c>
    </row>
    <row r="462" spans="1:14">
      <c r="A462" s="111" t="str">
        <f>MID(J43,6,3) &amp; "-" &amp; MID(J43,3,2)</f>
        <v>May-23</v>
      </c>
      <c r="B462" s="109">
        <f>VLOOKUP("Mercado Diario",$A$45:$N$65,10,FALSE)</f>
        <v>74.352000000000004</v>
      </c>
      <c r="C462" s="109">
        <f>VLOOKUP("Mercado Intradiario",$A$45:$N$65,10,FALSE)</f>
        <v>-0.12</v>
      </c>
      <c r="D462" s="109">
        <f t="shared" si="15"/>
        <v>74.231999999999999</v>
      </c>
      <c r="E462" s="109">
        <f>SUM(J82:J90)</f>
        <v>11.563000000000001</v>
      </c>
      <c r="F462" s="109">
        <f>VLOOKUP("Pago capacidad",$A$45:$N$65,10,FALSE)</f>
        <v>0.17100000000000001</v>
      </c>
      <c r="G462" s="109">
        <f>VLOOKUP("Mecanismo Ajuste RD-L10/2022 Coste OM",$A$45:$N$65,10,FALSE)+VLOOKUP("Mecanismo Ajuste RD-L10/2022 Coste OS",$A$45:$N$65,10,FALSE)+VLOOKUP("Mecanismo Ajuste RD-L10/2022 Ajuste OS",$A$45:$N$65,10,FALSE)</f>
        <v>0</v>
      </c>
      <c r="H462" s="109">
        <f t="shared" si="16"/>
        <v>85.966000000000008</v>
      </c>
      <c r="I462" s="96">
        <f>VLOOKUP("Energía final MWh",$A$45:$N$61,10,FALSE)/1000</f>
        <v>18023.538129</v>
      </c>
      <c r="J462" s="114" t="str">
        <f t="shared" si="17"/>
        <v>M</v>
      </c>
    </row>
    <row r="463" spans="1:14">
      <c r="A463" s="111" t="str">
        <f>MID(K43,6,3) &amp; "-" &amp; MID(K43,3,2)</f>
        <v>Jun-23</v>
      </c>
      <c r="B463" s="109">
        <f>VLOOKUP("Mercado Diario",$A$45:$N$65,11,FALSE)</f>
        <v>93.67</v>
      </c>
      <c r="C463" s="109">
        <f>VLOOKUP("Mercado Intradiario",$A$45:$N$65,11,FALSE)</f>
        <v>-0.05</v>
      </c>
      <c r="D463" s="109">
        <f t="shared" si="15"/>
        <v>93.62</v>
      </c>
      <c r="E463" s="109">
        <f>SUM(K82:K90)</f>
        <v>9.11</v>
      </c>
      <c r="F463" s="109">
        <f>VLOOKUP("Pago capacidad",$A$45:$N$65,11,FALSE)</f>
        <v>0.19</v>
      </c>
      <c r="G463" s="109">
        <f>VLOOKUP("Mecanismo Ajuste RD-L10/2022 Coste OM",$A$45:$N$65,11,FALSE)+VLOOKUP("Mecanismo Ajuste RD-L10/2022 Coste OS",$A$45:$N$65,11,FALSE)+VLOOKUP("Mecanismo Ajuste RD-L10/2022 Ajuste OS",$A$45:$N$65,11,FALSE)</f>
        <v>0</v>
      </c>
      <c r="H463" s="109">
        <f t="shared" si="16"/>
        <v>102.92</v>
      </c>
      <c r="I463" s="96">
        <f>VLOOKUP("Energía final MWh",$A$45:$N$61,11,FALSE)/1000</f>
        <v>18602.738961999999</v>
      </c>
      <c r="J463" s="114" t="str">
        <f t="shared" si="17"/>
        <v>J</v>
      </c>
    </row>
    <row r="464" spans="1:14">
      <c r="A464" s="111" t="str">
        <f>MID(L43,6,3) &amp; "-" &amp; MID(L43,3,2)</f>
        <v>Jul-23</v>
      </c>
      <c r="B464" s="109">
        <f>VLOOKUP("Mercado Diario",$A$45:$N$65,12,FALSE)</f>
        <v>90.96</v>
      </c>
      <c r="C464" s="109">
        <f>VLOOKUP("Mercado Intradiario",$A$45:$N$65,12,FALSE)</f>
        <v>-7.0000000000000007E-2</v>
      </c>
      <c r="D464" s="109">
        <f t="shared" si="15"/>
        <v>90.89</v>
      </c>
      <c r="E464" s="109">
        <f>SUM(L82:L90)</f>
        <v>7.9399999999999977</v>
      </c>
      <c r="F464" s="109">
        <f>VLOOKUP("Pago capacidad",$A$45:$N$65,12,FALSE)</f>
        <v>0.33</v>
      </c>
      <c r="G464" s="109">
        <f>VLOOKUP("Mecanismo Ajuste RD-L10/2022 Coste OM",$A$45:$N$65,12,FALSE)+VLOOKUP("Mecanismo Ajuste RD-L10/2022 Coste OS",$A$45:$N$65,12,FALSE)+VLOOKUP("Mecanismo Ajuste RD-L10/2022 Ajuste OS",$A$45:$N$65,12,FALSE)</f>
        <v>0</v>
      </c>
      <c r="H464" s="109">
        <f t="shared" si="16"/>
        <v>99.16</v>
      </c>
      <c r="I464" s="96">
        <f>VLOOKUP("Energía final MWh",$A$45:$N$61,12,FALSE)/1000</f>
        <v>21218.606261999998</v>
      </c>
      <c r="J464" s="114" t="str">
        <f t="shared" si="17"/>
        <v>J</v>
      </c>
    </row>
    <row r="465" spans="1:15">
      <c r="A465" s="111" t="str">
        <f>MID(M43,6,3) &amp; "-" &amp; MID(M43,3,2)</f>
        <v>Ago-23</v>
      </c>
      <c r="B465" s="109">
        <f>VLOOKUP("Mercado Diario",$A$45:$N$65,13,FALSE)</f>
        <v>97.07</v>
      </c>
      <c r="C465" s="109">
        <f>VLOOKUP("Mercado Intradiario",$A$45:$N$65,13,FALSE)</f>
        <v>-0.05</v>
      </c>
      <c r="D465" s="109">
        <f t="shared" si="15"/>
        <v>97.02</v>
      </c>
      <c r="E465" s="109">
        <f>SUM(M82:M90)</f>
        <v>7.99</v>
      </c>
      <c r="F465" s="109">
        <f>VLOOKUP("Pago capacidad",$A$45:$N$65,13,FALSE)</f>
        <v>0.19</v>
      </c>
      <c r="G465" s="109">
        <f>VLOOKUP("Mecanismo Ajuste RD-L10/2022 Coste OM",$A$45:$N$65,13,FALSE)+VLOOKUP("Mecanismo Ajuste RD-L10/2022 Coste OS",$A$45:$N$65,13,FALSE)+VLOOKUP("Mecanismo Ajuste RD-L10/2022 Ajuste OS",$A$45:$N$65,13,FALSE)</f>
        <v>0</v>
      </c>
      <c r="H465" s="109">
        <f t="shared" si="16"/>
        <v>105.19999999999999</v>
      </c>
      <c r="I465" s="96">
        <f>VLOOKUP("Energía final MWh",$A$45:$N$61,13,FALSE)/1000</f>
        <v>19942.655730000002</v>
      </c>
      <c r="J465" s="114" t="str">
        <f t="shared" si="17"/>
        <v>A</v>
      </c>
      <c r="K465" s="148"/>
      <c r="N465" t="s">
        <v>239</v>
      </c>
    </row>
    <row r="466" spans="1:15">
      <c r="A466" s="112" t="str">
        <f>MID(N43,6,3) &amp; "-" &amp; MID(N43,3,2)</f>
        <v>Sep-23</v>
      </c>
      <c r="B466" s="108">
        <f>VLOOKUP("Mercado Diario",$A$45:$N$65,14,FALSE)</f>
        <v>104.24</v>
      </c>
      <c r="C466" s="108">
        <f>VLOOKUP("Mercado Intradiario",$A$45:$N$65,14,FALSE)</f>
        <v>-0.08</v>
      </c>
      <c r="D466" s="108">
        <f t="shared" si="15"/>
        <v>104.16</v>
      </c>
      <c r="E466" s="108">
        <f>SUM(N82:N90)</f>
        <v>8.8999999999999986</v>
      </c>
      <c r="F466" s="108">
        <f>VLOOKUP("Pago capacidad",$A$45:$N$65,14,FALSE)</f>
        <v>0.18</v>
      </c>
      <c r="G466" s="108">
        <f>VLOOKUP("Mecanismo Ajuste RD-L10/2022 Coste OM",$A$45:$N$65,14,FALSE)+VLOOKUP("Mecanismo Ajuste RD-L10/2022 Coste OS",$A$45:$N$65,14,FALSE)+VLOOKUP("Mecanismo Ajuste RD-L10/2022 Ajuste OS",$A$45:$N$65,14,FALSE)</f>
        <v>0</v>
      </c>
      <c r="H466" s="108">
        <f t="shared" si="16"/>
        <v>113.24000000000001</v>
      </c>
      <c r="I466" s="113">
        <f>VLOOKUP("Energía final MWh",$A$45:$N$61,14,FALSE)/1000</f>
        <v>17957.574565000003</v>
      </c>
      <c r="J466" s="115" t="str">
        <f t="shared" si="17"/>
        <v>S</v>
      </c>
      <c r="K466" s="53">
        <f>(H466/H465-1)*100</f>
        <v>7.6425855513308161</v>
      </c>
      <c r="L466" s="53">
        <f>(H466/H454-1)*100</f>
        <v>-47.639524668238764</v>
      </c>
      <c r="M466" s="53">
        <f>H466/H454</f>
        <v>0.52360475331761236</v>
      </c>
      <c r="N466" s="168">
        <f>E466/H466</f>
        <v>7.8594136347580335E-2</v>
      </c>
    </row>
    <row r="467" spans="1:15">
      <c r="D467" s="168"/>
      <c r="E467" s="168"/>
      <c r="F467" s="168"/>
      <c r="G467" s="168"/>
      <c r="H467" s="168"/>
    </row>
    <row r="468" spans="1:15">
      <c r="D468" s="168"/>
      <c r="E468" s="232"/>
      <c r="F468" s="168"/>
      <c r="G468" s="168"/>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C103 G101:G106 C105:C106"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P22" sqref="P22"/>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69" t="s">
        <v>132</v>
      </c>
      <c r="AB1" s="269"/>
      <c r="AC1" s="269"/>
      <c r="AD1" s="269"/>
      <c r="AE1" s="269"/>
      <c r="AF1" s="269"/>
      <c r="AG1" s="269"/>
      <c r="AH1" s="269"/>
      <c r="AI1" s="269"/>
      <c r="AJ1" s="269"/>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258</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249</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341</v>
      </c>
      <c r="B5" t="s">
        <v>133</v>
      </c>
      <c r="C5" t="s">
        <v>133</v>
      </c>
      <c r="D5" t="s">
        <v>141</v>
      </c>
      <c r="E5" t="s">
        <v>141</v>
      </c>
      <c r="F5" t="s">
        <v>136</v>
      </c>
      <c r="G5" t="s">
        <v>141</v>
      </c>
      <c r="H5" t="s">
        <v>141</v>
      </c>
      <c r="I5" t="s">
        <v>133</v>
      </c>
      <c r="J5" t="s">
        <v>136</v>
      </c>
      <c r="K5" t="s">
        <v>141</v>
      </c>
      <c r="L5" t="s">
        <v>140</v>
      </c>
      <c r="M5" t="s">
        <v>140</v>
      </c>
      <c r="N5" t="s">
        <v>141</v>
      </c>
      <c r="O5" t="s">
        <v>140</v>
      </c>
      <c r="P5" t="s">
        <v>141</v>
      </c>
      <c r="Q5" t="s">
        <v>140</v>
      </c>
      <c r="R5" t="s">
        <v>140</v>
      </c>
      <c r="S5" t="s">
        <v>140</v>
      </c>
      <c r="T5" t="s">
        <v>136</v>
      </c>
      <c r="U5" t="s">
        <v>136</v>
      </c>
      <c r="V5" t="s">
        <v>136</v>
      </c>
      <c r="W5" t="s">
        <v>136</v>
      </c>
      <c r="X5" t="s">
        <v>136</v>
      </c>
      <c r="Y5" t="s">
        <v>133</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24</v>
      </c>
      <c r="BC5" s="122"/>
      <c r="BD5" s="136" t="s">
        <v>136</v>
      </c>
      <c r="BE5" s="136" t="s">
        <v>133</v>
      </c>
      <c r="BF5" s="136" t="s">
        <v>138</v>
      </c>
      <c r="BG5" s="136" t="s">
        <v>139</v>
      </c>
      <c r="BH5" s="136" t="s">
        <v>141</v>
      </c>
      <c r="BI5" s="136" t="s">
        <v>142</v>
      </c>
      <c r="BJ5" s="136" t="s">
        <v>137</v>
      </c>
      <c r="BK5" s="136" t="s">
        <v>143</v>
      </c>
      <c r="BL5" s="136" t="s">
        <v>134</v>
      </c>
      <c r="BM5" s="136" t="s">
        <v>135</v>
      </c>
      <c r="BN5" s="136" t="s">
        <v>258</v>
      </c>
      <c r="BO5" s="123"/>
    </row>
    <row r="6" spans="1:67">
      <c r="A6" t="s">
        <v>342</v>
      </c>
      <c r="B6" t="s">
        <v>141</v>
      </c>
      <c r="C6" t="s">
        <v>136</v>
      </c>
      <c r="D6" t="s">
        <v>343</v>
      </c>
      <c r="E6" t="s">
        <v>141</v>
      </c>
      <c r="F6" t="s">
        <v>141</v>
      </c>
      <c r="G6" t="s">
        <v>140</v>
      </c>
      <c r="H6" t="s">
        <v>141</v>
      </c>
      <c r="I6" t="s">
        <v>140</v>
      </c>
      <c r="J6" t="s">
        <v>344</v>
      </c>
      <c r="K6" t="s">
        <v>344</v>
      </c>
      <c r="L6" t="s">
        <v>344</v>
      </c>
      <c r="M6" t="s">
        <v>141</v>
      </c>
      <c r="N6" t="s">
        <v>141</v>
      </c>
      <c r="O6" t="s">
        <v>141</v>
      </c>
      <c r="P6" t="s">
        <v>141</v>
      </c>
      <c r="Q6" t="s">
        <v>136</v>
      </c>
      <c r="R6" t="s">
        <v>140</v>
      </c>
      <c r="S6" t="s">
        <v>141</v>
      </c>
      <c r="T6" t="s">
        <v>345</v>
      </c>
      <c r="U6" t="s">
        <v>136</v>
      </c>
      <c r="V6" t="s">
        <v>136</v>
      </c>
      <c r="W6" t="s">
        <v>136</v>
      </c>
      <c r="X6" t="s">
        <v>141</v>
      </c>
      <c r="Y6" t="s">
        <v>140</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2</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2</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2</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2</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2</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29</v>
      </c>
      <c r="BC6" s="136" t="str">
        <f>A5</f>
        <v>01/09/23</v>
      </c>
      <c r="BD6" s="138">
        <f>AY137</f>
        <v>7</v>
      </c>
      <c r="BE6" s="138">
        <f>AY38</f>
        <v>4</v>
      </c>
      <c r="BF6" s="138">
        <f>AY203</f>
        <v>0</v>
      </c>
      <c r="BG6" s="138">
        <f>AY236</f>
        <v>0</v>
      </c>
      <c r="BH6" s="138">
        <f>AY302</f>
        <v>7</v>
      </c>
      <c r="BI6" s="138">
        <f>AY335</f>
        <v>0</v>
      </c>
      <c r="BJ6" s="138">
        <f>AY170</f>
        <v>0</v>
      </c>
      <c r="BK6" s="138">
        <f>AY269</f>
        <v>6</v>
      </c>
      <c r="BL6" s="138">
        <f>AY71</f>
        <v>0</v>
      </c>
      <c r="BM6" s="138">
        <f>AY104</f>
        <v>0</v>
      </c>
      <c r="BN6" s="138">
        <f>AY369</f>
        <v>0</v>
      </c>
      <c r="BO6" s="124">
        <f>SUM(BD6:BN6)</f>
        <v>24</v>
      </c>
    </row>
    <row r="7" spans="1:67">
      <c r="A7" t="s">
        <v>346</v>
      </c>
      <c r="B7" t="s">
        <v>136</v>
      </c>
      <c r="C7" t="s">
        <v>347</v>
      </c>
      <c r="D7" t="s">
        <v>141</v>
      </c>
      <c r="E7" t="s">
        <v>140</v>
      </c>
      <c r="F7" t="s">
        <v>140</v>
      </c>
      <c r="G7" t="s">
        <v>140</v>
      </c>
      <c r="H7" t="s">
        <v>344</v>
      </c>
      <c r="I7" t="s">
        <v>344</v>
      </c>
      <c r="J7" t="s">
        <v>344</v>
      </c>
      <c r="K7" t="s">
        <v>133</v>
      </c>
      <c r="L7" t="s">
        <v>140</v>
      </c>
      <c r="M7" t="s">
        <v>140</v>
      </c>
      <c r="N7" t="s">
        <v>140</v>
      </c>
      <c r="O7" t="s">
        <v>140</v>
      </c>
      <c r="P7" t="s">
        <v>140</v>
      </c>
      <c r="Q7" t="s">
        <v>140</v>
      </c>
      <c r="R7" t="s">
        <v>140</v>
      </c>
      <c r="S7" t="s">
        <v>344</v>
      </c>
      <c r="T7" t="s">
        <v>344</v>
      </c>
      <c r="U7" t="s">
        <v>140</v>
      </c>
      <c r="V7" t="s">
        <v>141</v>
      </c>
      <c r="W7" t="s">
        <v>140</v>
      </c>
      <c r="X7" t="s">
        <v>140</v>
      </c>
      <c r="Y7" t="s">
        <v>140</v>
      </c>
      <c r="Z7" s="20" t="s">
        <v>186</v>
      </c>
      <c r="AA7" s="120">
        <f t="shared" si="1"/>
        <v>1</v>
      </c>
      <c r="AB7" s="120">
        <f t="shared" si="2"/>
        <v>2</v>
      </c>
      <c r="AC7" s="120">
        <f t="shared" si="3"/>
        <v>1</v>
      </c>
      <c r="AD7" s="120">
        <f t="shared" si="4"/>
        <v>1</v>
      </c>
      <c r="AE7" s="120">
        <f t="shared" si="5"/>
        <v>1</v>
      </c>
      <c r="AF7" s="120">
        <f t="shared" si="6"/>
        <v>1</v>
      </c>
      <c r="AG7" s="120">
        <f t="shared" si="7"/>
        <v>2</v>
      </c>
      <c r="AH7" s="120">
        <f t="shared" si="8"/>
        <v>2</v>
      </c>
      <c r="AI7" s="120">
        <f t="shared" si="9"/>
        <v>2</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2</v>
      </c>
      <c r="AS7" s="120">
        <f t="shared" si="19"/>
        <v>2</v>
      </c>
      <c r="AT7" s="120">
        <f t="shared" si="20"/>
        <v>1</v>
      </c>
      <c r="AU7" s="120">
        <f t="shared" si="21"/>
        <v>1</v>
      </c>
      <c r="AV7" s="120">
        <f t="shared" si="22"/>
        <v>1</v>
      </c>
      <c r="AW7" s="120">
        <f t="shared" si="23"/>
        <v>1</v>
      </c>
      <c r="AX7" s="120">
        <f t="shared" si="24"/>
        <v>1</v>
      </c>
      <c r="AY7" s="120">
        <f t="shared" si="25"/>
        <v>30</v>
      </c>
      <c r="BC7" s="136" t="str">
        <f t="shared" ref="BC7:BC35" si="26">A6</f>
        <v>02/09/23</v>
      </c>
      <c r="BD7" s="138">
        <f t="shared" ref="BD7:BD34" si="27">AY138</f>
        <v>7</v>
      </c>
      <c r="BE7" s="138">
        <f t="shared" ref="BE7:BE35" si="28">AY39</f>
        <v>1</v>
      </c>
      <c r="BF7" s="138">
        <f t="shared" ref="BF7:BF35" si="29">AY204</f>
        <v>0</v>
      </c>
      <c r="BG7" s="138">
        <f t="shared" ref="BG7:BG35" si="30">AY237</f>
        <v>0</v>
      </c>
      <c r="BH7" s="138">
        <f t="shared" ref="BH7:BH35" si="31">AY303</f>
        <v>10</v>
      </c>
      <c r="BI7" s="138">
        <f t="shared" ref="BI7:BI35" si="32">AY336</f>
        <v>0</v>
      </c>
      <c r="BJ7" s="138">
        <f t="shared" ref="BJ7:BJ35" si="33">AY171</f>
        <v>0</v>
      </c>
      <c r="BK7" s="138">
        <f t="shared" ref="BK7:BK35" si="34">AY270</f>
        <v>6</v>
      </c>
      <c r="BL7" s="138">
        <f t="shared" ref="BL7:BL35" si="35">AY72</f>
        <v>0</v>
      </c>
      <c r="BM7" s="138">
        <f t="shared" ref="BM7:BM35" si="36">AY105</f>
        <v>0</v>
      </c>
      <c r="BN7" s="138">
        <f t="shared" ref="BN7:BN36" si="37">AY370</f>
        <v>0</v>
      </c>
      <c r="BO7" s="124">
        <f t="shared" ref="BO7:BO36" si="38">SUM(BD7:BN7)</f>
        <v>24</v>
      </c>
    </row>
    <row r="8" spans="1:67" ht="12.75" customHeight="1">
      <c r="A8" t="s">
        <v>348</v>
      </c>
      <c r="B8" t="s">
        <v>136</v>
      </c>
      <c r="C8" t="s">
        <v>140</v>
      </c>
      <c r="D8" t="s">
        <v>140</v>
      </c>
      <c r="E8" t="s">
        <v>140</v>
      </c>
      <c r="F8" t="s">
        <v>140</v>
      </c>
      <c r="G8" t="s">
        <v>140</v>
      </c>
      <c r="H8" t="s">
        <v>140</v>
      </c>
      <c r="I8" t="s">
        <v>133</v>
      </c>
      <c r="J8" t="s">
        <v>133</v>
      </c>
      <c r="K8" t="s">
        <v>136</v>
      </c>
      <c r="L8" t="s">
        <v>136</v>
      </c>
      <c r="M8" t="s">
        <v>140</v>
      </c>
      <c r="N8" t="s">
        <v>136</v>
      </c>
      <c r="O8" t="s">
        <v>140</v>
      </c>
      <c r="P8" t="s">
        <v>140</v>
      </c>
      <c r="Q8" t="s">
        <v>140</v>
      </c>
      <c r="R8" t="s">
        <v>140</v>
      </c>
      <c r="S8" t="s">
        <v>140</v>
      </c>
      <c r="T8" t="s">
        <v>141</v>
      </c>
      <c r="U8" t="s">
        <v>133</v>
      </c>
      <c r="V8" t="s">
        <v>136</v>
      </c>
      <c r="W8" t="s">
        <v>136</v>
      </c>
      <c r="X8" t="s">
        <v>133</v>
      </c>
      <c r="Y8" t="s">
        <v>136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1</v>
      </c>
      <c r="AU8" s="120">
        <f t="shared" si="21"/>
        <v>1</v>
      </c>
      <c r="AV8" s="120">
        <f t="shared" si="22"/>
        <v>1</v>
      </c>
      <c r="AW8" s="120">
        <f t="shared" si="23"/>
        <v>1</v>
      </c>
      <c r="AX8" s="120">
        <f t="shared" si="24"/>
        <v>1</v>
      </c>
      <c r="AY8" s="120">
        <f t="shared" si="25"/>
        <v>24</v>
      </c>
      <c r="BC8" s="136" t="str">
        <f t="shared" si="26"/>
        <v>03/09/23</v>
      </c>
      <c r="BD8" s="138">
        <f t="shared" si="27"/>
        <v>4</v>
      </c>
      <c r="BE8" s="138">
        <f t="shared" si="28"/>
        <v>1</v>
      </c>
      <c r="BF8" s="138">
        <f t="shared" si="29"/>
        <v>0</v>
      </c>
      <c r="BG8" s="138">
        <f t="shared" si="30"/>
        <v>0</v>
      </c>
      <c r="BH8" s="138">
        <f t="shared" si="31"/>
        <v>2.5</v>
      </c>
      <c r="BI8" s="138">
        <f t="shared" si="32"/>
        <v>0</v>
      </c>
      <c r="BJ8" s="138">
        <f t="shared" si="33"/>
        <v>0</v>
      </c>
      <c r="BK8" s="138">
        <f t="shared" si="34"/>
        <v>16.5</v>
      </c>
      <c r="BL8" s="138">
        <f t="shared" si="35"/>
        <v>0</v>
      </c>
      <c r="BM8" s="138">
        <f t="shared" si="36"/>
        <v>0</v>
      </c>
      <c r="BN8" s="138">
        <f t="shared" si="37"/>
        <v>0</v>
      </c>
      <c r="BO8" s="124">
        <f t="shared" si="38"/>
        <v>24</v>
      </c>
    </row>
    <row r="9" spans="1:67">
      <c r="A9" t="s">
        <v>349</v>
      </c>
      <c r="B9" t="s">
        <v>141</v>
      </c>
      <c r="C9" t="s">
        <v>140</v>
      </c>
      <c r="D9" t="s">
        <v>141</v>
      </c>
      <c r="E9" t="s">
        <v>141</v>
      </c>
      <c r="F9" t="s">
        <v>141</v>
      </c>
      <c r="G9" t="s">
        <v>141</v>
      </c>
      <c r="H9" t="s">
        <v>140</v>
      </c>
      <c r="I9" t="s">
        <v>133</v>
      </c>
      <c r="J9" t="s">
        <v>136</v>
      </c>
      <c r="K9" t="s">
        <v>136</v>
      </c>
      <c r="L9" t="s">
        <v>141</v>
      </c>
      <c r="M9" t="s">
        <v>141</v>
      </c>
      <c r="N9" t="s">
        <v>140</v>
      </c>
      <c r="O9" t="s">
        <v>140</v>
      </c>
      <c r="P9" t="s">
        <v>140</v>
      </c>
      <c r="Q9" t="s">
        <v>350</v>
      </c>
      <c r="R9" t="s">
        <v>140</v>
      </c>
      <c r="S9" t="s">
        <v>141</v>
      </c>
      <c r="T9" t="s">
        <v>141</v>
      </c>
      <c r="U9" t="s">
        <v>136</v>
      </c>
      <c r="V9" t="s">
        <v>136</v>
      </c>
      <c r="W9" t="s">
        <v>136</v>
      </c>
      <c r="X9" t="s">
        <v>136</v>
      </c>
      <c r="Y9" t="s">
        <v>136</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2</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25</v>
      </c>
      <c r="BC9" s="136" t="str">
        <f t="shared" si="26"/>
        <v>04/09/23</v>
      </c>
      <c r="BD9" s="138">
        <f t="shared" si="27"/>
        <v>7</v>
      </c>
      <c r="BE9" s="138">
        <f t="shared" si="28"/>
        <v>4</v>
      </c>
      <c r="BF9" s="138">
        <f t="shared" si="29"/>
        <v>0</v>
      </c>
      <c r="BG9" s="138">
        <f t="shared" si="30"/>
        <v>0</v>
      </c>
      <c r="BH9" s="138">
        <f t="shared" si="31"/>
        <v>1</v>
      </c>
      <c r="BI9" s="138">
        <f t="shared" si="32"/>
        <v>0</v>
      </c>
      <c r="BJ9" s="138">
        <f t="shared" si="33"/>
        <v>0</v>
      </c>
      <c r="BK9" s="138">
        <f t="shared" si="34"/>
        <v>12</v>
      </c>
      <c r="BL9" s="138">
        <f t="shared" si="35"/>
        <v>0</v>
      </c>
      <c r="BM9" s="138">
        <f t="shared" si="36"/>
        <v>0</v>
      </c>
      <c r="BN9" s="138">
        <f t="shared" si="37"/>
        <v>0</v>
      </c>
      <c r="BO9" s="124">
        <f t="shared" si="38"/>
        <v>24</v>
      </c>
    </row>
    <row r="10" spans="1:67" ht="12.75" customHeight="1">
      <c r="A10" t="s">
        <v>351</v>
      </c>
      <c r="B10" t="s">
        <v>141</v>
      </c>
      <c r="C10" t="s">
        <v>136</v>
      </c>
      <c r="D10" t="s">
        <v>140</v>
      </c>
      <c r="E10" t="s">
        <v>141</v>
      </c>
      <c r="F10" t="s">
        <v>141</v>
      </c>
      <c r="G10" t="s">
        <v>141</v>
      </c>
      <c r="H10" t="s">
        <v>343</v>
      </c>
      <c r="I10" t="s">
        <v>136</v>
      </c>
      <c r="J10" t="s">
        <v>141</v>
      </c>
      <c r="K10" t="s">
        <v>345</v>
      </c>
      <c r="L10" t="s">
        <v>141</v>
      </c>
      <c r="M10" t="s">
        <v>140</v>
      </c>
      <c r="N10" t="s">
        <v>141</v>
      </c>
      <c r="O10" t="s">
        <v>141</v>
      </c>
      <c r="P10" t="s">
        <v>140</v>
      </c>
      <c r="Q10" t="s">
        <v>140</v>
      </c>
      <c r="R10" t="s">
        <v>141</v>
      </c>
      <c r="S10" t="s">
        <v>136</v>
      </c>
      <c r="T10" t="s">
        <v>136</v>
      </c>
      <c r="U10" t="s">
        <v>136</v>
      </c>
      <c r="V10" t="s">
        <v>136</v>
      </c>
      <c r="W10" t="s">
        <v>136</v>
      </c>
      <c r="X10" t="s">
        <v>136</v>
      </c>
      <c r="Y10" t="s">
        <v>141</v>
      </c>
      <c r="Z10" s="20" t="s">
        <v>186</v>
      </c>
      <c r="AA10" s="120">
        <f t="shared" si="1"/>
        <v>1</v>
      </c>
      <c r="AB10" s="120">
        <f t="shared" si="2"/>
        <v>1</v>
      </c>
      <c r="AC10" s="120">
        <f t="shared" si="3"/>
        <v>1</v>
      </c>
      <c r="AD10" s="120">
        <f t="shared" si="4"/>
        <v>1</v>
      </c>
      <c r="AE10" s="120">
        <f t="shared" si="5"/>
        <v>1</v>
      </c>
      <c r="AF10" s="120">
        <f t="shared" si="6"/>
        <v>1</v>
      </c>
      <c r="AG10" s="120">
        <f t="shared" si="7"/>
        <v>2</v>
      </c>
      <c r="AH10" s="120">
        <f t="shared" si="8"/>
        <v>1</v>
      </c>
      <c r="AI10" s="120">
        <f t="shared" si="9"/>
        <v>1</v>
      </c>
      <c r="AJ10" s="120">
        <f t="shared" si="10"/>
        <v>2</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05/09/23</v>
      </c>
      <c r="BD10" s="138">
        <f t="shared" si="27"/>
        <v>7</v>
      </c>
      <c r="BE10" s="138">
        <f t="shared" si="28"/>
        <v>1</v>
      </c>
      <c r="BF10" s="138">
        <f t="shared" si="29"/>
        <v>0</v>
      </c>
      <c r="BG10" s="138">
        <f t="shared" si="30"/>
        <v>0</v>
      </c>
      <c r="BH10" s="138">
        <f t="shared" si="31"/>
        <v>9.5</v>
      </c>
      <c r="BI10" s="138">
        <f t="shared" si="32"/>
        <v>0</v>
      </c>
      <c r="BJ10" s="138">
        <f t="shared" si="33"/>
        <v>0</v>
      </c>
      <c r="BK10" s="138">
        <f t="shared" si="34"/>
        <v>6.5</v>
      </c>
      <c r="BL10" s="138">
        <f t="shared" si="35"/>
        <v>0</v>
      </c>
      <c r="BM10" s="138">
        <f t="shared" si="36"/>
        <v>0</v>
      </c>
      <c r="BN10" s="138">
        <f t="shared" si="37"/>
        <v>0</v>
      </c>
      <c r="BO10" s="124">
        <f t="shared" si="38"/>
        <v>24</v>
      </c>
    </row>
    <row r="11" spans="1:67" ht="12.75" customHeight="1">
      <c r="A11" t="s">
        <v>352</v>
      </c>
      <c r="B11" t="s">
        <v>136</v>
      </c>
      <c r="C11" t="s">
        <v>136</v>
      </c>
      <c r="D11" t="s">
        <v>141</v>
      </c>
      <c r="E11" t="s">
        <v>141</v>
      </c>
      <c r="F11" t="s">
        <v>343</v>
      </c>
      <c r="G11" t="s">
        <v>343</v>
      </c>
      <c r="H11" t="s">
        <v>133</v>
      </c>
      <c r="I11" t="s">
        <v>140</v>
      </c>
      <c r="J11" t="s">
        <v>136</v>
      </c>
      <c r="K11" t="s">
        <v>136</v>
      </c>
      <c r="L11" t="s">
        <v>133</v>
      </c>
      <c r="M11" t="s">
        <v>140</v>
      </c>
      <c r="N11" t="s">
        <v>140</v>
      </c>
      <c r="O11" t="s">
        <v>141</v>
      </c>
      <c r="P11" t="s">
        <v>141</v>
      </c>
      <c r="Q11" t="s">
        <v>140</v>
      </c>
      <c r="R11" t="s">
        <v>141</v>
      </c>
      <c r="S11" t="s">
        <v>140</v>
      </c>
      <c r="T11" t="s">
        <v>141</v>
      </c>
      <c r="U11" t="s">
        <v>133</v>
      </c>
      <c r="V11" t="s">
        <v>136</v>
      </c>
      <c r="W11" t="s">
        <v>136</v>
      </c>
      <c r="X11" t="s">
        <v>343</v>
      </c>
      <c r="Y11" t="s">
        <v>133</v>
      </c>
      <c r="Z11" s="20" t="s">
        <v>186</v>
      </c>
      <c r="AA11" s="120">
        <f t="shared" si="1"/>
        <v>1</v>
      </c>
      <c r="AB11" s="120">
        <f t="shared" si="2"/>
        <v>1</v>
      </c>
      <c r="AC11" s="120">
        <f t="shared" si="3"/>
        <v>1</v>
      </c>
      <c r="AD11" s="120">
        <f t="shared" si="4"/>
        <v>1</v>
      </c>
      <c r="AE11" s="120">
        <f t="shared" si="5"/>
        <v>2</v>
      </c>
      <c r="AF11" s="120">
        <f t="shared" si="6"/>
        <v>2</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2</v>
      </c>
      <c r="AX11" s="120">
        <f t="shared" si="24"/>
        <v>1</v>
      </c>
      <c r="AY11" s="120">
        <f t="shared" si="25"/>
        <v>27</v>
      </c>
      <c r="BC11" s="136" t="str">
        <f t="shared" si="26"/>
        <v>06/09/23</v>
      </c>
      <c r="BD11" s="138">
        <f t="shared" si="27"/>
        <v>8.5</v>
      </c>
      <c r="BE11" s="138">
        <f t="shared" si="28"/>
        <v>1</v>
      </c>
      <c r="BF11" s="138">
        <f t="shared" si="29"/>
        <v>0</v>
      </c>
      <c r="BG11" s="138">
        <f t="shared" si="30"/>
        <v>0</v>
      </c>
      <c r="BH11" s="138">
        <f t="shared" si="31"/>
        <v>10</v>
      </c>
      <c r="BI11" s="138">
        <f t="shared" si="32"/>
        <v>0</v>
      </c>
      <c r="BJ11" s="138">
        <f t="shared" si="33"/>
        <v>0</v>
      </c>
      <c r="BK11" s="138">
        <f t="shared" si="34"/>
        <v>4.5</v>
      </c>
      <c r="BL11" s="138">
        <f t="shared" si="35"/>
        <v>0</v>
      </c>
      <c r="BM11" s="138">
        <f t="shared" si="36"/>
        <v>0</v>
      </c>
      <c r="BN11" s="138">
        <f t="shared" si="37"/>
        <v>0</v>
      </c>
      <c r="BO11" s="124">
        <f t="shared" si="38"/>
        <v>24</v>
      </c>
    </row>
    <row r="12" spans="1:67" ht="12.75" customHeight="1">
      <c r="A12" t="s">
        <v>353</v>
      </c>
      <c r="B12" t="s">
        <v>140</v>
      </c>
      <c r="C12" t="s">
        <v>141</v>
      </c>
      <c r="D12" t="s">
        <v>133</v>
      </c>
      <c r="E12" t="s">
        <v>141</v>
      </c>
      <c r="F12" t="s">
        <v>141</v>
      </c>
      <c r="G12" t="s">
        <v>141</v>
      </c>
      <c r="H12" t="s">
        <v>133</v>
      </c>
      <c r="I12" t="s">
        <v>136</v>
      </c>
      <c r="J12" t="s">
        <v>136</v>
      </c>
      <c r="K12" t="s">
        <v>136</v>
      </c>
      <c r="L12" t="s">
        <v>344</v>
      </c>
      <c r="M12" t="s">
        <v>350</v>
      </c>
      <c r="N12" t="s">
        <v>141</v>
      </c>
      <c r="O12" t="s">
        <v>141</v>
      </c>
      <c r="P12" t="s">
        <v>140</v>
      </c>
      <c r="Q12" t="s">
        <v>141</v>
      </c>
      <c r="R12" t="s">
        <v>136</v>
      </c>
      <c r="S12" t="s">
        <v>141</v>
      </c>
      <c r="T12" t="s">
        <v>136</v>
      </c>
      <c r="U12" t="s">
        <v>133</v>
      </c>
      <c r="V12" t="s">
        <v>136</v>
      </c>
      <c r="W12" t="s">
        <v>133</v>
      </c>
      <c r="X12" t="s">
        <v>136</v>
      </c>
      <c r="Y12" t="s">
        <v>136</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2</v>
      </c>
      <c r="AL12" s="120">
        <f t="shared" si="12"/>
        <v>2</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26</v>
      </c>
      <c r="BC12" s="136" t="str">
        <f t="shared" si="26"/>
        <v>07/09/23</v>
      </c>
      <c r="BD12" s="138">
        <f>AY143</f>
        <v>6</v>
      </c>
      <c r="BE12" s="138">
        <f t="shared" si="28"/>
        <v>5.5</v>
      </c>
      <c r="BF12" s="138">
        <f t="shared" si="29"/>
        <v>0</v>
      </c>
      <c r="BG12" s="138">
        <f t="shared" si="30"/>
        <v>0</v>
      </c>
      <c r="BH12" s="138">
        <f t="shared" si="31"/>
        <v>6</v>
      </c>
      <c r="BI12" s="138">
        <f t="shared" si="32"/>
        <v>0</v>
      </c>
      <c r="BJ12" s="138">
        <f t="shared" si="33"/>
        <v>0</v>
      </c>
      <c r="BK12" s="138">
        <f>AY275</f>
        <v>6.5</v>
      </c>
      <c r="BL12" s="138">
        <f t="shared" si="35"/>
        <v>0</v>
      </c>
      <c r="BM12" s="138">
        <f t="shared" si="36"/>
        <v>0</v>
      </c>
      <c r="BN12" s="138">
        <f t="shared" si="37"/>
        <v>0</v>
      </c>
      <c r="BO12" s="124">
        <f t="shared" si="38"/>
        <v>24</v>
      </c>
    </row>
    <row r="13" spans="1:67" ht="12.75" customHeight="1">
      <c r="A13" t="s">
        <v>354</v>
      </c>
      <c r="B13" t="s">
        <v>133</v>
      </c>
      <c r="C13" t="s">
        <v>136</v>
      </c>
      <c r="D13" t="s">
        <v>136</v>
      </c>
      <c r="E13" t="s">
        <v>141</v>
      </c>
      <c r="F13" t="s">
        <v>141</v>
      </c>
      <c r="G13" t="s">
        <v>141</v>
      </c>
      <c r="H13" t="s">
        <v>133</v>
      </c>
      <c r="I13" t="s">
        <v>140</v>
      </c>
      <c r="J13" t="s">
        <v>140</v>
      </c>
      <c r="K13" t="s">
        <v>136</v>
      </c>
      <c r="L13" t="s">
        <v>344</v>
      </c>
      <c r="M13" t="s">
        <v>140</v>
      </c>
      <c r="N13" t="s">
        <v>136</v>
      </c>
      <c r="O13" t="s">
        <v>140</v>
      </c>
      <c r="P13" t="s">
        <v>140</v>
      </c>
      <c r="Q13" t="s">
        <v>140</v>
      </c>
      <c r="R13" t="s">
        <v>140</v>
      </c>
      <c r="S13" t="s">
        <v>140</v>
      </c>
      <c r="T13" t="s">
        <v>140</v>
      </c>
      <c r="U13" t="s">
        <v>133</v>
      </c>
      <c r="V13" t="s">
        <v>136</v>
      </c>
      <c r="W13" t="s">
        <v>136</v>
      </c>
      <c r="X13" t="s">
        <v>136</v>
      </c>
      <c r="Y13" t="s">
        <v>133</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2</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25</v>
      </c>
      <c r="BC13" s="136" t="str">
        <f t="shared" si="26"/>
        <v>08/09/23</v>
      </c>
      <c r="BD13" s="138">
        <f t="shared" si="27"/>
        <v>8.5</v>
      </c>
      <c r="BE13" s="138">
        <f t="shared" si="28"/>
        <v>4</v>
      </c>
      <c r="BF13" s="138">
        <f t="shared" si="29"/>
        <v>0</v>
      </c>
      <c r="BG13" s="138">
        <f t="shared" si="30"/>
        <v>0</v>
      </c>
      <c r="BH13" s="138">
        <f t="shared" si="31"/>
        <v>8.5</v>
      </c>
      <c r="BI13" s="138">
        <f t="shared" si="32"/>
        <v>0</v>
      </c>
      <c r="BJ13" s="138">
        <f t="shared" si="33"/>
        <v>0</v>
      </c>
      <c r="BK13" s="138">
        <f t="shared" si="34"/>
        <v>3</v>
      </c>
      <c r="BL13" s="138">
        <f t="shared" si="35"/>
        <v>0</v>
      </c>
      <c r="BM13" s="138">
        <f t="shared" si="36"/>
        <v>0</v>
      </c>
      <c r="BN13" s="138">
        <f t="shared" si="37"/>
        <v>0</v>
      </c>
      <c r="BO13" s="124">
        <f t="shared" si="38"/>
        <v>24</v>
      </c>
    </row>
    <row r="14" spans="1:67" ht="12.75" customHeight="1">
      <c r="A14" t="s">
        <v>355</v>
      </c>
      <c r="B14" t="s">
        <v>133</v>
      </c>
      <c r="C14" t="s">
        <v>141</v>
      </c>
      <c r="D14" t="s">
        <v>141</v>
      </c>
      <c r="E14" t="s">
        <v>141</v>
      </c>
      <c r="F14" t="s">
        <v>136</v>
      </c>
      <c r="G14" t="s">
        <v>141</v>
      </c>
      <c r="H14" t="s">
        <v>136</v>
      </c>
      <c r="I14" t="s">
        <v>136</v>
      </c>
      <c r="J14" t="s">
        <v>141</v>
      </c>
      <c r="K14" t="s">
        <v>141</v>
      </c>
      <c r="L14" t="s">
        <v>140</v>
      </c>
      <c r="M14" t="s">
        <v>140</v>
      </c>
      <c r="N14" t="s">
        <v>140</v>
      </c>
      <c r="O14" t="s">
        <v>140</v>
      </c>
      <c r="P14" t="s">
        <v>140</v>
      </c>
      <c r="Q14" t="s">
        <v>140</v>
      </c>
      <c r="R14" t="s">
        <v>140</v>
      </c>
      <c r="S14" t="s">
        <v>141</v>
      </c>
      <c r="T14" t="s">
        <v>141</v>
      </c>
      <c r="U14" t="s">
        <v>136</v>
      </c>
      <c r="V14" t="s">
        <v>140</v>
      </c>
      <c r="W14" t="s">
        <v>133</v>
      </c>
      <c r="X14" t="s">
        <v>133</v>
      </c>
      <c r="Y14" t="s">
        <v>141</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09/09/23</v>
      </c>
      <c r="BD14" s="138">
        <f t="shared" si="27"/>
        <v>7.5</v>
      </c>
      <c r="BE14" s="138">
        <f t="shared" si="28"/>
        <v>4</v>
      </c>
      <c r="BF14" s="138">
        <f t="shared" si="29"/>
        <v>0</v>
      </c>
      <c r="BG14" s="138">
        <f t="shared" si="30"/>
        <v>0</v>
      </c>
      <c r="BH14" s="138">
        <f t="shared" si="31"/>
        <v>3</v>
      </c>
      <c r="BI14" s="138">
        <f t="shared" si="32"/>
        <v>0</v>
      </c>
      <c r="BJ14" s="138">
        <f t="shared" si="33"/>
        <v>0</v>
      </c>
      <c r="BK14" s="138">
        <f t="shared" si="34"/>
        <v>9.5</v>
      </c>
      <c r="BL14" s="138">
        <f t="shared" si="35"/>
        <v>0</v>
      </c>
      <c r="BM14" s="138">
        <f t="shared" si="36"/>
        <v>0</v>
      </c>
      <c r="BN14" s="138">
        <f t="shared" si="37"/>
        <v>0</v>
      </c>
      <c r="BO14" s="124">
        <f t="shared" si="38"/>
        <v>24</v>
      </c>
    </row>
    <row r="15" spans="1:67" ht="12.75" customHeight="1">
      <c r="A15" t="s">
        <v>356</v>
      </c>
      <c r="B15" t="s">
        <v>136</v>
      </c>
      <c r="C15" t="s">
        <v>141</v>
      </c>
      <c r="D15" t="s">
        <v>133</v>
      </c>
      <c r="E15" t="s">
        <v>140</v>
      </c>
      <c r="F15" t="s">
        <v>136</v>
      </c>
      <c r="G15" t="s">
        <v>136</v>
      </c>
      <c r="H15" t="s">
        <v>140</v>
      </c>
      <c r="I15" t="s">
        <v>136</v>
      </c>
      <c r="J15" t="s">
        <v>136</v>
      </c>
      <c r="K15" t="s">
        <v>136</v>
      </c>
      <c r="L15" t="s">
        <v>141</v>
      </c>
      <c r="M15" t="s">
        <v>141</v>
      </c>
      <c r="N15" t="s">
        <v>141</v>
      </c>
      <c r="O15" t="s">
        <v>140</v>
      </c>
      <c r="P15" t="s">
        <v>140</v>
      </c>
      <c r="Q15" t="s">
        <v>136</v>
      </c>
      <c r="R15" t="s">
        <v>141</v>
      </c>
      <c r="S15" t="s">
        <v>141</v>
      </c>
      <c r="T15" t="s">
        <v>345</v>
      </c>
      <c r="U15" t="s">
        <v>136</v>
      </c>
      <c r="V15" t="s">
        <v>136</v>
      </c>
      <c r="W15" t="s">
        <v>136</v>
      </c>
      <c r="X15" t="s">
        <v>133</v>
      </c>
      <c r="Y15" t="s">
        <v>136</v>
      </c>
      <c r="Z15" s="20" t="s">
        <v>186</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2</v>
      </c>
      <c r="AT15" s="120">
        <f t="shared" si="20"/>
        <v>1</v>
      </c>
      <c r="AU15" s="120">
        <f t="shared" si="21"/>
        <v>1</v>
      </c>
      <c r="AV15" s="120">
        <f t="shared" si="22"/>
        <v>1</v>
      </c>
      <c r="AW15" s="120">
        <f t="shared" si="23"/>
        <v>1</v>
      </c>
      <c r="AX15" s="120">
        <f t="shared" si="24"/>
        <v>1</v>
      </c>
      <c r="AY15" s="120">
        <f t="shared" si="25"/>
        <v>25</v>
      </c>
      <c r="BC15" s="136" t="str">
        <f t="shared" si="26"/>
        <v>10/09/23</v>
      </c>
      <c r="BD15" s="138">
        <f t="shared" si="27"/>
        <v>4</v>
      </c>
      <c r="BE15" s="138">
        <f t="shared" si="28"/>
        <v>3</v>
      </c>
      <c r="BF15" s="138">
        <f t="shared" si="29"/>
        <v>0</v>
      </c>
      <c r="BG15" s="138">
        <f t="shared" si="30"/>
        <v>0</v>
      </c>
      <c r="BH15" s="138">
        <f t="shared" si="31"/>
        <v>9</v>
      </c>
      <c r="BI15" s="138">
        <f t="shared" si="32"/>
        <v>0</v>
      </c>
      <c r="BJ15" s="138">
        <f t="shared" si="33"/>
        <v>0</v>
      </c>
      <c r="BK15" s="138">
        <f t="shared" si="34"/>
        <v>8</v>
      </c>
      <c r="BL15" s="138">
        <f t="shared" si="35"/>
        <v>0</v>
      </c>
      <c r="BM15" s="138">
        <f t="shared" si="36"/>
        <v>0</v>
      </c>
      <c r="BN15" s="138">
        <f t="shared" si="37"/>
        <v>0</v>
      </c>
      <c r="BO15" s="124">
        <f t="shared" si="38"/>
        <v>24</v>
      </c>
    </row>
    <row r="16" spans="1:67" ht="12.75" customHeight="1">
      <c r="A16" t="s">
        <v>357</v>
      </c>
      <c r="B16" t="s">
        <v>141</v>
      </c>
      <c r="C16" t="s">
        <v>140</v>
      </c>
      <c r="D16" t="s">
        <v>141</v>
      </c>
      <c r="E16" t="s">
        <v>141</v>
      </c>
      <c r="F16" t="s">
        <v>141</v>
      </c>
      <c r="G16" t="s">
        <v>141</v>
      </c>
      <c r="H16" t="s">
        <v>141</v>
      </c>
      <c r="I16" t="s">
        <v>136</v>
      </c>
      <c r="J16" t="s">
        <v>136</v>
      </c>
      <c r="K16" t="s">
        <v>136</v>
      </c>
      <c r="L16" t="s">
        <v>136</v>
      </c>
      <c r="M16" t="s">
        <v>140</v>
      </c>
      <c r="N16" t="s">
        <v>141</v>
      </c>
      <c r="O16" t="s">
        <v>141</v>
      </c>
      <c r="P16" t="s">
        <v>141</v>
      </c>
      <c r="Q16" t="s">
        <v>140</v>
      </c>
      <c r="R16" t="s">
        <v>141</v>
      </c>
      <c r="S16" t="s">
        <v>140</v>
      </c>
      <c r="T16" t="s">
        <v>141</v>
      </c>
      <c r="U16" t="s">
        <v>136</v>
      </c>
      <c r="V16" t="s">
        <v>136</v>
      </c>
      <c r="W16" t="s">
        <v>133</v>
      </c>
      <c r="X16" t="s">
        <v>141</v>
      </c>
      <c r="Y16" t="s">
        <v>136</v>
      </c>
      <c r="Z16" s="20" t="s">
        <v>186</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24</v>
      </c>
      <c r="BC16" s="136" t="str">
        <f t="shared" si="26"/>
        <v>11/09/23</v>
      </c>
      <c r="BD16" s="138">
        <f t="shared" si="27"/>
        <v>11.5</v>
      </c>
      <c r="BE16" s="138">
        <f t="shared" si="28"/>
        <v>2.5</v>
      </c>
      <c r="BF16" s="138">
        <f t="shared" si="29"/>
        <v>0</v>
      </c>
      <c r="BG16" s="138">
        <f t="shared" si="30"/>
        <v>0</v>
      </c>
      <c r="BH16" s="138">
        <f t="shared" si="31"/>
        <v>6</v>
      </c>
      <c r="BI16" s="138">
        <f t="shared" si="32"/>
        <v>0</v>
      </c>
      <c r="BJ16" s="138">
        <f t="shared" si="33"/>
        <v>0</v>
      </c>
      <c r="BK16" s="138">
        <f t="shared" si="34"/>
        <v>4</v>
      </c>
      <c r="BL16" s="138">
        <f t="shared" si="35"/>
        <v>0</v>
      </c>
      <c r="BM16" s="138">
        <f t="shared" si="36"/>
        <v>0</v>
      </c>
      <c r="BN16" s="138">
        <f t="shared" si="37"/>
        <v>0</v>
      </c>
      <c r="BO16" s="124">
        <f t="shared" si="38"/>
        <v>24</v>
      </c>
    </row>
    <row r="17" spans="1:67" ht="12.75" customHeight="1">
      <c r="A17" t="s">
        <v>358</v>
      </c>
      <c r="B17" t="s">
        <v>136</v>
      </c>
      <c r="C17" t="s">
        <v>140</v>
      </c>
      <c r="D17" t="s">
        <v>136</v>
      </c>
      <c r="E17" t="s">
        <v>141</v>
      </c>
      <c r="F17" t="s">
        <v>350</v>
      </c>
      <c r="G17" t="s">
        <v>350</v>
      </c>
      <c r="H17" t="s">
        <v>141</v>
      </c>
      <c r="I17" t="s">
        <v>136</v>
      </c>
      <c r="J17" t="s">
        <v>136</v>
      </c>
      <c r="K17" t="s">
        <v>136</v>
      </c>
      <c r="L17" t="s">
        <v>141</v>
      </c>
      <c r="M17" t="s">
        <v>141</v>
      </c>
      <c r="N17" t="s">
        <v>140</v>
      </c>
      <c r="O17" t="s">
        <v>350</v>
      </c>
      <c r="P17" t="s">
        <v>141</v>
      </c>
      <c r="Q17" t="s">
        <v>141</v>
      </c>
      <c r="R17" t="s">
        <v>140</v>
      </c>
      <c r="S17" t="s">
        <v>140</v>
      </c>
      <c r="T17" t="s">
        <v>141</v>
      </c>
      <c r="U17" t="s">
        <v>133</v>
      </c>
      <c r="V17" t="s">
        <v>136</v>
      </c>
      <c r="W17" t="s">
        <v>140</v>
      </c>
      <c r="X17" t="s">
        <v>136</v>
      </c>
      <c r="Y17" t="s">
        <v>136</v>
      </c>
      <c r="Z17" s="20" t="s">
        <v>186</v>
      </c>
      <c r="AA17" s="120">
        <f t="shared" si="1"/>
        <v>1</v>
      </c>
      <c r="AB17" s="120">
        <f t="shared" si="2"/>
        <v>1</v>
      </c>
      <c r="AC17" s="120">
        <f t="shared" si="3"/>
        <v>1</v>
      </c>
      <c r="AD17" s="120">
        <f t="shared" si="4"/>
        <v>1</v>
      </c>
      <c r="AE17" s="120">
        <f t="shared" si="5"/>
        <v>2</v>
      </c>
      <c r="AF17" s="120">
        <f t="shared" si="6"/>
        <v>2</v>
      </c>
      <c r="AG17" s="120">
        <f t="shared" si="7"/>
        <v>1</v>
      </c>
      <c r="AH17" s="120">
        <f t="shared" si="8"/>
        <v>1</v>
      </c>
      <c r="AI17" s="120">
        <f t="shared" si="9"/>
        <v>1</v>
      </c>
      <c r="AJ17" s="120">
        <f t="shared" si="10"/>
        <v>1</v>
      </c>
      <c r="AK17" s="120">
        <f t="shared" si="11"/>
        <v>1</v>
      </c>
      <c r="AL17" s="120">
        <f t="shared" si="12"/>
        <v>1</v>
      </c>
      <c r="AM17" s="120">
        <f t="shared" si="13"/>
        <v>1</v>
      </c>
      <c r="AN17" s="120">
        <f t="shared" si="14"/>
        <v>2</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27</v>
      </c>
      <c r="BC17" s="136" t="str">
        <f t="shared" si="26"/>
        <v>12/09/23</v>
      </c>
      <c r="BD17" s="138">
        <f t="shared" si="27"/>
        <v>7</v>
      </c>
      <c r="BE17" s="138">
        <f t="shared" si="28"/>
        <v>1</v>
      </c>
      <c r="BF17" s="138">
        <f t="shared" si="29"/>
        <v>0</v>
      </c>
      <c r="BG17" s="138">
        <f t="shared" si="30"/>
        <v>0</v>
      </c>
      <c r="BH17" s="138">
        <f t="shared" si="31"/>
        <v>12</v>
      </c>
      <c r="BI17" s="138">
        <f t="shared" si="32"/>
        <v>0</v>
      </c>
      <c r="BJ17" s="138">
        <f t="shared" si="33"/>
        <v>0</v>
      </c>
      <c r="BK17" s="138">
        <f t="shared" si="34"/>
        <v>4</v>
      </c>
      <c r="BL17" s="138">
        <f t="shared" si="35"/>
        <v>0</v>
      </c>
      <c r="BM17" s="138">
        <f t="shared" si="36"/>
        <v>0</v>
      </c>
      <c r="BN17" s="138">
        <f t="shared" si="37"/>
        <v>0</v>
      </c>
      <c r="BO17" s="124">
        <f t="shared" si="38"/>
        <v>24</v>
      </c>
    </row>
    <row r="18" spans="1:67" ht="12.75" customHeight="1">
      <c r="A18" t="s">
        <v>359</v>
      </c>
      <c r="B18" t="s">
        <v>141</v>
      </c>
      <c r="C18" t="s">
        <v>140</v>
      </c>
      <c r="D18" t="s">
        <v>136</v>
      </c>
      <c r="E18" t="s">
        <v>140</v>
      </c>
      <c r="F18" t="s">
        <v>140</v>
      </c>
      <c r="G18" t="s">
        <v>140</v>
      </c>
      <c r="H18" t="s">
        <v>136</v>
      </c>
      <c r="I18" t="s">
        <v>136</v>
      </c>
      <c r="J18" t="s">
        <v>133</v>
      </c>
      <c r="K18" t="s">
        <v>141</v>
      </c>
      <c r="L18" t="s">
        <v>140</v>
      </c>
      <c r="M18" t="s">
        <v>140</v>
      </c>
      <c r="N18" t="s">
        <v>141</v>
      </c>
      <c r="O18" t="s">
        <v>141</v>
      </c>
      <c r="P18" t="s">
        <v>136</v>
      </c>
      <c r="Q18" t="s">
        <v>136</v>
      </c>
      <c r="R18" t="s">
        <v>141</v>
      </c>
      <c r="S18" t="s">
        <v>141</v>
      </c>
      <c r="T18" t="s">
        <v>141</v>
      </c>
      <c r="U18" t="s">
        <v>136</v>
      </c>
      <c r="V18" t="s">
        <v>344</v>
      </c>
      <c r="W18" t="s">
        <v>136</v>
      </c>
      <c r="X18" t="s">
        <v>136</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2</v>
      </c>
      <c r="AV18" s="120">
        <f t="shared" si="22"/>
        <v>1</v>
      </c>
      <c r="AW18" s="120">
        <f t="shared" si="23"/>
        <v>1</v>
      </c>
      <c r="AX18" s="120">
        <f t="shared" si="24"/>
        <v>1</v>
      </c>
      <c r="AY18" s="120">
        <f t="shared" si="25"/>
        <v>25</v>
      </c>
      <c r="BC18" s="136" t="str">
        <f t="shared" si="26"/>
        <v>13/09/23</v>
      </c>
      <c r="BD18" s="138">
        <f t="shared" si="27"/>
        <v>8</v>
      </c>
      <c r="BE18" s="138">
        <f t="shared" si="28"/>
        <v>1</v>
      </c>
      <c r="BF18" s="138">
        <f t="shared" si="29"/>
        <v>0</v>
      </c>
      <c r="BG18" s="138">
        <f t="shared" si="30"/>
        <v>0</v>
      </c>
      <c r="BH18" s="138">
        <f t="shared" si="31"/>
        <v>8.5</v>
      </c>
      <c r="BI18" s="138">
        <f t="shared" si="32"/>
        <v>0</v>
      </c>
      <c r="BJ18" s="138">
        <f t="shared" si="33"/>
        <v>0</v>
      </c>
      <c r="BK18" s="138">
        <f t="shared" si="34"/>
        <v>6.5</v>
      </c>
      <c r="BL18" s="138">
        <f t="shared" si="35"/>
        <v>0</v>
      </c>
      <c r="BM18" s="138">
        <f t="shared" si="36"/>
        <v>0</v>
      </c>
      <c r="BN18" s="138">
        <f t="shared" si="37"/>
        <v>0</v>
      </c>
      <c r="BO18" s="124">
        <f t="shared" si="38"/>
        <v>24</v>
      </c>
    </row>
    <row r="19" spans="1:67" ht="12.75" customHeight="1">
      <c r="A19" t="s">
        <v>360</v>
      </c>
      <c r="B19" t="s">
        <v>141</v>
      </c>
      <c r="C19" t="s">
        <v>344</v>
      </c>
      <c r="D19" t="s">
        <v>141</v>
      </c>
      <c r="E19" t="s">
        <v>141</v>
      </c>
      <c r="F19" t="s">
        <v>141</v>
      </c>
      <c r="G19" t="s">
        <v>136</v>
      </c>
      <c r="H19" t="s">
        <v>133</v>
      </c>
      <c r="I19" t="s">
        <v>136</v>
      </c>
      <c r="J19" t="s">
        <v>133</v>
      </c>
      <c r="K19" t="s">
        <v>136</v>
      </c>
      <c r="L19" t="s">
        <v>133</v>
      </c>
      <c r="M19" t="s">
        <v>136</v>
      </c>
      <c r="N19" t="s">
        <v>141</v>
      </c>
      <c r="O19" t="s">
        <v>141</v>
      </c>
      <c r="P19" t="s">
        <v>140</v>
      </c>
      <c r="Q19" t="s">
        <v>141</v>
      </c>
      <c r="R19" t="s">
        <v>141</v>
      </c>
      <c r="S19" t="s">
        <v>141</v>
      </c>
      <c r="T19" t="s">
        <v>136</v>
      </c>
      <c r="U19" t="s">
        <v>136</v>
      </c>
      <c r="V19" t="s">
        <v>136</v>
      </c>
      <c r="W19" t="s">
        <v>136</v>
      </c>
      <c r="X19" t="s">
        <v>136</v>
      </c>
      <c r="Y19" t="s">
        <v>136</v>
      </c>
      <c r="Z19" s="20" t="s">
        <v>186</v>
      </c>
      <c r="AA19" s="120">
        <f t="shared" si="1"/>
        <v>1</v>
      </c>
      <c r="AB19" s="120">
        <f t="shared" si="2"/>
        <v>2</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25</v>
      </c>
      <c r="BC19" s="136" t="str">
        <f t="shared" si="26"/>
        <v>14/09/23</v>
      </c>
      <c r="BD19" s="138">
        <f t="shared" si="27"/>
        <v>9.5</v>
      </c>
      <c r="BE19" s="138">
        <f t="shared" si="28"/>
        <v>1</v>
      </c>
      <c r="BF19" s="138">
        <f t="shared" si="29"/>
        <v>0</v>
      </c>
      <c r="BG19" s="138">
        <f t="shared" si="30"/>
        <v>0</v>
      </c>
      <c r="BH19" s="138">
        <f t="shared" si="31"/>
        <v>7</v>
      </c>
      <c r="BI19" s="138">
        <f t="shared" si="32"/>
        <v>0</v>
      </c>
      <c r="BJ19" s="138">
        <f t="shared" si="33"/>
        <v>0</v>
      </c>
      <c r="BK19" s="138">
        <f t="shared" si="34"/>
        <v>6.5</v>
      </c>
      <c r="BL19" s="138">
        <f t="shared" si="35"/>
        <v>0</v>
      </c>
      <c r="BM19" s="138">
        <f t="shared" si="36"/>
        <v>0</v>
      </c>
      <c r="BN19" s="138">
        <f t="shared" si="37"/>
        <v>0</v>
      </c>
      <c r="BO19" s="124">
        <f t="shared" si="38"/>
        <v>24</v>
      </c>
    </row>
    <row r="20" spans="1:67" ht="12.75" customHeight="1">
      <c r="A20" t="s">
        <v>361</v>
      </c>
      <c r="B20" t="s">
        <v>136</v>
      </c>
      <c r="C20" t="s">
        <v>136</v>
      </c>
      <c r="D20" t="s">
        <v>141</v>
      </c>
      <c r="E20" t="s">
        <v>141</v>
      </c>
      <c r="F20" t="s">
        <v>344</v>
      </c>
      <c r="G20" t="s">
        <v>140</v>
      </c>
      <c r="H20" t="s">
        <v>344</v>
      </c>
      <c r="I20" t="s">
        <v>141</v>
      </c>
      <c r="J20" t="s">
        <v>140</v>
      </c>
      <c r="K20" t="s">
        <v>140</v>
      </c>
      <c r="L20" t="s">
        <v>141</v>
      </c>
      <c r="M20" t="s">
        <v>140</v>
      </c>
      <c r="N20" t="s">
        <v>140</v>
      </c>
      <c r="O20" t="s">
        <v>140</v>
      </c>
      <c r="P20" t="s">
        <v>140</v>
      </c>
      <c r="Q20" t="s">
        <v>140</v>
      </c>
      <c r="R20" t="s">
        <v>140</v>
      </c>
      <c r="S20" t="s">
        <v>140</v>
      </c>
      <c r="T20" t="s">
        <v>140</v>
      </c>
      <c r="U20" t="s">
        <v>136</v>
      </c>
      <c r="V20" t="s">
        <v>133</v>
      </c>
      <c r="W20" t="s">
        <v>136</v>
      </c>
      <c r="X20" t="s">
        <v>136</v>
      </c>
      <c r="Y20" t="s">
        <v>140</v>
      </c>
      <c r="Z20" s="20" t="s">
        <v>186</v>
      </c>
      <c r="AA20" s="120">
        <f t="shared" si="1"/>
        <v>1</v>
      </c>
      <c r="AB20" s="120">
        <f t="shared" si="2"/>
        <v>1</v>
      </c>
      <c r="AC20" s="120">
        <f t="shared" si="3"/>
        <v>1</v>
      </c>
      <c r="AD20" s="120">
        <f t="shared" si="4"/>
        <v>1</v>
      </c>
      <c r="AE20" s="120">
        <f t="shared" si="5"/>
        <v>2</v>
      </c>
      <c r="AF20" s="120">
        <f t="shared" si="6"/>
        <v>1</v>
      </c>
      <c r="AG20" s="120">
        <f t="shared" si="7"/>
        <v>2</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26</v>
      </c>
      <c r="BC20" s="136" t="str">
        <f t="shared" si="26"/>
        <v>15/09/23</v>
      </c>
      <c r="BD20" s="138">
        <f t="shared" si="27"/>
        <v>10.5</v>
      </c>
      <c r="BE20" s="138">
        <f t="shared" si="28"/>
        <v>3</v>
      </c>
      <c r="BF20" s="138">
        <f t="shared" si="29"/>
        <v>0</v>
      </c>
      <c r="BG20" s="138">
        <f t="shared" si="30"/>
        <v>0</v>
      </c>
      <c r="BH20" s="138">
        <f t="shared" si="31"/>
        <v>9</v>
      </c>
      <c r="BI20" s="138">
        <f t="shared" si="32"/>
        <v>0</v>
      </c>
      <c r="BJ20" s="138">
        <f t="shared" si="33"/>
        <v>0</v>
      </c>
      <c r="BK20" s="138">
        <f t="shared" si="34"/>
        <v>1.5</v>
      </c>
      <c r="BL20" s="138">
        <f t="shared" si="35"/>
        <v>0</v>
      </c>
      <c r="BM20" s="138">
        <f t="shared" si="36"/>
        <v>0</v>
      </c>
      <c r="BN20" s="138">
        <f t="shared" si="37"/>
        <v>0</v>
      </c>
      <c r="BO20" s="124">
        <f t="shared" si="38"/>
        <v>24</v>
      </c>
    </row>
    <row r="21" spans="1:67" ht="12.75" customHeight="1">
      <c r="A21" t="s">
        <v>362</v>
      </c>
      <c r="B21" t="s">
        <v>136</v>
      </c>
      <c r="C21" t="s">
        <v>136</v>
      </c>
      <c r="D21" t="s">
        <v>141</v>
      </c>
      <c r="E21" t="s">
        <v>140</v>
      </c>
      <c r="F21" t="s">
        <v>140</v>
      </c>
      <c r="G21" t="s">
        <v>140</v>
      </c>
      <c r="H21" t="s">
        <v>140</v>
      </c>
      <c r="I21" t="s">
        <v>140</v>
      </c>
      <c r="J21" t="s">
        <v>140</v>
      </c>
      <c r="K21" t="s">
        <v>140</v>
      </c>
      <c r="L21" t="s">
        <v>140</v>
      </c>
      <c r="M21" t="s">
        <v>344</v>
      </c>
      <c r="N21" t="s">
        <v>140</v>
      </c>
      <c r="O21" t="s">
        <v>140</v>
      </c>
      <c r="P21" t="s">
        <v>140</v>
      </c>
      <c r="Q21" t="s">
        <v>140</v>
      </c>
      <c r="R21" t="s">
        <v>140</v>
      </c>
      <c r="S21" t="s">
        <v>140</v>
      </c>
      <c r="T21" t="s">
        <v>140</v>
      </c>
      <c r="U21" t="s">
        <v>343</v>
      </c>
      <c r="V21" t="s">
        <v>136</v>
      </c>
      <c r="W21" t="s">
        <v>133</v>
      </c>
      <c r="X21" t="s">
        <v>136</v>
      </c>
      <c r="Y21" t="s">
        <v>141</v>
      </c>
      <c r="Z21" s="20" t="s">
        <v>186</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2</v>
      </c>
      <c r="AM21" s="120">
        <f t="shared" si="13"/>
        <v>1</v>
      </c>
      <c r="AN21" s="120">
        <f t="shared" si="14"/>
        <v>1</v>
      </c>
      <c r="AO21" s="120">
        <f t="shared" si="15"/>
        <v>1</v>
      </c>
      <c r="AP21" s="120">
        <f t="shared" si="16"/>
        <v>1</v>
      </c>
      <c r="AQ21" s="120">
        <f t="shared" si="17"/>
        <v>1</v>
      </c>
      <c r="AR21" s="120">
        <f t="shared" si="18"/>
        <v>1</v>
      </c>
      <c r="AS21" s="120">
        <f t="shared" si="19"/>
        <v>1</v>
      </c>
      <c r="AT21" s="120">
        <f t="shared" si="20"/>
        <v>2</v>
      </c>
      <c r="AU21" s="120">
        <f t="shared" si="21"/>
        <v>1</v>
      </c>
      <c r="AV21" s="120">
        <f t="shared" si="22"/>
        <v>1</v>
      </c>
      <c r="AW21" s="120">
        <f t="shared" si="23"/>
        <v>1</v>
      </c>
      <c r="AX21" s="120">
        <f t="shared" si="24"/>
        <v>1</v>
      </c>
      <c r="AY21" s="120">
        <f t="shared" si="25"/>
        <v>26</v>
      </c>
      <c r="BC21" s="136" t="str">
        <f t="shared" si="26"/>
        <v>16/09/23</v>
      </c>
      <c r="BD21" s="138">
        <f t="shared" si="27"/>
        <v>6</v>
      </c>
      <c r="BE21" s="138">
        <f t="shared" si="28"/>
        <v>1</v>
      </c>
      <c r="BF21" s="138">
        <f t="shared" si="29"/>
        <v>0</v>
      </c>
      <c r="BG21" s="138">
        <f t="shared" si="30"/>
        <v>0</v>
      </c>
      <c r="BH21" s="138">
        <f t="shared" si="31"/>
        <v>4</v>
      </c>
      <c r="BI21" s="138">
        <f t="shared" si="32"/>
        <v>0</v>
      </c>
      <c r="BJ21" s="138">
        <f t="shared" si="33"/>
        <v>0</v>
      </c>
      <c r="BK21" s="138">
        <f t="shared" si="34"/>
        <v>13</v>
      </c>
      <c r="BL21" s="138">
        <f t="shared" si="35"/>
        <v>0</v>
      </c>
      <c r="BM21" s="138">
        <f t="shared" si="36"/>
        <v>0</v>
      </c>
      <c r="BN21" s="138">
        <f t="shared" si="37"/>
        <v>0</v>
      </c>
      <c r="BO21" s="124">
        <f t="shared" si="38"/>
        <v>24</v>
      </c>
    </row>
    <row r="22" spans="1:67" ht="12.75" customHeight="1">
      <c r="A22" t="s">
        <v>363</v>
      </c>
      <c r="B22" t="s">
        <v>140</v>
      </c>
      <c r="C22" t="s">
        <v>140</v>
      </c>
      <c r="D22" t="s">
        <v>140</v>
      </c>
      <c r="E22" t="s">
        <v>140</v>
      </c>
      <c r="F22" t="s">
        <v>140</v>
      </c>
      <c r="G22" t="s">
        <v>140</v>
      </c>
      <c r="H22" t="s">
        <v>141</v>
      </c>
      <c r="I22" t="s">
        <v>133</v>
      </c>
      <c r="J22" t="s">
        <v>136</v>
      </c>
      <c r="K22" t="s">
        <v>136</v>
      </c>
      <c r="L22" t="s">
        <v>141</v>
      </c>
      <c r="M22" t="s">
        <v>141</v>
      </c>
      <c r="N22" t="s">
        <v>141</v>
      </c>
      <c r="O22" t="s">
        <v>141</v>
      </c>
      <c r="P22" t="s">
        <v>140</v>
      </c>
      <c r="Q22" t="s">
        <v>140</v>
      </c>
      <c r="R22" t="s">
        <v>141</v>
      </c>
      <c r="S22" t="s">
        <v>141</v>
      </c>
      <c r="T22" t="s">
        <v>136</v>
      </c>
      <c r="U22" t="s">
        <v>136</v>
      </c>
      <c r="V22" t="s">
        <v>136</v>
      </c>
      <c r="W22" t="s">
        <v>142</v>
      </c>
      <c r="X22" t="s">
        <v>136</v>
      </c>
      <c r="Y22" t="s">
        <v>133</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24</v>
      </c>
      <c r="BC22" s="136" t="str">
        <f t="shared" si="26"/>
        <v>17/09/23</v>
      </c>
      <c r="BD22" s="138">
        <f t="shared" si="27"/>
        <v>4.5</v>
      </c>
      <c r="BE22" s="138">
        <f t="shared" si="28"/>
        <v>1.5</v>
      </c>
      <c r="BF22" s="138">
        <f t="shared" si="29"/>
        <v>0</v>
      </c>
      <c r="BG22" s="138">
        <f t="shared" si="30"/>
        <v>0</v>
      </c>
      <c r="BH22" s="138">
        <f t="shared" si="31"/>
        <v>2</v>
      </c>
      <c r="BI22" s="138">
        <f t="shared" si="32"/>
        <v>0</v>
      </c>
      <c r="BJ22" s="138">
        <f t="shared" si="33"/>
        <v>0</v>
      </c>
      <c r="BK22" s="138">
        <f t="shared" si="34"/>
        <v>16</v>
      </c>
      <c r="BL22" s="138">
        <f t="shared" si="35"/>
        <v>0</v>
      </c>
      <c r="BM22" s="138">
        <f t="shared" si="36"/>
        <v>0</v>
      </c>
      <c r="BN22" s="138">
        <f t="shared" si="37"/>
        <v>0</v>
      </c>
      <c r="BO22" s="124">
        <f t="shared" si="38"/>
        <v>24</v>
      </c>
    </row>
    <row r="23" spans="1:67" ht="12.75" customHeight="1">
      <c r="A23" t="s">
        <v>364</v>
      </c>
      <c r="B23" t="s">
        <v>136</v>
      </c>
      <c r="C23" t="s">
        <v>136</v>
      </c>
      <c r="D23" t="s">
        <v>141</v>
      </c>
      <c r="E23" t="s">
        <v>141</v>
      </c>
      <c r="F23" t="s">
        <v>140</v>
      </c>
      <c r="G23" t="s">
        <v>141</v>
      </c>
      <c r="H23" t="s">
        <v>141</v>
      </c>
      <c r="I23" t="s">
        <v>136</v>
      </c>
      <c r="J23" t="s">
        <v>136</v>
      </c>
      <c r="K23" t="s">
        <v>141</v>
      </c>
      <c r="L23" t="s">
        <v>141</v>
      </c>
      <c r="M23" t="s">
        <v>350</v>
      </c>
      <c r="N23" t="s">
        <v>141</v>
      </c>
      <c r="O23" t="s">
        <v>347</v>
      </c>
      <c r="P23" t="s">
        <v>140</v>
      </c>
      <c r="Q23" t="s">
        <v>141</v>
      </c>
      <c r="R23" t="s">
        <v>141</v>
      </c>
      <c r="S23" t="s">
        <v>141</v>
      </c>
      <c r="T23" t="s">
        <v>136</v>
      </c>
      <c r="U23" t="s">
        <v>140</v>
      </c>
      <c r="V23" t="s">
        <v>344</v>
      </c>
      <c r="W23" t="s">
        <v>140</v>
      </c>
      <c r="X23" t="s">
        <v>136</v>
      </c>
      <c r="Y23" t="s">
        <v>141</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2</v>
      </c>
      <c r="AM23" s="120">
        <f t="shared" si="13"/>
        <v>1</v>
      </c>
      <c r="AN23" s="120">
        <f t="shared" si="14"/>
        <v>2</v>
      </c>
      <c r="AO23" s="120">
        <f t="shared" si="15"/>
        <v>1</v>
      </c>
      <c r="AP23" s="120">
        <f t="shared" si="16"/>
        <v>1</v>
      </c>
      <c r="AQ23" s="120">
        <f t="shared" si="17"/>
        <v>1</v>
      </c>
      <c r="AR23" s="120">
        <f t="shared" si="18"/>
        <v>1</v>
      </c>
      <c r="AS23" s="120">
        <f t="shared" si="19"/>
        <v>1</v>
      </c>
      <c r="AT23" s="120">
        <f t="shared" si="20"/>
        <v>1</v>
      </c>
      <c r="AU23" s="120">
        <f t="shared" si="21"/>
        <v>2</v>
      </c>
      <c r="AV23" s="120">
        <f t="shared" si="22"/>
        <v>1</v>
      </c>
      <c r="AW23" s="120">
        <f t="shared" si="23"/>
        <v>1</v>
      </c>
      <c r="AX23" s="120">
        <f t="shared" si="24"/>
        <v>1</v>
      </c>
      <c r="AY23" s="120">
        <f t="shared" si="25"/>
        <v>27</v>
      </c>
      <c r="BC23" s="136" t="str">
        <f t="shared" si="26"/>
        <v>18/09/23</v>
      </c>
      <c r="BD23" s="138">
        <f t="shared" si="27"/>
        <v>6</v>
      </c>
      <c r="BE23" s="138">
        <f t="shared" si="28"/>
        <v>2</v>
      </c>
      <c r="BF23" s="138">
        <f t="shared" si="29"/>
        <v>0</v>
      </c>
      <c r="BG23" s="138">
        <f t="shared" si="30"/>
        <v>0</v>
      </c>
      <c r="BH23" s="138">
        <f t="shared" si="31"/>
        <v>7</v>
      </c>
      <c r="BI23" s="138">
        <f t="shared" si="32"/>
        <v>1</v>
      </c>
      <c r="BJ23" s="138">
        <f t="shared" si="33"/>
        <v>0</v>
      </c>
      <c r="BK23" s="138">
        <f t="shared" si="34"/>
        <v>8</v>
      </c>
      <c r="BL23" s="138">
        <f t="shared" si="35"/>
        <v>0</v>
      </c>
      <c r="BM23" s="138">
        <f t="shared" si="36"/>
        <v>0</v>
      </c>
      <c r="BN23" s="138">
        <f t="shared" si="37"/>
        <v>0</v>
      </c>
      <c r="BO23" s="124">
        <f t="shared" si="38"/>
        <v>24</v>
      </c>
    </row>
    <row r="24" spans="1:67" ht="12.75" customHeight="1">
      <c r="A24" t="s">
        <v>365</v>
      </c>
      <c r="B24" t="s">
        <v>136</v>
      </c>
      <c r="C24" t="s">
        <v>141</v>
      </c>
      <c r="D24" t="s">
        <v>136</v>
      </c>
      <c r="E24" t="s">
        <v>141</v>
      </c>
      <c r="F24" t="s">
        <v>141</v>
      </c>
      <c r="G24" t="s">
        <v>136</v>
      </c>
      <c r="H24" t="s">
        <v>136</v>
      </c>
      <c r="I24" t="s">
        <v>141</v>
      </c>
      <c r="J24" t="s">
        <v>141</v>
      </c>
      <c r="K24" t="s">
        <v>141</v>
      </c>
      <c r="L24" t="s">
        <v>141</v>
      </c>
      <c r="M24" t="s">
        <v>140</v>
      </c>
      <c r="N24" t="s">
        <v>140</v>
      </c>
      <c r="O24" t="s">
        <v>140</v>
      </c>
      <c r="P24" t="s">
        <v>136</v>
      </c>
      <c r="Q24" t="s">
        <v>350</v>
      </c>
      <c r="R24" t="s">
        <v>140</v>
      </c>
      <c r="S24" t="s">
        <v>140</v>
      </c>
      <c r="T24" t="s">
        <v>141</v>
      </c>
      <c r="U24" t="s">
        <v>136</v>
      </c>
      <c r="V24" t="s">
        <v>141</v>
      </c>
      <c r="W24" t="s">
        <v>141</v>
      </c>
      <c r="X24" t="s">
        <v>345</v>
      </c>
      <c r="Y24" t="s">
        <v>136</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2</v>
      </c>
      <c r="AQ24" s="120">
        <f t="shared" si="17"/>
        <v>1</v>
      </c>
      <c r="AR24" s="120">
        <f t="shared" si="18"/>
        <v>1</v>
      </c>
      <c r="AS24" s="120">
        <f t="shared" si="19"/>
        <v>1</v>
      </c>
      <c r="AT24" s="120">
        <f t="shared" si="20"/>
        <v>1</v>
      </c>
      <c r="AU24" s="120">
        <f t="shared" si="21"/>
        <v>1</v>
      </c>
      <c r="AV24" s="120">
        <f t="shared" si="22"/>
        <v>1</v>
      </c>
      <c r="AW24" s="120">
        <f t="shared" si="23"/>
        <v>2</v>
      </c>
      <c r="AX24" s="120">
        <f t="shared" si="24"/>
        <v>1</v>
      </c>
      <c r="AY24" s="120">
        <f t="shared" si="25"/>
        <v>26</v>
      </c>
      <c r="BC24" s="136" t="str">
        <f t="shared" si="26"/>
        <v>19/09/23</v>
      </c>
      <c r="BD24" s="138">
        <f t="shared" si="27"/>
        <v>7</v>
      </c>
      <c r="BE24" s="138">
        <f t="shared" si="28"/>
        <v>0</v>
      </c>
      <c r="BF24" s="138">
        <f t="shared" si="29"/>
        <v>0</v>
      </c>
      <c r="BG24" s="138">
        <f t="shared" si="30"/>
        <v>0</v>
      </c>
      <c r="BH24" s="138">
        <f t="shared" si="31"/>
        <v>12</v>
      </c>
      <c r="BI24" s="138">
        <f t="shared" si="32"/>
        <v>0</v>
      </c>
      <c r="BJ24" s="138">
        <f t="shared" si="33"/>
        <v>0</v>
      </c>
      <c r="BK24" s="138">
        <f t="shared" si="34"/>
        <v>5</v>
      </c>
      <c r="BL24" s="138">
        <f t="shared" si="35"/>
        <v>0</v>
      </c>
      <c r="BM24" s="138">
        <f t="shared" si="36"/>
        <v>0</v>
      </c>
      <c r="BN24" s="138">
        <f t="shared" si="37"/>
        <v>0</v>
      </c>
      <c r="BO24" s="124">
        <f t="shared" si="38"/>
        <v>24</v>
      </c>
    </row>
    <row r="25" spans="1:67" ht="12.75" customHeight="1">
      <c r="A25" t="s">
        <v>366</v>
      </c>
      <c r="B25" t="s">
        <v>140</v>
      </c>
      <c r="C25" t="s">
        <v>140</v>
      </c>
      <c r="D25" t="s">
        <v>140</v>
      </c>
      <c r="E25" t="s">
        <v>140</v>
      </c>
      <c r="F25" t="s">
        <v>344</v>
      </c>
      <c r="G25" t="s">
        <v>140</v>
      </c>
      <c r="H25" t="s">
        <v>140</v>
      </c>
      <c r="I25" t="s">
        <v>141</v>
      </c>
      <c r="J25" t="s">
        <v>136</v>
      </c>
      <c r="K25" t="s">
        <v>140</v>
      </c>
      <c r="L25" t="s">
        <v>136</v>
      </c>
      <c r="M25" t="s">
        <v>136</v>
      </c>
      <c r="N25" t="s">
        <v>136</v>
      </c>
      <c r="O25" t="s">
        <v>140</v>
      </c>
      <c r="P25" t="s">
        <v>140</v>
      </c>
      <c r="Q25" t="s">
        <v>140</v>
      </c>
      <c r="R25" t="s">
        <v>136</v>
      </c>
      <c r="S25" t="s">
        <v>140</v>
      </c>
      <c r="T25" t="s">
        <v>140</v>
      </c>
      <c r="U25" t="s">
        <v>133</v>
      </c>
      <c r="V25" t="s">
        <v>140</v>
      </c>
      <c r="W25" t="s">
        <v>133</v>
      </c>
      <c r="X25" t="s">
        <v>136</v>
      </c>
      <c r="Y25" t="s">
        <v>344</v>
      </c>
      <c r="Z25" s="20" t="s">
        <v>186</v>
      </c>
      <c r="AA25" s="120">
        <f t="shared" si="1"/>
        <v>1</v>
      </c>
      <c r="AB25" s="120">
        <f t="shared" si="2"/>
        <v>1</v>
      </c>
      <c r="AC25" s="120">
        <f t="shared" si="3"/>
        <v>1</v>
      </c>
      <c r="AD25" s="120">
        <f t="shared" si="4"/>
        <v>1</v>
      </c>
      <c r="AE25" s="120">
        <f t="shared" si="5"/>
        <v>2</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2</v>
      </c>
      <c r="AY25" s="120">
        <f t="shared" si="25"/>
        <v>26</v>
      </c>
      <c r="BC25" s="136" t="str">
        <f t="shared" si="26"/>
        <v>20/09/23</v>
      </c>
      <c r="BD25" s="138">
        <f t="shared" si="27"/>
        <v>7.5</v>
      </c>
      <c r="BE25" s="138">
        <f t="shared" si="28"/>
        <v>0.5</v>
      </c>
      <c r="BF25" s="138">
        <f t="shared" si="29"/>
        <v>0</v>
      </c>
      <c r="BG25" s="138">
        <f t="shared" si="30"/>
        <v>0</v>
      </c>
      <c r="BH25" s="138">
        <f t="shared" si="31"/>
        <v>10.5</v>
      </c>
      <c r="BI25" s="138">
        <f t="shared" si="32"/>
        <v>0</v>
      </c>
      <c r="BJ25" s="138">
        <f t="shared" si="33"/>
        <v>0</v>
      </c>
      <c r="BK25" s="138">
        <f t="shared" si="34"/>
        <v>5.5</v>
      </c>
      <c r="BL25" s="138">
        <f t="shared" si="35"/>
        <v>0</v>
      </c>
      <c r="BM25" s="138">
        <f t="shared" si="36"/>
        <v>0</v>
      </c>
      <c r="BN25" s="138">
        <f t="shared" si="37"/>
        <v>0</v>
      </c>
      <c r="BO25" s="124">
        <f t="shared" si="38"/>
        <v>24</v>
      </c>
    </row>
    <row r="26" spans="1:67" ht="12.75" customHeight="1">
      <c r="A26" t="s">
        <v>367</v>
      </c>
      <c r="B26" t="s">
        <v>141</v>
      </c>
      <c r="C26" t="s">
        <v>350</v>
      </c>
      <c r="D26" t="s">
        <v>350</v>
      </c>
      <c r="E26" t="s">
        <v>136</v>
      </c>
      <c r="F26" t="s">
        <v>140</v>
      </c>
      <c r="G26" t="s">
        <v>140</v>
      </c>
      <c r="H26" t="s">
        <v>136</v>
      </c>
      <c r="I26" t="s">
        <v>136</v>
      </c>
      <c r="J26" t="s">
        <v>136</v>
      </c>
      <c r="K26" t="s">
        <v>141</v>
      </c>
      <c r="L26" t="s">
        <v>136</v>
      </c>
      <c r="M26" t="s">
        <v>140</v>
      </c>
      <c r="N26" t="s">
        <v>140</v>
      </c>
      <c r="O26" t="s">
        <v>140</v>
      </c>
      <c r="P26" t="s">
        <v>140</v>
      </c>
      <c r="Q26" t="s">
        <v>140</v>
      </c>
      <c r="R26" t="s">
        <v>140</v>
      </c>
      <c r="S26" t="s">
        <v>140</v>
      </c>
      <c r="T26" t="s">
        <v>140</v>
      </c>
      <c r="U26" t="s">
        <v>136</v>
      </c>
      <c r="V26" t="s">
        <v>140</v>
      </c>
      <c r="W26" t="s">
        <v>136</v>
      </c>
      <c r="X26" t="s">
        <v>136</v>
      </c>
      <c r="Y26" t="s">
        <v>345</v>
      </c>
      <c r="Z26" s="20" t="s">
        <v>186</v>
      </c>
      <c r="AA26" s="120">
        <f t="shared" si="1"/>
        <v>1</v>
      </c>
      <c r="AB26" s="120">
        <f t="shared" si="2"/>
        <v>2</v>
      </c>
      <c r="AC26" s="120">
        <f t="shared" si="3"/>
        <v>2</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2</v>
      </c>
      <c r="AY26" s="120">
        <f t="shared" si="25"/>
        <v>27</v>
      </c>
      <c r="BC26" s="136" t="str">
        <f t="shared" si="26"/>
        <v>21/09/23</v>
      </c>
      <c r="BD26" s="138">
        <f t="shared" si="27"/>
        <v>7</v>
      </c>
      <c r="BE26" s="138">
        <f t="shared" si="28"/>
        <v>2</v>
      </c>
      <c r="BF26" s="138">
        <f t="shared" si="29"/>
        <v>0</v>
      </c>
      <c r="BG26" s="138">
        <f t="shared" si="30"/>
        <v>0</v>
      </c>
      <c r="BH26" s="138">
        <f t="shared" si="31"/>
        <v>1</v>
      </c>
      <c r="BI26" s="138">
        <f t="shared" si="32"/>
        <v>0</v>
      </c>
      <c r="BJ26" s="138">
        <f t="shared" si="33"/>
        <v>0</v>
      </c>
      <c r="BK26" s="138">
        <f t="shared" si="34"/>
        <v>14</v>
      </c>
      <c r="BL26" s="138">
        <f t="shared" si="35"/>
        <v>0</v>
      </c>
      <c r="BM26" s="138">
        <f t="shared" si="36"/>
        <v>0</v>
      </c>
      <c r="BN26" s="138">
        <f t="shared" si="37"/>
        <v>0</v>
      </c>
      <c r="BO26" s="124">
        <f t="shared" si="38"/>
        <v>24</v>
      </c>
    </row>
    <row r="27" spans="1:67" ht="12.75" customHeight="1">
      <c r="A27" t="s">
        <v>368</v>
      </c>
      <c r="B27" t="s">
        <v>136</v>
      </c>
      <c r="C27" t="s">
        <v>136</v>
      </c>
      <c r="D27" t="s">
        <v>136</v>
      </c>
      <c r="E27" t="s">
        <v>136</v>
      </c>
      <c r="F27" t="s">
        <v>136</v>
      </c>
      <c r="G27" t="s">
        <v>136</v>
      </c>
      <c r="H27" t="s">
        <v>136</v>
      </c>
      <c r="I27" t="s">
        <v>133</v>
      </c>
      <c r="J27" t="s">
        <v>136</v>
      </c>
      <c r="K27" t="s">
        <v>136</v>
      </c>
      <c r="L27" t="s">
        <v>133</v>
      </c>
      <c r="M27" t="s">
        <v>140</v>
      </c>
      <c r="N27" t="s">
        <v>140</v>
      </c>
      <c r="O27" t="s">
        <v>140</v>
      </c>
      <c r="P27" t="s">
        <v>140</v>
      </c>
      <c r="Q27" t="s">
        <v>140</v>
      </c>
      <c r="R27" t="s">
        <v>140</v>
      </c>
      <c r="S27" t="s">
        <v>136</v>
      </c>
      <c r="T27" t="s">
        <v>136</v>
      </c>
      <c r="U27" t="s">
        <v>136</v>
      </c>
      <c r="V27" t="s">
        <v>344</v>
      </c>
      <c r="W27" t="s">
        <v>136</v>
      </c>
      <c r="X27" t="s">
        <v>136</v>
      </c>
      <c r="Y27" t="s">
        <v>136</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2</v>
      </c>
      <c r="AV27" s="120">
        <f t="shared" si="22"/>
        <v>1</v>
      </c>
      <c r="AW27" s="120">
        <f t="shared" si="23"/>
        <v>1</v>
      </c>
      <c r="AX27" s="120">
        <f t="shared" si="24"/>
        <v>1</v>
      </c>
      <c r="AY27" s="120">
        <f t="shared" si="25"/>
        <v>25</v>
      </c>
      <c r="BC27" s="136" t="str">
        <f t="shared" si="26"/>
        <v>22/09/23</v>
      </c>
      <c r="BD27" s="138">
        <f t="shared" si="27"/>
        <v>8.5</v>
      </c>
      <c r="BE27" s="138">
        <f t="shared" si="28"/>
        <v>0.5</v>
      </c>
      <c r="BF27" s="138">
        <f t="shared" si="29"/>
        <v>0</v>
      </c>
      <c r="BG27" s="138">
        <f t="shared" si="30"/>
        <v>0</v>
      </c>
      <c r="BH27" s="138">
        <f t="shared" si="31"/>
        <v>3</v>
      </c>
      <c r="BI27" s="138">
        <f t="shared" si="32"/>
        <v>0</v>
      </c>
      <c r="BJ27" s="138">
        <f t="shared" si="33"/>
        <v>0</v>
      </c>
      <c r="BK27" s="138">
        <f t="shared" si="34"/>
        <v>12</v>
      </c>
      <c r="BL27" s="138">
        <f t="shared" si="35"/>
        <v>0</v>
      </c>
      <c r="BM27" s="138">
        <f t="shared" si="36"/>
        <v>0</v>
      </c>
      <c r="BN27" s="138">
        <f t="shared" si="37"/>
        <v>0</v>
      </c>
      <c r="BO27" s="124">
        <f t="shared" si="38"/>
        <v>24</v>
      </c>
    </row>
    <row r="28" spans="1:67" ht="12.75" customHeight="1">
      <c r="A28" t="s">
        <v>369</v>
      </c>
      <c r="B28" t="s">
        <v>136</v>
      </c>
      <c r="C28" t="s">
        <v>136</v>
      </c>
      <c r="D28" t="s">
        <v>136</v>
      </c>
      <c r="E28" t="s">
        <v>141</v>
      </c>
      <c r="F28" t="s">
        <v>141</v>
      </c>
      <c r="G28" t="s">
        <v>141</v>
      </c>
      <c r="H28" t="s">
        <v>136</v>
      </c>
      <c r="I28" t="s">
        <v>136</v>
      </c>
      <c r="J28" t="s">
        <v>140</v>
      </c>
      <c r="K28" t="s">
        <v>140</v>
      </c>
      <c r="L28" t="s">
        <v>140</v>
      </c>
      <c r="M28" t="s">
        <v>140</v>
      </c>
      <c r="N28" t="s">
        <v>370</v>
      </c>
      <c r="O28" t="s">
        <v>370</v>
      </c>
      <c r="P28" t="s">
        <v>370</v>
      </c>
      <c r="Q28" t="s">
        <v>370</v>
      </c>
      <c r="R28" t="s">
        <v>140</v>
      </c>
      <c r="S28" t="s">
        <v>140</v>
      </c>
      <c r="T28" t="s">
        <v>343</v>
      </c>
      <c r="U28" t="s">
        <v>136</v>
      </c>
      <c r="V28" t="s">
        <v>136</v>
      </c>
      <c r="W28" t="s">
        <v>136</v>
      </c>
      <c r="X28" t="s">
        <v>136</v>
      </c>
      <c r="Y28" t="s">
        <v>136</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3</v>
      </c>
      <c r="AN28" s="120">
        <f t="shared" si="14"/>
        <v>3</v>
      </c>
      <c r="AO28" s="120">
        <f t="shared" si="15"/>
        <v>3</v>
      </c>
      <c r="AP28" s="120">
        <f t="shared" si="16"/>
        <v>3</v>
      </c>
      <c r="AQ28" s="120">
        <f t="shared" si="17"/>
        <v>1</v>
      </c>
      <c r="AR28" s="120">
        <f t="shared" si="18"/>
        <v>1</v>
      </c>
      <c r="AS28" s="120">
        <f t="shared" si="19"/>
        <v>2</v>
      </c>
      <c r="AT28" s="120">
        <f t="shared" si="20"/>
        <v>1</v>
      </c>
      <c r="AU28" s="120">
        <f t="shared" si="21"/>
        <v>1</v>
      </c>
      <c r="AV28" s="120">
        <f t="shared" si="22"/>
        <v>1</v>
      </c>
      <c r="AW28" s="120">
        <f t="shared" si="23"/>
        <v>1</v>
      </c>
      <c r="AX28" s="120">
        <f t="shared" si="24"/>
        <v>1</v>
      </c>
      <c r="AY28" s="120">
        <f t="shared" si="25"/>
        <v>33</v>
      </c>
      <c r="BC28" s="136" t="str">
        <f t="shared" si="26"/>
        <v>23/09/23</v>
      </c>
      <c r="BD28" s="138">
        <f t="shared" si="27"/>
        <v>15.5</v>
      </c>
      <c r="BE28" s="138">
        <f t="shared" si="28"/>
        <v>2</v>
      </c>
      <c r="BF28" s="138">
        <f t="shared" si="29"/>
        <v>0</v>
      </c>
      <c r="BG28" s="138">
        <f t="shared" si="30"/>
        <v>0</v>
      </c>
      <c r="BH28" s="138">
        <f t="shared" si="31"/>
        <v>0</v>
      </c>
      <c r="BI28" s="138">
        <f t="shared" si="32"/>
        <v>0</v>
      </c>
      <c r="BJ28" s="138">
        <f t="shared" si="33"/>
        <v>0</v>
      </c>
      <c r="BK28" s="138">
        <f t="shared" si="34"/>
        <v>6.5</v>
      </c>
      <c r="BL28" s="138">
        <f t="shared" si="35"/>
        <v>0</v>
      </c>
      <c r="BM28" s="138">
        <f t="shared" si="36"/>
        <v>0</v>
      </c>
      <c r="BN28" s="138">
        <f t="shared" si="37"/>
        <v>0</v>
      </c>
      <c r="BO28" s="124">
        <f t="shared" si="38"/>
        <v>24</v>
      </c>
    </row>
    <row r="29" spans="1:67" ht="12.75" customHeight="1">
      <c r="A29" t="s">
        <v>371</v>
      </c>
      <c r="B29" t="s">
        <v>136</v>
      </c>
      <c r="C29" t="s">
        <v>136</v>
      </c>
      <c r="D29" t="s">
        <v>141</v>
      </c>
      <c r="E29" t="s">
        <v>141</v>
      </c>
      <c r="F29" t="s">
        <v>141</v>
      </c>
      <c r="G29" t="s">
        <v>141</v>
      </c>
      <c r="H29" t="s">
        <v>372</v>
      </c>
      <c r="I29" t="s">
        <v>136</v>
      </c>
      <c r="J29" t="s">
        <v>136</v>
      </c>
      <c r="K29" t="s">
        <v>133</v>
      </c>
      <c r="L29" t="s">
        <v>141</v>
      </c>
      <c r="M29" t="s">
        <v>140</v>
      </c>
      <c r="N29" t="s">
        <v>140</v>
      </c>
      <c r="O29" t="s">
        <v>140</v>
      </c>
      <c r="P29" t="s">
        <v>140</v>
      </c>
      <c r="Q29" t="s">
        <v>141</v>
      </c>
      <c r="R29" t="s">
        <v>140</v>
      </c>
      <c r="S29" t="s">
        <v>141</v>
      </c>
      <c r="T29" t="s">
        <v>136</v>
      </c>
      <c r="U29" t="s">
        <v>136</v>
      </c>
      <c r="V29" t="s">
        <v>140</v>
      </c>
      <c r="W29" t="s">
        <v>136</v>
      </c>
      <c r="X29" t="s">
        <v>141</v>
      </c>
      <c r="Y29" t="s">
        <v>133</v>
      </c>
      <c r="Z29" s="20" t="s">
        <v>186</v>
      </c>
      <c r="AA29" s="120">
        <f t="shared" si="1"/>
        <v>1</v>
      </c>
      <c r="AB29" s="120">
        <f t="shared" si="2"/>
        <v>1</v>
      </c>
      <c r="AC29" s="120">
        <f t="shared" si="3"/>
        <v>1</v>
      </c>
      <c r="AD29" s="120">
        <f t="shared" si="4"/>
        <v>1</v>
      </c>
      <c r="AE29" s="120">
        <f t="shared" si="5"/>
        <v>1</v>
      </c>
      <c r="AF29" s="120">
        <f t="shared" si="6"/>
        <v>1</v>
      </c>
      <c r="AG29" s="120">
        <f t="shared" si="7"/>
        <v>2</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24/09/23</v>
      </c>
      <c r="BD29" s="138">
        <f t="shared" si="27"/>
        <v>11.333333333333332</v>
      </c>
      <c r="BE29" s="138">
        <f t="shared" si="28"/>
        <v>0.5</v>
      </c>
      <c r="BF29" s="138">
        <f t="shared" si="29"/>
        <v>0</v>
      </c>
      <c r="BG29" s="138">
        <f t="shared" si="30"/>
        <v>0</v>
      </c>
      <c r="BH29" s="138">
        <f t="shared" si="31"/>
        <v>3</v>
      </c>
      <c r="BI29" s="138">
        <f t="shared" si="32"/>
        <v>0</v>
      </c>
      <c r="BJ29" s="138">
        <f t="shared" si="33"/>
        <v>0</v>
      </c>
      <c r="BK29" s="138">
        <f t="shared" si="34"/>
        <v>7.8333333333333321</v>
      </c>
      <c r="BL29" s="138">
        <f t="shared" si="35"/>
        <v>0</v>
      </c>
      <c r="BM29" s="138">
        <f t="shared" si="36"/>
        <v>0</v>
      </c>
      <c r="BN29" s="138">
        <f t="shared" si="37"/>
        <v>1.3333333333333333</v>
      </c>
      <c r="BO29" s="124">
        <f t="shared" si="38"/>
        <v>23.999999999999996</v>
      </c>
    </row>
    <row r="30" spans="1:67" ht="12.75" customHeight="1">
      <c r="A30" t="s">
        <v>373</v>
      </c>
      <c r="B30" t="s">
        <v>141</v>
      </c>
      <c r="C30" t="s">
        <v>136</v>
      </c>
      <c r="D30" t="s">
        <v>140</v>
      </c>
      <c r="E30" t="s">
        <v>141</v>
      </c>
      <c r="F30" t="s">
        <v>141</v>
      </c>
      <c r="G30" t="s">
        <v>141</v>
      </c>
      <c r="H30" t="s">
        <v>141</v>
      </c>
      <c r="I30" t="s">
        <v>136</v>
      </c>
      <c r="J30" t="s">
        <v>133</v>
      </c>
      <c r="K30" t="s">
        <v>141</v>
      </c>
      <c r="L30" t="s">
        <v>140</v>
      </c>
      <c r="M30" t="s">
        <v>141</v>
      </c>
      <c r="N30" t="s">
        <v>140</v>
      </c>
      <c r="O30" t="s">
        <v>141</v>
      </c>
      <c r="P30" t="s">
        <v>140</v>
      </c>
      <c r="Q30" t="s">
        <v>140</v>
      </c>
      <c r="R30" t="s">
        <v>140</v>
      </c>
      <c r="S30" t="s">
        <v>141</v>
      </c>
      <c r="T30" t="s">
        <v>133</v>
      </c>
      <c r="U30" t="s">
        <v>136</v>
      </c>
      <c r="V30" t="s">
        <v>136</v>
      </c>
      <c r="W30" t="s">
        <v>136</v>
      </c>
      <c r="X30" t="s">
        <v>136</v>
      </c>
      <c r="Y30" t="s">
        <v>136</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25/09/23</v>
      </c>
      <c r="BD30" s="138">
        <f t="shared" si="27"/>
        <v>7</v>
      </c>
      <c r="BE30" s="138">
        <f t="shared" si="28"/>
        <v>2.5</v>
      </c>
      <c r="BF30" s="138">
        <f t="shared" si="29"/>
        <v>0</v>
      </c>
      <c r="BG30" s="138">
        <f t="shared" si="30"/>
        <v>0</v>
      </c>
      <c r="BH30" s="138">
        <f t="shared" si="31"/>
        <v>8.5</v>
      </c>
      <c r="BI30" s="138">
        <f t="shared" si="32"/>
        <v>0</v>
      </c>
      <c r="BJ30" s="138">
        <f t="shared" si="33"/>
        <v>0</v>
      </c>
      <c r="BK30" s="138">
        <f>AY293</f>
        <v>6</v>
      </c>
      <c r="BL30" s="138">
        <f t="shared" si="35"/>
        <v>0</v>
      </c>
      <c r="BM30" s="138">
        <f t="shared" si="36"/>
        <v>0</v>
      </c>
      <c r="BN30" s="138">
        <f t="shared" si="37"/>
        <v>0</v>
      </c>
      <c r="BO30" s="124">
        <f t="shared" si="38"/>
        <v>24</v>
      </c>
    </row>
    <row r="31" spans="1:67" ht="12.75" customHeight="1">
      <c r="A31" t="s">
        <v>374</v>
      </c>
      <c r="B31" t="s">
        <v>140</v>
      </c>
      <c r="C31" t="s">
        <v>141</v>
      </c>
      <c r="D31" t="s">
        <v>141</v>
      </c>
      <c r="E31" t="s">
        <v>141</v>
      </c>
      <c r="F31" t="s">
        <v>140</v>
      </c>
      <c r="G31" t="s">
        <v>140</v>
      </c>
      <c r="H31" t="s">
        <v>140</v>
      </c>
      <c r="I31" t="s">
        <v>141</v>
      </c>
      <c r="J31" t="s">
        <v>375</v>
      </c>
      <c r="K31" t="s">
        <v>136</v>
      </c>
      <c r="L31" t="s">
        <v>141</v>
      </c>
      <c r="M31" t="s">
        <v>136</v>
      </c>
      <c r="N31" t="s">
        <v>140</v>
      </c>
      <c r="O31" t="s">
        <v>141</v>
      </c>
      <c r="P31" t="s">
        <v>140</v>
      </c>
      <c r="Q31" t="s">
        <v>136</v>
      </c>
      <c r="R31" t="s">
        <v>140</v>
      </c>
      <c r="S31" t="s">
        <v>141</v>
      </c>
      <c r="T31" t="s">
        <v>140</v>
      </c>
      <c r="U31" t="s">
        <v>136</v>
      </c>
      <c r="V31" t="s">
        <v>140</v>
      </c>
      <c r="W31" t="s">
        <v>142</v>
      </c>
      <c r="X31" t="s">
        <v>136</v>
      </c>
      <c r="Y31" t="s">
        <v>141</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3</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26</v>
      </c>
      <c r="BC31" s="136" t="str">
        <f t="shared" si="26"/>
        <v>26/09/23</v>
      </c>
      <c r="BD31" s="138">
        <f t="shared" si="27"/>
        <v>7</v>
      </c>
      <c r="BE31" s="138">
        <f t="shared" si="28"/>
        <v>2</v>
      </c>
      <c r="BF31" s="138">
        <f t="shared" si="29"/>
        <v>0</v>
      </c>
      <c r="BG31" s="138">
        <f t="shared" si="30"/>
        <v>0</v>
      </c>
      <c r="BH31" s="138">
        <f t="shared" si="31"/>
        <v>9</v>
      </c>
      <c r="BI31" s="138">
        <f t="shared" si="32"/>
        <v>0</v>
      </c>
      <c r="BJ31" s="138">
        <f t="shared" si="33"/>
        <v>0</v>
      </c>
      <c r="BK31" s="138">
        <f t="shared" si="34"/>
        <v>6</v>
      </c>
      <c r="BL31" s="138">
        <f t="shared" si="35"/>
        <v>0</v>
      </c>
      <c r="BM31" s="138">
        <f t="shared" si="36"/>
        <v>0</v>
      </c>
      <c r="BN31" s="138">
        <f t="shared" si="37"/>
        <v>0</v>
      </c>
      <c r="BO31" s="124">
        <f t="shared" si="38"/>
        <v>24</v>
      </c>
    </row>
    <row r="32" spans="1:67" ht="12.75" customHeight="1">
      <c r="A32" t="s">
        <v>376</v>
      </c>
      <c r="B32" t="s">
        <v>141</v>
      </c>
      <c r="C32" t="s">
        <v>141</v>
      </c>
      <c r="D32" t="s">
        <v>141</v>
      </c>
      <c r="E32" t="s">
        <v>136</v>
      </c>
      <c r="F32" t="s">
        <v>141</v>
      </c>
      <c r="G32" t="s">
        <v>141</v>
      </c>
      <c r="H32" t="s">
        <v>141</v>
      </c>
      <c r="I32" t="s">
        <v>375</v>
      </c>
      <c r="J32" t="s">
        <v>136</v>
      </c>
      <c r="K32" t="s">
        <v>136</v>
      </c>
      <c r="L32" t="s">
        <v>140</v>
      </c>
      <c r="M32" t="s">
        <v>141</v>
      </c>
      <c r="N32" t="s">
        <v>141</v>
      </c>
      <c r="O32" t="s">
        <v>141</v>
      </c>
      <c r="P32" t="s">
        <v>141</v>
      </c>
      <c r="Q32" t="s">
        <v>141</v>
      </c>
      <c r="R32" t="s">
        <v>140</v>
      </c>
      <c r="S32" t="s">
        <v>133</v>
      </c>
      <c r="T32" t="s">
        <v>141</v>
      </c>
      <c r="U32" t="s">
        <v>136</v>
      </c>
      <c r="V32" t="s">
        <v>136</v>
      </c>
      <c r="W32" t="s">
        <v>133</v>
      </c>
      <c r="X32" t="s">
        <v>345</v>
      </c>
      <c r="Y32" t="s">
        <v>133</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3</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2</v>
      </c>
      <c r="AX32" s="120">
        <f t="shared" si="24"/>
        <v>1</v>
      </c>
      <c r="AY32" s="120">
        <f t="shared" si="25"/>
        <v>27</v>
      </c>
      <c r="BC32" s="136" t="str">
        <f t="shared" si="26"/>
        <v>27/09/23</v>
      </c>
      <c r="BD32" s="138">
        <f t="shared" si="27"/>
        <v>5.333333333333333</v>
      </c>
      <c r="BE32" s="138">
        <f t="shared" si="28"/>
        <v>0.33333333333333331</v>
      </c>
      <c r="BF32" s="138">
        <f t="shared" si="29"/>
        <v>0</v>
      </c>
      <c r="BG32" s="138">
        <f t="shared" si="30"/>
        <v>0</v>
      </c>
      <c r="BH32" s="138">
        <f t="shared" si="31"/>
        <v>8</v>
      </c>
      <c r="BI32" s="138">
        <f t="shared" si="32"/>
        <v>1</v>
      </c>
      <c r="BJ32" s="138">
        <f t="shared" si="33"/>
        <v>0</v>
      </c>
      <c r="BK32" s="138">
        <f t="shared" si="34"/>
        <v>9.3333333333333321</v>
      </c>
      <c r="BL32" s="138">
        <f t="shared" si="35"/>
        <v>0</v>
      </c>
      <c r="BM32" s="138">
        <f t="shared" si="36"/>
        <v>0</v>
      </c>
      <c r="BN32" s="138">
        <f t="shared" si="37"/>
        <v>0</v>
      </c>
      <c r="BO32" s="124">
        <f t="shared" si="38"/>
        <v>24</v>
      </c>
    </row>
    <row r="33" spans="1:67" ht="12.75" customHeight="1">
      <c r="A33" t="s">
        <v>377</v>
      </c>
      <c r="B33" t="s">
        <v>141</v>
      </c>
      <c r="C33" t="s">
        <v>141</v>
      </c>
      <c r="D33" t="s">
        <v>141</v>
      </c>
      <c r="E33" t="s">
        <v>141</v>
      </c>
      <c r="F33" t="s">
        <v>141</v>
      </c>
      <c r="G33" t="s">
        <v>140</v>
      </c>
      <c r="H33" t="s">
        <v>136</v>
      </c>
      <c r="I33" t="s">
        <v>136</v>
      </c>
      <c r="J33" t="s">
        <v>136</v>
      </c>
      <c r="K33" t="s">
        <v>141</v>
      </c>
      <c r="L33" t="s">
        <v>136</v>
      </c>
      <c r="M33" t="s">
        <v>141</v>
      </c>
      <c r="N33" t="s">
        <v>140</v>
      </c>
      <c r="O33" t="s">
        <v>140</v>
      </c>
      <c r="P33" t="s">
        <v>141</v>
      </c>
      <c r="Q33" t="s">
        <v>141</v>
      </c>
      <c r="R33" t="s">
        <v>141</v>
      </c>
      <c r="S33" t="s">
        <v>350</v>
      </c>
      <c r="T33" t="s">
        <v>141</v>
      </c>
      <c r="U33" t="s">
        <v>140</v>
      </c>
      <c r="V33" t="s">
        <v>136</v>
      </c>
      <c r="W33" t="s">
        <v>136</v>
      </c>
      <c r="X33" t="s">
        <v>141</v>
      </c>
      <c r="Y33" t="s">
        <v>141</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2</v>
      </c>
      <c r="AS33" s="120">
        <f t="shared" si="19"/>
        <v>1</v>
      </c>
      <c r="AT33" s="120">
        <f t="shared" si="20"/>
        <v>1</v>
      </c>
      <c r="AU33" s="120">
        <f t="shared" si="21"/>
        <v>1</v>
      </c>
      <c r="AV33" s="120">
        <f t="shared" si="22"/>
        <v>1</v>
      </c>
      <c r="AW33" s="120">
        <f t="shared" si="23"/>
        <v>1</v>
      </c>
      <c r="AX33" s="120">
        <f t="shared" si="24"/>
        <v>1</v>
      </c>
      <c r="AY33" s="120">
        <f t="shared" si="25"/>
        <v>25</v>
      </c>
      <c r="BC33" s="136" t="str">
        <f t="shared" si="26"/>
        <v>28/09/23</v>
      </c>
      <c r="BD33" s="138">
        <f t="shared" si="27"/>
        <v>5.833333333333333</v>
      </c>
      <c r="BE33" s="138">
        <f t="shared" si="28"/>
        <v>3.833333333333333</v>
      </c>
      <c r="BF33" s="138">
        <f t="shared" si="29"/>
        <v>0</v>
      </c>
      <c r="BG33" s="138">
        <f t="shared" si="30"/>
        <v>0</v>
      </c>
      <c r="BH33" s="138">
        <f t="shared" si="31"/>
        <v>12</v>
      </c>
      <c r="BI33" s="138">
        <f t="shared" si="32"/>
        <v>0</v>
      </c>
      <c r="BJ33" s="138">
        <f t="shared" si="33"/>
        <v>0</v>
      </c>
      <c r="BK33" s="138">
        <f t="shared" si="34"/>
        <v>2.333333333333333</v>
      </c>
      <c r="BL33" s="138">
        <f t="shared" si="35"/>
        <v>0</v>
      </c>
      <c r="BM33" s="138">
        <f t="shared" si="36"/>
        <v>0</v>
      </c>
      <c r="BN33" s="138">
        <f t="shared" si="37"/>
        <v>0</v>
      </c>
      <c r="BO33" s="124">
        <f t="shared" si="38"/>
        <v>23.999999999999996</v>
      </c>
    </row>
    <row r="34" spans="1:67" ht="12.75" customHeight="1">
      <c r="A34" t="s">
        <v>378</v>
      </c>
      <c r="B34" t="s">
        <v>136</v>
      </c>
      <c r="C34" t="s">
        <v>136</v>
      </c>
      <c r="D34" t="s">
        <v>140</v>
      </c>
      <c r="E34" t="s">
        <v>141</v>
      </c>
      <c r="F34" t="s">
        <v>141</v>
      </c>
      <c r="G34" t="s">
        <v>136</v>
      </c>
      <c r="H34" t="s">
        <v>372</v>
      </c>
      <c r="I34" t="s">
        <v>140</v>
      </c>
      <c r="J34" t="s">
        <v>372</v>
      </c>
      <c r="K34" t="s">
        <v>140</v>
      </c>
      <c r="L34" t="s">
        <v>136</v>
      </c>
      <c r="M34" t="s">
        <v>140</v>
      </c>
      <c r="N34" t="s">
        <v>140</v>
      </c>
      <c r="O34" t="s">
        <v>140</v>
      </c>
      <c r="P34" t="s">
        <v>136</v>
      </c>
      <c r="Q34" t="s">
        <v>136</v>
      </c>
      <c r="R34" t="s">
        <v>140</v>
      </c>
      <c r="S34" t="s">
        <v>140</v>
      </c>
      <c r="T34" t="s">
        <v>372</v>
      </c>
      <c r="U34" t="s">
        <v>136</v>
      </c>
      <c r="V34" t="s">
        <v>136</v>
      </c>
      <c r="W34" t="s">
        <v>136</v>
      </c>
      <c r="X34" t="s">
        <v>136</v>
      </c>
      <c r="Y34" t="s">
        <v>136</v>
      </c>
      <c r="AA34" s="120">
        <f t="shared" si="1"/>
        <v>1</v>
      </c>
      <c r="AB34" s="120">
        <f t="shared" si="2"/>
        <v>1</v>
      </c>
      <c r="AC34" s="120">
        <f t="shared" si="3"/>
        <v>1</v>
      </c>
      <c r="AD34" s="120">
        <f t="shared" si="4"/>
        <v>1</v>
      </c>
      <c r="AE34" s="120">
        <f t="shared" si="5"/>
        <v>1</v>
      </c>
      <c r="AF34" s="120">
        <f t="shared" si="6"/>
        <v>1</v>
      </c>
      <c r="AG34" s="120">
        <f t="shared" si="7"/>
        <v>2</v>
      </c>
      <c r="AH34" s="120">
        <f t="shared" si="8"/>
        <v>1</v>
      </c>
      <c r="AI34" s="120">
        <f t="shared" si="9"/>
        <v>2</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2</v>
      </c>
      <c r="AT34" s="120">
        <f t="shared" si="20"/>
        <v>1</v>
      </c>
      <c r="AU34" s="120">
        <f t="shared" si="21"/>
        <v>1</v>
      </c>
      <c r="AV34" s="120">
        <f t="shared" si="22"/>
        <v>1</v>
      </c>
      <c r="AW34" s="120">
        <f t="shared" si="23"/>
        <v>1</v>
      </c>
      <c r="AX34" s="120">
        <f t="shared" si="24"/>
        <v>1</v>
      </c>
      <c r="AY34" s="120">
        <f t="shared" si="25"/>
        <v>27</v>
      </c>
      <c r="BC34" s="136" t="str">
        <f t="shared" si="26"/>
        <v>29/09/23</v>
      </c>
      <c r="BD34" s="138">
        <f t="shared" si="27"/>
        <v>6</v>
      </c>
      <c r="BE34" s="138">
        <f t="shared" si="28"/>
        <v>0</v>
      </c>
      <c r="BF34" s="138">
        <f t="shared" si="29"/>
        <v>0</v>
      </c>
      <c r="BG34" s="138">
        <f t="shared" si="30"/>
        <v>0</v>
      </c>
      <c r="BH34" s="138">
        <f t="shared" si="31"/>
        <v>13.5</v>
      </c>
      <c r="BI34" s="138">
        <f t="shared" si="32"/>
        <v>0</v>
      </c>
      <c r="BJ34" s="138">
        <f t="shared" si="33"/>
        <v>0</v>
      </c>
      <c r="BK34" s="138">
        <f t="shared" si="34"/>
        <v>4.5</v>
      </c>
      <c r="BL34" s="138">
        <f t="shared" si="35"/>
        <v>0</v>
      </c>
      <c r="BM34" s="138">
        <f t="shared" si="36"/>
        <v>0</v>
      </c>
      <c r="BN34" s="138">
        <f t="shared" si="37"/>
        <v>0</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30/09/23</v>
      </c>
      <c r="BD35" s="138">
        <f>AY166</f>
        <v>11</v>
      </c>
      <c r="BE35" s="138">
        <f t="shared" si="28"/>
        <v>1.5</v>
      </c>
      <c r="BF35" s="138">
        <f t="shared" si="29"/>
        <v>0</v>
      </c>
      <c r="BG35" s="138">
        <f t="shared" si="30"/>
        <v>0</v>
      </c>
      <c r="BH35" s="138">
        <f t="shared" si="31"/>
        <v>3.5</v>
      </c>
      <c r="BI35" s="138">
        <f t="shared" si="32"/>
        <v>0</v>
      </c>
      <c r="BJ35" s="138">
        <f t="shared" si="33"/>
        <v>0</v>
      </c>
      <c r="BK35" s="138">
        <f t="shared" si="34"/>
        <v>8</v>
      </c>
      <c r="BL35" s="138">
        <f t="shared" si="35"/>
        <v>0</v>
      </c>
      <c r="BM35" s="138">
        <f t="shared" si="36"/>
        <v>0</v>
      </c>
      <c r="BN35" s="138">
        <f t="shared" si="37"/>
        <v>0</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70"/>
      <c r="BE37" s="271"/>
      <c r="BF37" s="271"/>
      <c r="BG37" s="271"/>
      <c r="BH37" s="271"/>
      <c r="BI37" s="271"/>
      <c r="BJ37" s="271"/>
      <c r="BK37" s="271"/>
      <c r="BL37" s="271"/>
      <c r="BM37" s="272"/>
      <c r="BN37" s="213"/>
      <c r="BO37" s="124"/>
    </row>
    <row r="38" spans="1:67">
      <c r="A38" s="120" t="s">
        <v>145</v>
      </c>
      <c r="B38" s="120">
        <f>IF(IFERROR(FIND($A$37,B5,1),0)=0,0,1)</f>
        <v>1</v>
      </c>
      <c r="C38" s="120">
        <f>IF(IFERROR(FIND($A$37,C5,1),0)=0,0,1)</f>
        <v>1</v>
      </c>
      <c r="D38" s="120">
        <f t="shared" ref="D38:Y38" si="50">IF(IFERROR(FIND($A$37,D5,1),0)=0,0,1)</f>
        <v>0</v>
      </c>
      <c r="E38" s="120">
        <f t="shared" si="50"/>
        <v>0</v>
      </c>
      <c r="F38" s="120">
        <f t="shared" si="50"/>
        <v>0</v>
      </c>
      <c r="G38" s="120">
        <f t="shared" si="50"/>
        <v>0</v>
      </c>
      <c r="H38" s="120">
        <f t="shared" si="50"/>
        <v>0</v>
      </c>
      <c r="I38" s="120">
        <f t="shared" si="50"/>
        <v>1</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1</v>
      </c>
      <c r="AA38" s="120">
        <f>IF(B38=0,0,B38/AA5)</f>
        <v>1</v>
      </c>
      <c r="AB38" s="120">
        <f t="shared" ref="AA38:AX48" si="51">IF(C38=0,0,C38/AB5)</f>
        <v>1</v>
      </c>
      <c r="AC38" s="120">
        <f t="shared" si="51"/>
        <v>0</v>
      </c>
      <c r="AD38" s="120">
        <f t="shared" si="51"/>
        <v>0</v>
      </c>
      <c r="AE38" s="120">
        <f t="shared" si="51"/>
        <v>0</v>
      </c>
      <c r="AF38" s="120">
        <f t="shared" si="51"/>
        <v>0</v>
      </c>
      <c r="AG38" s="120">
        <f t="shared" si="51"/>
        <v>0</v>
      </c>
      <c r="AH38" s="120">
        <f t="shared" si="51"/>
        <v>1</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1</v>
      </c>
      <c r="AY38" s="120">
        <f t="shared" ref="AY38:AY68" si="52">SUM(AA38:AX38)</f>
        <v>4</v>
      </c>
      <c r="AZ38" s="20" t="s">
        <v>133</v>
      </c>
      <c r="BD38" s="137">
        <f>(100-SUM(BE38:BN38))</f>
        <v>31.7361111111111</v>
      </c>
      <c r="BE38" s="137">
        <f>(BE39/BO39)*100</f>
        <v>7.9398148148148149</v>
      </c>
      <c r="BF38" s="137">
        <f>(BF39/BO39)*100</f>
        <v>0</v>
      </c>
      <c r="BG38" s="137">
        <f>(BG39/BO39)*100</f>
        <v>0</v>
      </c>
      <c r="BH38" s="137">
        <f>(BH39/BO39)*100</f>
        <v>28.611111111111111</v>
      </c>
      <c r="BI38" s="137">
        <f>(BI39/BO39)*100</f>
        <v>0.27777777777777779</v>
      </c>
      <c r="BJ38" s="137">
        <f>(BJ39/BO39)*100</f>
        <v>0</v>
      </c>
      <c r="BK38" s="137">
        <f>(BK39/BO39)*100</f>
        <v>31.250000000000007</v>
      </c>
      <c r="BL38" s="125">
        <f>(BL39/BO39)*100</f>
        <v>0</v>
      </c>
      <c r="BM38" s="125">
        <f>(BM39/BO39)*100</f>
        <v>0</v>
      </c>
      <c r="BN38" s="137">
        <f>(BN39/BO39)*100</f>
        <v>0.18518518518518517</v>
      </c>
      <c r="BO38" s="124">
        <f>SUM(BD38:BN38)</f>
        <v>100</v>
      </c>
    </row>
    <row r="39" spans="1:67">
      <c r="A39" s="120" t="s">
        <v>146</v>
      </c>
      <c r="B39" s="120">
        <f t="shared" ref="B39:Y39" si="53">IF(IFERROR(FIND($A$37,B6,1),0)=0,0,1)</f>
        <v>0</v>
      </c>
      <c r="C39" s="120">
        <f t="shared" si="53"/>
        <v>0</v>
      </c>
      <c r="D39" s="120">
        <f t="shared" si="53"/>
        <v>1</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1</v>
      </c>
      <c r="U39" s="120">
        <f t="shared" si="53"/>
        <v>0</v>
      </c>
      <c r="V39" s="120">
        <f t="shared" si="53"/>
        <v>0</v>
      </c>
      <c r="W39" s="120">
        <f t="shared" si="53"/>
        <v>0</v>
      </c>
      <c r="X39" s="120">
        <f t="shared" si="53"/>
        <v>0</v>
      </c>
      <c r="Y39" s="120">
        <f t="shared" si="53"/>
        <v>0</v>
      </c>
      <c r="AA39" s="120">
        <f t="shared" si="51"/>
        <v>0</v>
      </c>
      <c r="AB39" s="120">
        <f t="shared" si="51"/>
        <v>0</v>
      </c>
      <c r="AC39" s="120">
        <f t="shared" si="51"/>
        <v>0.5</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0.5</v>
      </c>
      <c r="AT39" s="120">
        <f t="shared" si="51"/>
        <v>0</v>
      </c>
      <c r="AU39" s="120">
        <f t="shared" si="51"/>
        <v>0</v>
      </c>
      <c r="AV39" s="120">
        <f t="shared" si="51"/>
        <v>0</v>
      </c>
      <c r="AW39" s="120">
        <f t="shared" si="51"/>
        <v>0</v>
      </c>
      <c r="AX39" s="120">
        <f t="shared" si="51"/>
        <v>0</v>
      </c>
      <c r="AY39" s="120">
        <f t="shared" si="52"/>
        <v>1</v>
      </c>
      <c r="AZ39" s="20" t="s">
        <v>133</v>
      </c>
      <c r="BD39" s="126">
        <f>SUM(BD6:BD36)</f>
        <v>228.50000000000003</v>
      </c>
      <c r="BE39" s="126">
        <f t="shared" ref="BE39:BM39" si="54">SUM(BE6:BE36)</f>
        <v>57.166666666666671</v>
      </c>
      <c r="BF39" s="126">
        <f t="shared" si="54"/>
        <v>0</v>
      </c>
      <c r="BG39" s="126">
        <f t="shared" si="54"/>
        <v>0</v>
      </c>
      <c r="BH39" s="126">
        <f t="shared" si="54"/>
        <v>206</v>
      </c>
      <c r="BI39" s="126">
        <f t="shared" si="54"/>
        <v>2</v>
      </c>
      <c r="BJ39" s="126">
        <f t="shared" si="54"/>
        <v>0</v>
      </c>
      <c r="BK39" s="126">
        <f>SUM(BK6:BK36)</f>
        <v>225.00000000000003</v>
      </c>
      <c r="BL39" s="126">
        <f t="shared" si="54"/>
        <v>0</v>
      </c>
      <c r="BM39" s="126">
        <f t="shared" si="54"/>
        <v>0</v>
      </c>
      <c r="BN39" s="126">
        <f>SUM(BN6:BN36)</f>
        <v>1.3333333333333333</v>
      </c>
      <c r="BO39" s="127">
        <f>SUM(BO6:BO36)</f>
        <v>720</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1</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1</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0</v>
      </c>
      <c r="AX40" s="120">
        <f t="shared" si="51"/>
        <v>0</v>
      </c>
      <c r="AY40" s="120">
        <f t="shared" si="52"/>
        <v>1</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1</v>
      </c>
      <c r="J41" s="120">
        <f t="shared" si="56"/>
        <v>1</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1</v>
      </c>
      <c r="V41" s="120">
        <f t="shared" si="56"/>
        <v>0</v>
      </c>
      <c r="W41" s="120">
        <f t="shared" si="56"/>
        <v>0</v>
      </c>
      <c r="X41" s="120">
        <f t="shared" si="56"/>
        <v>1</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1</v>
      </c>
      <c r="AI41" s="120">
        <f t="shared" si="51"/>
        <v>1</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1</v>
      </c>
      <c r="AU41" s="120">
        <f t="shared" si="51"/>
        <v>0</v>
      </c>
      <c r="AV41" s="120">
        <f t="shared" si="51"/>
        <v>0</v>
      </c>
      <c r="AW41" s="120">
        <f t="shared" si="51"/>
        <v>1</v>
      </c>
      <c r="AX41" s="120">
        <f t="shared" si="51"/>
        <v>0</v>
      </c>
      <c r="AY41" s="120">
        <f t="shared" si="52"/>
        <v>4</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1</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1</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1</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1</v>
      </c>
      <c r="I43" s="120">
        <f t="shared" si="58"/>
        <v>0</v>
      </c>
      <c r="J43" s="120">
        <f t="shared" si="58"/>
        <v>0</v>
      </c>
      <c r="K43" s="120">
        <f t="shared" si="58"/>
        <v>1</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0</v>
      </c>
      <c r="X43" s="120">
        <f t="shared" si="58"/>
        <v>0</v>
      </c>
      <c r="Y43" s="120">
        <f t="shared" si="58"/>
        <v>0</v>
      </c>
      <c r="AA43" s="120">
        <f t="shared" si="51"/>
        <v>0</v>
      </c>
      <c r="AB43" s="120">
        <f t="shared" si="51"/>
        <v>0</v>
      </c>
      <c r="AC43" s="120">
        <f t="shared" si="51"/>
        <v>0</v>
      </c>
      <c r="AD43" s="120">
        <f t="shared" si="51"/>
        <v>0</v>
      </c>
      <c r="AE43" s="120">
        <f t="shared" si="51"/>
        <v>0</v>
      </c>
      <c r="AF43" s="120">
        <f t="shared" si="51"/>
        <v>0</v>
      </c>
      <c r="AG43" s="120">
        <f t="shared" si="51"/>
        <v>0.5</v>
      </c>
      <c r="AH43" s="120">
        <f t="shared" si="51"/>
        <v>0</v>
      </c>
      <c r="AI43" s="120">
        <f t="shared" si="51"/>
        <v>0</v>
      </c>
      <c r="AJ43" s="120">
        <f t="shared" si="51"/>
        <v>0.5</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0</v>
      </c>
      <c r="AW43" s="120">
        <f t="shared" si="51"/>
        <v>0</v>
      </c>
      <c r="AX43" s="120">
        <f t="shared" si="51"/>
        <v>0</v>
      </c>
      <c r="AY43" s="120">
        <f t="shared" si="52"/>
        <v>1</v>
      </c>
      <c r="AZ43" s="20" t="s">
        <v>133</v>
      </c>
    </row>
    <row r="44" spans="1:67">
      <c r="A44" s="120" t="s">
        <v>151</v>
      </c>
      <c r="B44" s="120">
        <f t="shared" ref="B44:Y44" si="59">IF(IFERROR(FIND($A$37,B11,1),0)=0,0,1)</f>
        <v>0</v>
      </c>
      <c r="C44" s="120">
        <f t="shared" si="59"/>
        <v>0</v>
      </c>
      <c r="D44" s="120">
        <f t="shared" si="59"/>
        <v>0</v>
      </c>
      <c r="E44" s="120">
        <f t="shared" si="59"/>
        <v>0</v>
      </c>
      <c r="F44" s="120">
        <f t="shared" si="59"/>
        <v>1</v>
      </c>
      <c r="G44" s="120">
        <f t="shared" si="59"/>
        <v>1</v>
      </c>
      <c r="H44" s="120">
        <f t="shared" si="59"/>
        <v>1</v>
      </c>
      <c r="I44" s="120">
        <f t="shared" si="59"/>
        <v>0</v>
      </c>
      <c r="J44" s="120">
        <f t="shared" si="59"/>
        <v>0</v>
      </c>
      <c r="K44" s="120">
        <f t="shared" si="59"/>
        <v>0</v>
      </c>
      <c r="L44" s="120">
        <f t="shared" si="59"/>
        <v>1</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1</v>
      </c>
      <c r="V44" s="120">
        <f t="shared" si="59"/>
        <v>0</v>
      </c>
      <c r="W44" s="120">
        <f t="shared" si="59"/>
        <v>0</v>
      </c>
      <c r="X44" s="120">
        <f t="shared" si="59"/>
        <v>1</v>
      </c>
      <c r="Y44" s="120">
        <f t="shared" si="59"/>
        <v>1</v>
      </c>
      <c r="AA44" s="120">
        <f t="shared" si="51"/>
        <v>0</v>
      </c>
      <c r="AB44" s="120">
        <f t="shared" si="51"/>
        <v>0</v>
      </c>
      <c r="AC44" s="120">
        <f t="shared" si="51"/>
        <v>0</v>
      </c>
      <c r="AD44" s="120">
        <f t="shared" si="51"/>
        <v>0</v>
      </c>
      <c r="AE44" s="120">
        <f t="shared" si="51"/>
        <v>0.5</v>
      </c>
      <c r="AF44" s="120">
        <f t="shared" si="51"/>
        <v>0.5</v>
      </c>
      <c r="AG44" s="120">
        <f t="shared" si="51"/>
        <v>1</v>
      </c>
      <c r="AH44" s="120">
        <f t="shared" si="51"/>
        <v>0</v>
      </c>
      <c r="AI44" s="120">
        <f t="shared" si="51"/>
        <v>0</v>
      </c>
      <c r="AJ44" s="120">
        <f t="shared" si="51"/>
        <v>0</v>
      </c>
      <c r="AK44" s="120">
        <f t="shared" si="51"/>
        <v>1</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1</v>
      </c>
      <c r="AU44" s="120">
        <f t="shared" si="51"/>
        <v>0</v>
      </c>
      <c r="AV44" s="120">
        <f t="shared" si="51"/>
        <v>0</v>
      </c>
      <c r="AW44" s="120">
        <f t="shared" si="51"/>
        <v>0.5</v>
      </c>
      <c r="AX44" s="120">
        <f t="shared" si="51"/>
        <v>1</v>
      </c>
      <c r="AY44" s="120">
        <f t="shared" si="52"/>
        <v>5.5</v>
      </c>
      <c r="AZ44" s="20" t="s">
        <v>133</v>
      </c>
    </row>
    <row r="45" spans="1:67">
      <c r="A45" s="120" t="s">
        <v>152</v>
      </c>
      <c r="B45" s="120">
        <f t="shared" ref="B45:Y45" si="60">IF(IFERROR(FIND($A$37,B12,1),0)=0,0,1)</f>
        <v>0</v>
      </c>
      <c r="C45" s="120">
        <f t="shared" si="60"/>
        <v>0</v>
      </c>
      <c r="D45" s="120">
        <f t="shared" si="60"/>
        <v>1</v>
      </c>
      <c r="E45" s="120">
        <f t="shared" si="60"/>
        <v>0</v>
      </c>
      <c r="F45" s="120">
        <f t="shared" si="60"/>
        <v>0</v>
      </c>
      <c r="G45" s="120">
        <f t="shared" si="60"/>
        <v>0</v>
      </c>
      <c r="H45" s="120">
        <f t="shared" si="60"/>
        <v>1</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1</v>
      </c>
      <c r="V45" s="120">
        <f t="shared" si="60"/>
        <v>0</v>
      </c>
      <c r="W45" s="120">
        <f t="shared" si="60"/>
        <v>1</v>
      </c>
      <c r="X45" s="120">
        <f t="shared" si="60"/>
        <v>0</v>
      </c>
      <c r="Y45" s="120">
        <f t="shared" si="60"/>
        <v>0</v>
      </c>
      <c r="AA45" s="120">
        <f t="shared" si="51"/>
        <v>0</v>
      </c>
      <c r="AB45" s="120">
        <f t="shared" si="51"/>
        <v>0</v>
      </c>
      <c r="AC45" s="120">
        <f t="shared" si="51"/>
        <v>1</v>
      </c>
      <c r="AD45" s="120">
        <f t="shared" si="51"/>
        <v>0</v>
      </c>
      <c r="AE45" s="120">
        <f t="shared" si="51"/>
        <v>0</v>
      </c>
      <c r="AF45" s="120">
        <f t="shared" si="51"/>
        <v>0</v>
      </c>
      <c r="AG45" s="120">
        <f t="shared" si="51"/>
        <v>1</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1</v>
      </c>
      <c r="AU45" s="120">
        <f t="shared" si="51"/>
        <v>0</v>
      </c>
      <c r="AV45" s="120">
        <f t="shared" si="51"/>
        <v>1</v>
      </c>
      <c r="AW45" s="120">
        <f t="shared" si="51"/>
        <v>0</v>
      </c>
      <c r="AX45" s="120">
        <f t="shared" si="51"/>
        <v>0</v>
      </c>
      <c r="AY45" s="120">
        <f t="shared" si="52"/>
        <v>4</v>
      </c>
      <c r="AZ45" s="20" t="s">
        <v>133</v>
      </c>
    </row>
    <row r="46" spans="1:67">
      <c r="A46" s="120" t="s">
        <v>153</v>
      </c>
      <c r="B46" s="120">
        <f t="shared" ref="B46:Y46" si="61">IF(IFERROR(FIND($A$37,B13,1),0)=0,0,1)</f>
        <v>1</v>
      </c>
      <c r="C46" s="120">
        <f t="shared" si="61"/>
        <v>0</v>
      </c>
      <c r="D46" s="120">
        <f t="shared" si="61"/>
        <v>0</v>
      </c>
      <c r="E46" s="120">
        <f t="shared" si="61"/>
        <v>0</v>
      </c>
      <c r="F46" s="120">
        <f t="shared" si="61"/>
        <v>0</v>
      </c>
      <c r="G46" s="120">
        <f t="shared" si="61"/>
        <v>0</v>
      </c>
      <c r="H46" s="120">
        <f t="shared" si="61"/>
        <v>1</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1</v>
      </c>
      <c r="V46" s="120">
        <f t="shared" si="61"/>
        <v>0</v>
      </c>
      <c r="W46" s="120">
        <f t="shared" si="61"/>
        <v>0</v>
      </c>
      <c r="X46" s="120">
        <f t="shared" si="61"/>
        <v>0</v>
      </c>
      <c r="Y46" s="120">
        <f t="shared" si="61"/>
        <v>1</v>
      </c>
      <c r="AA46" s="120">
        <f t="shared" si="51"/>
        <v>1</v>
      </c>
      <c r="AB46" s="120">
        <f t="shared" si="51"/>
        <v>0</v>
      </c>
      <c r="AC46" s="120">
        <f t="shared" si="51"/>
        <v>0</v>
      </c>
      <c r="AD46" s="120">
        <f t="shared" si="51"/>
        <v>0</v>
      </c>
      <c r="AE46" s="120">
        <f t="shared" si="51"/>
        <v>0</v>
      </c>
      <c r="AF46" s="120">
        <f t="shared" si="51"/>
        <v>0</v>
      </c>
      <c r="AG46" s="120">
        <f t="shared" si="51"/>
        <v>1</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1</v>
      </c>
      <c r="AU46" s="120">
        <f t="shared" si="51"/>
        <v>0</v>
      </c>
      <c r="AV46" s="120">
        <f t="shared" si="51"/>
        <v>0</v>
      </c>
      <c r="AW46" s="120">
        <f t="shared" si="51"/>
        <v>0</v>
      </c>
      <c r="AX46" s="120">
        <f t="shared" si="51"/>
        <v>1</v>
      </c>
      <c r="AY46" s="120">
        <f t="shared" si="52"/>
        <v>4</v>
      </c>
      <c r="AZ46" s="20" t="s">
        <v>133</v>
      </c>
    </row>
    <row r="47" spans="1:67">
      <c r="A47" s="120" t="s">
        <v>154</v>
      </c>
      <c r="B47" s="120">
        <f t="shared" ref="B47:Y47" si="62">IF(IFERROR(FIND($A$37,B14,1),0)=0,0,1)</f>
        <v>1</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1</v>
      </c>
      <c r="X47" s="120">
        <f t="shared" si="62"/>
        <v>1</v>
      </c>
      <c r="Y47" s="120">
        <f t="shared" si="62"/>
        <v>0</v>
      </c>
      <c r="AA47" s="120">
        <f t="shared" si="51"/>
        <v>1</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1</v>
      </c>
      <c r="AW47" s="120">
        <f t="shared" si="51"/>
        <v>1</v>
      </c>
      <c r="AX47" s="120">
        <f t="shared" si="51"/>
        <v>0</v>
      </c>
      <c r="AY47" s="120">
        <f t="shared" si="52"/>
        <v>3</v>
      </c>
      <c r="AZ47" s="20" t="s">
        <v>133</v>
      </c>
    </row>
    <row r="48" spans="1:67">
      <c r="A48" s="120" t="s">
        <v>155</v>
      </c>
      <c r="B48" s="120">
        <f t="shared" ref="B48:Y48" si="63">IF(IFERROR(FIND($A$37,B15,1),0)=0,0,1)</f>
        <v>0</v>
      </c>
      <c r="C48" s="120">
        <f t="shared" si="63"/>
        <v>0</v>
      </c>
      <c r="D48" s="120">
        <f t="shared" si="63"/>
        <v>1</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1</v>
      </c>
      <c r="U48" s="120">
        <f t="shared" si="63"/>
        <v>0</v>
      </c>
      <c r="V48" s="120">
        <f t="shared" si="63"/>
        <v>0</v>
      </c>
      <c r="W48" s="120">
        <f t="shared" si="63"/>
        <v>0</v>
      </c>
      <c r="X48" s="120">
        <f t="shared" si="63"/>
        <v>1</v>
      </c>
      <c r="Y48" s="120">
        <f t="shared" si="63"/>
        <v>0</v>
      </c>
      <c r="AA48" s="120">
        <f t="shared" si="51"/>
        <v>0</v>
      </c>
      <c r="AB48" s="120">
        <f t="shared" si="51"/>
        <v>0</v>
      </c>
      <c r="AC48" s="120">
        <f t="shared" si="51"/>
        <v>1</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0.5</v>
      </c>
      <c r="AT48" s="120">
        <f t="shared" si="64"/>
        <v>0</v>
      </c>
      <c r="AU48" s="120">
        <f t="shared" si="64"/>
        <v>0</v>
      </c>
      <c r="AV48" s="120">
        <f t="shared" si="64"/>
        <v>0</v>
      </c>
      <c r="AW48" s="120">
        <f t="shared" si="64"/>
        <v>1</v>
      </c>
      <c r="AX48" s="120">
        <f t="shared" si="64"/>
        <v>0</v>
      </c>
      <c r="AY48" s="120">
        <f t="shared" si="52"/>
        <v>2.5</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1</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1</v>
      </c>
      <c r="AW49" s="120">
        <f t="shared" si="64"/>
        <v>0</v>
      </c>
      <c r="AX49" s="120">
        <f t="shared" si="64"/>
        <v>0</v>
      </c>
      <c r="AY49" s="120">
        <f t="shared" si="52"/>
        <v>1</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1</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1</v>
      </c>
      <c r="AU50" s="120">
        <f t="shared" si="64"/>
        <v>0</v>
      </c>
      <c r="AV50" s="120">
        <f t="shared" si="64"/>
        <v>0</v>
      </c>
      <c r="AW50" s="120">
        <f t="shared" si="64"/>
        <v>0</v>
      </c>
      <c r="AX50" s="120">
        <f t="shared" si="64"/>
        <v>0</v>
      </c>
      <c r="AY50" s="120">
        <f t="shared" si="52"/>
        <v>1</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1</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1</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1</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1</v>
      </c>
      <c r="I52" s="120">
        <f t="shared" si="69"/>
        <v>0</v>
      </c>
      <c r="J52" s="120">
        <f t="shared" si="69"/>
        <v>1</v>
      </c>
      <c r="K52" s="120">
        <f t="shared" si="69"/>
        <v>0</v>
      </c>
      <c r="L52" s="120">
        <f t="shared" si="69"/>
        <v>1</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0</v>
      </c>
      <c r="Y52" s="120">
        <f t="shared" si="69"/>
        <v>0</v>
      </c>
      <c r="AA52" s="120">
        <f t="shared" si="66"/>
        <v>0</v>
      </c>
      <c r="AB52" s="120">
        <f t="shared" si="66"/>
        <v>0</v>
      </c>
      <c r="AC52" s="120">
        <f t="shared" si="66"/>
        <v>0</v>
      </c>
      <c r="AD52" s="120">
        <f t="shared" si="66"/>
        <v>0</v>
      </c>
      <c r="AE52" s="120">
        <f t="shared" si="66"/>
        <v>0</v>
      </c>
      <c r="AF52" s="120">
        <f t="shared" si="66"/>
        <v>0</v>
      </c>
      <c r="AG52" s="120">
        <f t="shared" si="66"/>
        <v>1</v>
      </c>
      <c r="AH52" s="120">
        <f t="shared" si="66"/>
        <v>0</v>
      </c>
      <c r="AI52" s="120">
        <f t="shared" si="66"/>
        <v>1</v>
      </c>
      <c r="AJ52" s="120">
        <f t="shared" si="66"/>
        <v>0</v>
      </c>
      <c r="AK52" s="120">
        <f t="shared" si="66"/>
        <v>1</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0</v>
      </c>
      <c r="AX52" s="120">
        <f t="shared" si="64"/>
        <v>0</v>
      </c>
      <c r="AY52" s="120">
        <f t="shared" si="52"/>
        <v>3</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1</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1</v>
      </c>
      <c r="AV53" s="120">
        <f t="shared" si="64"/>
        <v>0</v>
      </c>
      <c r="AW53" s="120">
        <f t="shared" si="64"/>
        <v>0</v>
      </c>
      <c r="AX53" s="120">
        <f t="shared" si="64"/>
        <v>0</v>
      </c>
      <c r="AY53" s="120">
        <f t="shared" si="52"/>
        <v>1</v>
      </c>
      <c r="AZ53" s="20" t="s">
        <v>133</v>
      </c>
    </row>
    <row r="54" spans="1:52">
      <c r="A54" s="120" t="s">
        <v>161</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1</v>
      </c>
      <c r="V54" s="120">
        <f t="shared" si="71"/>
        <v>0</v>
      </c>
      <c r="W54" s="120">
        <f t="shared" si="71"/>
        <v>1</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0.5</v>
      </c>
      <c r="AU54" s="120">
        <f t="shared" si="64"/>
        <v>0</v>
      </c>
      <c r="AV54" s="120">
        <f t="shared" si="64"/>
        <v>1</v>
      </c>
      <c r="AW54" s="120">
        <f t="shared" si="64"/>
        <v>0</v>
      </c>
      <c r="AX54" s="120">
        <f t="shared" si="64"/>
        <v>0</v>
      </c>
      <c r="AY54" s="120">
        <f t="shared" si="52"/>
        <v>1.5</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1</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1</v>
      </c>
      <c r="AA55" s="120">
        <f t="shared" si="66"/>
        <v>0</v>
      </c>
      <c r="AB55" s="120">
        <f t="shared" si="66"/>
        <v>0</v>
      </c>
      <c r="AC55" s="120">
        <f t="shared" si="66"/>
        <v>0</v>
      </c>
      <c r="AD55" s="120">
        <f t="shared" si="66"/>
        <v>0</v>
      </c>
      <c r="AE55" s="120">
        <f t="shared" si="66"/>
        <v>0</v>
      </c>
      <c r="AF55" s="120">
        <f t="shared" si="66"/>
        <v>0</v>
      </c>
      <c r="AG55" s="120">
        <f t="shared" si="66"/>
        <v>0</v>
      </c>
      <c r="AH55" s="120">
        <f t="shared" si="66"/>
        <v>1</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1</v>
      </c>
      <c r="AY55" s="120">
        <f t="shared" si="52"/>
        <v>2</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0</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1</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0.5</v>
      </c>
      <c r="AX57" s="120">
        <f t="shared" si="64"/>
        <v>0</v>
      </c>
      <c r="AY57" s="120">
        <f t="shared" si="52"/>
        <v>0.5</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1</v>
      </c>
      <c r="V58" s="120">
        <f t="shared" si="75"/>
        <v>0</v>
      </c>
      <c r="W58" s="120">
        <f t="shared" si="75"/>
        <v>1</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1</v>
      </c>
      <c r="AU58" s="120">
        <f t="shared" si="64"/>
        <v>0</v>
      </c>
      <c r="AV58" s="120">
        <f t="shared" si="64"/>
        <v>1</v>
      </c>
      <c r="AW58" s="120">
        <f t="shared" si="64"/>
        <v>0</v>
      </c>
      <c r="AX58" s="120">
        <f t="shared" si="64"/>
        <v>0</v>
      </c>
      <c r="AY58" s="120">
        <f t="shared" si="52"/>
        <v>2</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0</v>
      </c>
      <c r="Y59" s="120">
        <f t="shared" si="76"/>
        <v>1</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0</v>
      </c>
      <c r="AX59" s="120">
        <f t="shared" si="64"/>
        <v>0.5</v>
      </c>
      <c r="AY59" s="120">
        <f t="shared" si="52"/>
        <v>0.5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1</v>
      </c>
      <c r="J60" s="120">
        <f t="shared" si="77"/>
        <v>0</v>
      </c>
      <c r="K60" s="120">
        <f t="shared" si="77"/>
        <v>0</v>
      </c>
      <c r="L60" s="120">
        <f t="shared" si="77"/>
        <v>1</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1</v>
      </c>
      <c r="AI60" s="120">
        <f t="shared" si="66"/>
        <v>0</v>
      </c>
      <c r="AJ60" s="120">
        <f t="shared" si="66"/>
        <v>0</v>
      </c>
      <c r="AK60" s="120">
        <f t="shared" si="66"/>
        <v>1</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0</v>
      </c>
      <c r="AX60" s="120">
        <f t="shared" si="64"/>
        <v>0</v>
      </c>
      <c r="AY60" s="120">
        <f t="shared" si="52"/>
        <v>2</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1</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0.5</v>
      </c>
      <c r="AT61" s="120">
        <f t="shared" si="64"/>
        <v>0</v>
      </c>
      <c r="AU61" s="120">
        <f t="shared" si="64"/>
        <v>0</v>
      </c>
      <c r="AV61" s="120">
        <f t="shared" si="64"/>
        <v>0</v>
      </c>
      <c r="AW61" s="120">
        <f t="shared" si="64"/>
        <v>0</v>
      </c>
      <c r="AX61" s="120">
        <f t="shared" si="64"/>
        <v>0</v>
      </c>
      <c r="AY61" s="120">
        <f t="shared" si="52"/>
        <v>0.5</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1</v>
      </c>
      <c r="I62" s="120">
        <f t="shared" si="79"/>
        <v>0</v>
      </c>
      <c r="J62" s="120">
        <f t="shared" si="79"/>
        <v>0</v>
      </c>
      <c r="K62" s="120">
        <f t="shared" si="79"/>
        <v>1</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1</v>
      </c>
      <c r="AA62" s="120">
        <f t="shared" si="66"/>
        <v>0</v>
      </c>
      <c r="AB62" s="120">
        <f t="shared" si="66"/>
        <v>0</v>
      </c>
      <c r="AC62" s="120">
        <f t="shared" si="66"/>
        <v>0</v>
      </c>
      <c r="AD62" s="120">
        <f t="shared" si="66"/>
        <v>0</v>
      </c>
      <c r="AE62" s="120">
        <f t="shared" si="66"/>
        <v>0</v>
      </c>
      <c r="AF62" s="120">
        <f t="shared" si="66"/>
        <v>0</v>
      </c>
      <c r="AG62" s="120">
        <f t="shared" si="66"/>
        <v>0.5</v>
      </c>
      <c r="AH62" s="120">
        <f t="shared" si="66"/>
        <v>0</v>
      </c>
      <c r="AI62" s="120">
        <f t="shared" si="66"/>
        <v>0</v>
      </c>
      <c r="AJ62" s="120">
        <f t="shared" si="66"/>
        <v>1</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1</v>
      </c>
      <c r="AY62" s="120">
        <f t="shared" si="52"/>
        <v>2.5</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1</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1</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1</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1</v>
      </c>
      <c r="AT63" s="120">
        <f t="shared" si="64"/>
        <v>0</v>
      </c>
      <c r="AU63" s="120">
        <f t="shared" si="64"/>
        <v>0</v>
      </c>
      <c r="AV63" s="120">
        <f t="shared" si="64"/>
        <v>0</v>
      </c>
      <c r="AW63" s="120">
        <f t="shared" si="64"/>
        <v>0</v>
      </c>
      <c r="AX63" s="120">
        <f t="shared" si="64"/>
        <v>0</v>
      </c>
      <c r="AY63" s="120">
        <f t="shared" si="52"/>
        <v>2</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1</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0.33333333333333331</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0.33333333333333331</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1</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1</v>
      </c>
      <c r="T65" s="120">
        <f t="shared" si="83"/>
        <v>0</v>
      </c>
      <c r="U65" s="120">
        <f t="shared" si="83"/>
        <v>0</v>
      </c>
      <c r="V65" s="120">
        <f t="shared" si="83"/>
        <v>0</v>
      </c>
      <c r="W65" s="120">
        <f t="shared" si="83"/>
        <v>1</v>
      </c>
      <c r="X65" s="120">
        <f t="shared" si="83"/>
        <v>1</v>
      </c>
      <c r="Y65" s="120">
        <f t="shared" si="83"/>
        <v>1</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0.33333333333333331</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1</v>
      </c>
      <c r="AS65" s="120">
        <f t="shared" si="82"/>
        <v>0</v>
      </c>
      <c r="AT65" s="120">
        <f t="shared" si="82"/>
        <v>0</v>
      </c>
      <c r="AU65" s="120">
        <f t="shared" si="82"/>
        <v>0</v>
      </c>
      <c r="AV65" s="120">
        <f t="shared" si="82"/>
        <v>1</v>
      </c>
      <c r="AW65" s="120">
        <f t="shared" si="82"/>
        <v>0.5</v>
      </c>
      <c r="AX65" s="120">
        <f t="shared" si="82"/>
        <v>1</v>
      </c>
      <c r="AY65" s="120">
        <f t="shared" si="52"/>
        <v>3.833333333333333</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0</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0</v>
      </c>
      <c r="H67" s="120">
        <f t="shared" si="86"/>
        <v>1</v>
      </c>
      <c r="I67" s="120">
        <f t="shared" si="86"/>
        <v>0</v>
      </c>
      <c r="J67" s="120">
        <f t="shared" si="86"/>
        <v>1</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1</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0.5</v>
      </c>
      <c r="AH67" s="120">
        <f t="shared" si="84"/>
        <v>0</v>
      </c>
      <c r="AI67" s="120">
        <f t="shared" si="84"/>
        <v>0.5</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0.5</v>
      </c>
      <c r="AT67" s="120">
        <f t="shared" si="82"/>
        <v>0</v>
      </c>
      <c r="AU67" s="120">
        <f t="shared" si="82"/>
        <v>0</v>
      </c>
      <c r="AV67" s="120">
        <f t="shared" si="82"/>
        <v>0</v>
      </c>
      <c r="AW67" s="120">
        <f t="shared" si="82"/>
        <v>0</v>
      </c>
      <c r="AX67" s="120">
        <f t="shared" si="82"/>
        <v>0</v>
      </c>
      <c r="AY67" s="120">
        <f t="shared" si="52"/>
        <v>1.5</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0</v>
      </c>
      <c r="D137" s="120">
        <f t="shared" si="112"/>
        <v>0</v>
      </c>
      <c r="E137" s="120">
        <f t="shared" si="112"/>
        <v>0</v>
      </c>
      <c r="F137" s="120">
        <f t="shared" si="112"/>
        <v>1</v>
      </c>
      <c r="G137" s="120">
        <f t="shared" si="112"/>
        <v>0</v>
      </c>
      <c r="H137" s="120">
        <f t="shared" si="112"/>
        <v>0</v>
      </c>
      <c r="I137" s="120">
        <f t="shared" si="112"/>
        <v>0</v>
      </c>
      <c r="J137" s="120">
        <f t="shared" si="112"/>
        <v>1</v>
      </c>
      <c r="K137" s="120">
        <f t="shared" si="112"/>
        <v>0</v>
      </c>
      <c r="L137" s="120">
        <f t="shared" si="112"/>
        <v>0</v>
      </c>
      <c r="M137" s="120">
        <f t="shared" si="112"/>
        <v>0</v>
      </c>
      <c r="N137" s="120">
        <f t="shared" si="112"/>
        <v>0</v>
      </c>
      <c r="O137" s="120">
        <f t="shared" si="112"/>
        <v>0</v>
      </c>
      <c r="P137" s="120">
        <f t="shared" si="112"/>
        <v>0</v>
      </c>
      <c r="Q137" s="120">
        <f t="shared" si="112"/>
        <v>0</v>
      </c>
      <c r="R137" s="120">
        <f t="shared" si="112"/>
        <v>0</v>
      </c>
      <c r="S137" s="120">
        <f t="shared" si="112"/>
        <v>0</v>
      </c>
      <c r="T137" s="120">
        <f t="shared" si="112"/>
        <v>1</v>
      </c>
      <c r="U137" s="120">
        <f t="shared" si="112"/>
        <v>1</v>
      </c>
      <c r="V137" s="120">
        <f t="shared" si="112"/>
        <v>1</v>
      </c>
      <c r="W137" s="120">
        <f t="shared" si="112"/>
        <v>1</v>
      </c>
      <c r="X137" s="120">
        <f t="shared" si="112"/>
        <v>1</v>
      </c>
      <c r="Y137" s="120">
        <f t="shared" ref="Y137:Y167" si="113">IF(IFERROR(FIND($A$136,Y5,1),0)=0,0,1)</f>
        <v>0</v>
      </c>
      <c r="AA137" s="120">
        <f t="shared" ref="AA137:AX147" si="114">IF(B137=0,0,B137/AA5)</f>
        <v>0</v>
      </c>
      <c r="AB137" s="120">
        <f t="shared" si="114"/>
        <v>0</v>
      </c>
      <c r="AC137" s="120">
        <f t="shared" si="114"/>
        <v>0</v>
      </c>
      <c r="AD137" s="120">
        <f t="shared" si="114"/>
        <v>0</v>
      </c>
      <c r="AE137" s="120">
        <f t="shared" si="114"/>
        <v>1</v>
      </c>
      <c r="AF137" s="120">
        <f t="shared" si="114"/>
        <v>0</v>
      </c>
      <c r="AG137" s="120">
        <f t="shared" si="114"/>
        <v>0</v>
      </c>
      <c r="AH137" s="120">
        <f t="shared" si="114"/>
        <v>0</v>
      </c>
      <c r="AI137" s="120">
        <f t="shared" si="114"/>
        <v>1</v>
      </c>
      <c r="AJ137" s="120">
        <f t="shared" si="114"/>
        <v>0</v>
      </c>
      <c r="AK137" s="120">
        <f t="shared" si="114"/>
        <v>0</v>
      </c>
      <c r="AL137" s="120">
        <f t="shared" si="114"/>
        <v>0</v>
      </c>
      <c r="AM137" s="120">
        <f t="shared" si="114"/>
        <v>0</v>
      </c>
      <c r="AN137" s="120">
        <f t="shared" si="114"/>
        <v>0</v>
      </c>
      <c r="AO137" s="120">
        <f t="shared" si="114"/>
        <v>0</v>
      </c>
      <c r="AP137" s="120">
        <f t="shared" si="114"/>
        <v>0</v>
      </c>
      <c r="AQ137" s="120">
        <f t="shared" si="114"/>
        <v>0</v>
      </c>
      <c r="AR137" s="120">
        <f t="shared" si="114"/>
        <v>0</v>
      </c>
      <c r="AS137" s="120">
        <f t="shared" si="114"/>
        <v>1</v>
      </c>
      <c r="AT137" s="120">
        <f t="shared" si="114"/>
        <v>1</v>
      </c>
      <c r="AU137" s="120">
        <f t="shared" si="114"/>
        <v>1</v>
      </c>
      <c r="AV137" s="120">
        <f t="shared" si="114"/>
        <v>1</v>
      </c>
      <c r="AW137" s="120">
        <f t="shared" si="114"/>
        <v>1</v>
      </c>
      <c r="AX137" s="120">
        <f t="shared" si="114"/>
        <v>0</v>
      </c>
      <c r="AY137" s="120">
        <f t="shared" ref="AY137:AY167" si="115">SUM(AA137:AX137)</f>
        <v>7</v>
      </c>
      <c r="AZ137" s="20" t="s">
        <v>136</v>
      </c>
    </row>
    <row r="138" spans="1:52">
      <c r="A138" s="120" t="s">
        <v>146</v>
      </c>
      <c r="B138" s="120">
        <f t="shared" ref="B138:X149" si="116">IF(IFERROR(FIND($A$136,B6,1),0)=0,0,1)</f>
        <v>0</v>
      </c>
      <c r="C138" s="120">
        <f t="shared" si="116"/>
        <v>1</v>
      </c>
      <c r="D138" s="120">
        <f t="shared" si="116"/>
        <v>0</v>
      </c>
      <c r="E138" s="120">
        <f t="shared" si="116"/>
        <v>0</v>
      </c>
      <c r="F138" s="120">
        <f t="shared" si="116"/>
        <v>0</v>
      </c>
      <c r="G138" s="120">
        <f t="shared" si="116"/>
        <v>0</v>
      </c>
      <c r="H138" s="120">
        <f t="shared" si="116"/>
        <v>0</v>
      </c>
      <c r="I138" s="120">
        <f t="shared" si="116"/>
        <v>0</v>
      </c>
      <c r="J138" s="120">
        <f t="shared" si="116"/>
        <v>1</v>
      </c>
      <c r="K138" s="120">
        <f t="shared" si="116"/>
        <v>1</v>
      </c>
      <c r="L138" s="120">
        <f t="shared" si="116"/>
        <v>1</v>
      </c>
      <c r="M138" s="120">
        <f t="shared" si="116"/>
        <v>0</v>
      </c>
      <c r="N138" s="120">
        <f t="shared" si="116"/>
        <v>0</v>
      </c>
      <c r="O138" s="120">
        <f t="shared" si="116"/>
        <v>0</v>
      </c>
      <c r="P138" s="120">
        <f t="shared" si="116"/>
        <v>0</v>
      </c>
      <c r="Q138" s="120">
        <f t="shared" si="116"/>
        <v>1</v>
      </c>
      <c r="R138" s="120">
        <f t="shared" si="116"/>
        <v>0</v>
      </c>
      <c r="S138" s="120">
        <f t="shared" si="116"/>
        <v>0</v>
      </c>
      <c r="T138" s="120">
        <f t="shared" si="116"/>
        <v>1</v>
      </c>
      <c r="U138" s="120">
        <f t="shared" si="116"/>
        <v>1</v>
      </c>
      <c r="V138" s="120">
        <f t="shared" si="116"/>
        <v>1</v>
      </c>
      <c r="W138" s="120">
        <f t="shared" si="116"/>
        <v>1</v>
      </c>
      <c r="X138" s="120">
        <f t="shared" si="116"/>
        <v>0</v>
      </c>
      <c r="Y138" s="120">
        <f t="shared" si="113"/>
        <v>0</v>
      </c>
      <c r="AA138" s="120">
        <f t="shared" si="114"/>
        <v>0</v>
      </c>
      <c r="AB138" s="120">
        <f t="shared" si="114"/>
        <v>1</v>
      </c>
      <c r="AC138" s="120">
        <f t="shared" si="114"/>
        <v>0</v>
      </c>
      <c r="AD138" s="120">
        <f t="shared" si="114"/>
        <v>0</v>
      </c>
      <c r="AE138" s="120">
        <f t="shared" si="114"/>
        <v>0</v>
      </c>
      <c r="AF138" s="120">
        <f t="shared" si="114"/>
        <v>0</v>
      </c>
      <c r="AG138" s="120">
        <f t="shared" si="114"/>
        <v>0</v>
      </c>
      <c r="AH138" s="120">
        <f t="shared" si="114"/>
        <v>0</v>
      </c>
      <c r="AI138" s="120">
        <f t="shared" si="114"/>
        <v>0.5</v>
      </c>
      <c r="AJ138" s="120">
        <f t="shared" si="114"/>
        <v>0.5</v>
      </c>
      <c r="AK138" s="120">
        <f t="shared" si="114"/>
        <v>0.5</v>
      </c>
      <c r="AL138" s="120">
        <f t="shared" si="114"/>
        <v>0</v>
      </c>
      <c r="AM138" s="120">
        <f t="shared" si="114"/>
        <v>0</v>
      </c>
      <c r="AN138" s="120">
        <f t="shared" si="114"/>
        <v>0</v>
      </c>
      <c r="AO138" s="120">
        <f t="shared" si="114"/>
        <v>0</v>
      </c>
      <c r="AP138" s="120">
        <f t="shared" si="114"/>
        <v>1</v>
      </c>
      <c r="AQ138" s="120">
        <f t="shared" si="114"/>
        <v>0</v>
      </c>
      <c r="AR138" s="120">
        <f t="shared" si="114"/>
        <v>0</v>
      </c>
      <c r="AS138" s="120">
        <f t="shared" si="114"/>
        <v>0.5</v>
      </c>
      <c r="AT138" s="120">
        <f t="shared" si="114"/>
        <v>1</v>
      </c>
      <c r="AU138" s="120">
        <f t="shared" si="114"/>
        <v>1</v>
      </c>
      <c r="AV138" s="120">
        <f t="shared" si="114"/>
        <v>1</v>
      </c>
      <c r="AW138" s="120">
        <f t="shared" si="114"/>
        <v>0</v>
      </c>
      <c r="AX138" s="120">
        <f t="shared" si="114"/>
        <v>0</v>
      </c>
      <c r="AY138" s="120">
        <f t="shared" si="115"/>
        <v>7</v>
      </c>
      <c r="AZ138" s="20" t="s">
        <v>136</v>
      </c>
    </row>
    <row r="139" spans="1:52">
      <c r="A139" s="120" t="s">
        <v>147</v>
      </c>
      <c r="B139" s="120">
        <f t="shared" si="116"/>
        <v>1</v>
      </c>
      <c r="C139" s="120">
        <f t="shared" si="116"/>
        <v>1</v>
      </c>
      <c r="D139" s="120">
        <f t="shared" si="116"/>
        <v>0</v>
      </c>
      <c r="E139" s="120">
        <f t="shared" si="116"/>
        <v>0</v>
      </c>
      <c r="F139" s="120">
        <f t="shared" si="116"/>
        <v>0</v>
      </c>
      <c r="G139" s="120">
        <f t="shared" si="116"/>
        <v>0</v>
      </c>
      <c r="H139" s="120">
        <f t="shared" si="116"/>
        <v>1</v>
      </c>
      <c r="I139" s="120">
        <f t="shared" si="116"/>
        <v>1</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1</v>
      </c>
      <c r="T139" s="120">
        <f t="shared" si="116"/>
        <v>1</v>
      </c>
      <c r="U139" s="120">
        <f t="shared" si="116"/>
        <v>0</v>
      </c>
      <c r="V139" s="120">
        <f t="shared" si="116"/>
        <v>0</v>
      </c>
      <c r="W139" s="120">
        <f t="shared" si="116"/>
        <v>0</v>
      </c>
      <c r="X139" s="120">
        <f t="shared" si="116"/>
        <v>0</v>
      </c>
      <c r="Y139" s="120">
        <f t="shared" si="113"/>
        <v>0</v>
      </c>
      <c r="AA139" s="120">
        <f t="shared" si="114"/>
        <v>1</v>
      </c>
      <c r="AB139" s="120">
        <f t="shared" si="114"/>
        <v>0.5</v>
      </c>
      <c r="AC139" s="120">
        <f t="shared" si="114"/>
        <v>0</v>
      </c>
      <c r="AD139" s="120">
        <f t="shared" si="114"/>
        <v>0</v>
      </c>
      <c r="AE139" s="120">
        <f t="shared" si="114"/>
        <v>0</v>
      </c>
      <c r="AF139" s="120">
        <f t="shared" si="114"/>
        <v>0</v>
      </c>
      <c r="AG139" s="120">
        <f t="shared" si="114"/>
        <v>0.5</v>
      </c>
      <c r="AH139" s="120">
        <f t="shared" si="114"/>
        <v>0.5</v>
      </c>
      <c r="AI139" s="120">
        <f t="shared" si="114"/>
        <v>0.5</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0.5</v>
      </c>
      <c r="AS139" s="120">
        <f t="shared" si="114"/>
        <v>0.5</v>
      </c>
      <c r="AT139" s="120">
        <f t="shared" si="114"/>
        <v>0</v>
      </c>
      <c r="AU139" s="120">
        <f t="shared" si="114"/>
        <v>0</v>
      </c>
      <c r="AV139" s="120">
        <f t="shared" si="114"/>
        <v>0</v>
      </c>
      <c r="AW139" s="120">
        <f t="shared" si="114"/>
        <v>0</v>
      </c>
      <c r="AX139" s="120">
        <f t="shared" si="114"/>
        <v>0</v>
      </c>
      <c r="AY139" s="120">
        <f t="shared" si="115"/>
        <v>4</v>
      </c>
      <c r="AZ139" s="20" t="s">
        <v>136</v>
      </c>
    </row>
    <row r="140" spans="1:52">
      <c r="A140" s="120" t="s">
        <v>148</v>
      </c>
      <c r="B140" s="120">
        <f t="shared" si="116"/>
        <v>1</v>
      </c>
      <c r="C140" s="120">
        <f t="shared" si="116"/>
        <v>0</v>
      </c>
      <c r="D140" s="120">
        <f t="shared" si="116"/>
        <v>0</v>
      </c>
      <c r="E140" s="120">
        <f t="shared" si="116"/>
        <v>0</v>
      </c>
      <c r="F140" s="120">
        <f t="shared" si="116"/>
        <v>0</v>
      </c>
      <c r="G140" s="120">
        <f t="shared" si="116"/>
        <v>0</v>
      </c>
      <c r="H140" s="120">
        <f t="shared" si="116"/>
        <v>0</v>
      </c>
      <c r="I140" s="120">
        <f t="shared" si="116"/>
        <v>0</v>
      </c>
      <c r="J140" s="120">
        <f t="shared" si="116"/>
        <v>0</v>
      </c>
      <c r="K140" s="120">
        <f t="shared" si="116"/>
        <v>1</v>
      </c>
      <c r="L140" s="120">
        <f t="shared" si="116"/>
        <v>1</v>
      </c>
      <c r="M140" s="120">
        <f t="shared" si="116"/>
        <v>0</v>
      </c>
      <c r="N140" s="120">
        <f t="shared" si="116"/>
        <v>1</v>
      </c>
      <c r="O140" s="120">
        <f t="shared" si="116"/>
        <v>0</v>
      </c>
      <c r="P140" s="120">
        <f t="shared" si="116"/>
        <v>0</v>
      </c>
      <c r="Q140" s="120">
        <f t="shared" si="116"/>
        <v>0</v>
      </c>
      <c r="R140" s="120">
        <f t="shared" si="116"/>
        <v>0</v>
      </c>
      <c r="S140" s="120">
        <f t="shared" si="116"/>
        <v>0</v>
      </c>
      <c r="T140" s="120">
        <f t="shared" si="116"/>
        <v>0</v>
      </c>
      <c r="U140" s="120">
        <f t="shared" si="116"/>
        <v>0</v>
      </c>
      <c r="V140" s="120">
        <f t="shared" si="116"/>
        <v>1</v>
      </c>
      <c r="W140" s="120">
        <f t="shared" si="116"/>
        <v>1</v>
      </c>
      <c r="X140" s="120">
        <f t="shared" si="116"/>
        <v>0</v>
      </c>
      <c r="Y140" s="120">
        <f t="shared" si="113"/>
        <v>1</v>
      </c>
      <c r="AA140" s="120">
        <f t="shared" si="114"/>
        <v>1</v>
      </c>
      <c r="AB140" s="120">
        <f t="shared" si="114"/>
        <v>0</v>
      </c>
      <c r="AC140" s="120">
        <f t="shared" si="114"/>
        <v>0</v>
      </c>
      <c r="AD140" s="120">
        <f t="shared" si="114"/>
        <v>0</v>
      </c>
      <c r="AE140" s="120">
        <f t="shared" si="114"/>
        <v>0</v>
      </c>
      <c r="AF140" s="120">
        <f t="shared" si="114"/>
        <v>0</v>
      </c>
      <c r="AG140" s="120">
        <f t="shared" si="114"/>
        <v>0</v>
      </c>
      <c r="AH140" s="120">
        <f t="shared" si="114"/>
        <v>0</v>
      </c>
      <c r="AI140" s="120">
        <f t="shared" si="114"/>
        <v>0</v>
      </c>
      <c r="AJ140" s="120">
        <f t="shared" si="114"/>
        <v>1</v>
      </c>
      <c r="AK140" s="120">
        <f t="shared" si="114"/>
        <v>1</v>
      </c>
      <c r="AL140" s="120">
        <f t="shared" si="114"/>
        <v>0</v>
      </c>
      <c r="AM140" s="120">
        <f t="shared" si="114"/>
        <v>1</v>
      </c>
      <c r="AN140" s="120">
        <f t="shared" si="114"/>
        <v>0</v>
      </c>
      <c r="AO140" s="120">
        <f t="shared" si="114"/>
        <v>0</v>
      </c>
      <c r="AP140" s="120">
        <f t="shared" si="114"/>
        <v>0</v>
      </c>
      <c r="AQ140" s="120">
        <f t="shared" si="114"/>
        <v>0</v>
      </c>
      <c r="AR140" s="120">
        <f t="shared" si="114"/>
        <v>0</v>
      </c>
      <c r="AS140" s="120">
        <f t="shared" si="114"/>
        <v>0</v>
      </c>
      <c r="AT140" s="120">
        <f t="shared" si="114"/>
        <v>0</v>
      </c>
      <c r="AU140" s="120">
        <f t="shared" si="114"/>
        <v>1</v>
      </c>
      <c r="AV140" s="120">
        <f t="shared" si="114"/>
        <v>1</v>
      </c>
      <c r="AW140" s="120">
        <f t="shared" si="114"/>
        <v>0</v>
      </c>
      <c r="AX140" s="120">
        <f t="shared" si="114"/>
        <v>1</v>
      </c>
      <c r="AY140" s="120">
        <f t="shared" si="115"/>
        <v>7</v>
      </c>
      <c r="AZ140" s="20" t="s">
        <v>136</v>
      </c>
    </row>
    <row r="141" spans="1:52">
      <c r="A141" s="120" t="s">
        <v>149</v>
      </c>
      <c r="B141" s="120">
        <f t="shared" si="116"/>
        <v>0</v>
      </c>
      <c r="C141" s="120">
        <f t="shared" si="116"/>
        <v>0</v>
      </c>
      <c r="D141" s="120">
        <f t="shared" si="116"/>
        <v>0</v>
      </c>
      <c r="E141" s="120">
        <f t="shared" si="116"/>
        <v>0</v>
      </c>
      <c r="F141" s="120">
        <f t="shared" si="116"/>
        <v>0</v>
      </c>
      <c r="G141" s="120">
        <f t="shared" si="116"/>
        <v>0</v>
      </c>
      <c r="H141" s="120">
        <f t="shared" si="116"/>
        <v>0</v>
      </c>
      <c r="I141" s="120">
        <f t="shared" si="116"/>
        <v>0</v>
      </c>
      <c r="J141" s="120">
        <f t="shared" si="116"/>
        <v>1</v>
      </c>
      <c r="K141" s="120">
        <f t="shared" si="116"/>
        <v>1</v>
      </c>
      <c r="L141" s="120">
        <f t="shared" si="116"/>
        <v>0</v>
      </c>
      <c r="M141" s="120">
        <f t="shared" si="116"/>
        <v>0</v>
      </c>
      <c r="N141" s="120">
        <f t="shared" si="116"/>
        <v>0</v>
      </c>
      <c r="O141" s="120">
        <f t="shared" si="116"/>
        <v>0</v>
      </c>
      <c r="P141" s="120">
        <f t="shared" si="116"/>
        <v>0</v>
      </c>
      <c r="Q141" s="120">
        <f t="shared" si="116"/>
        <v>0</v>
      </c>
      <c r="R141" s="120">
        <f t="shared" si="116"/>
        <v>0</v>
      </c>
      <c r="S141" s="120">
        <f t="shared" si="116"/>
        <v>0</v>
      </c>
      <c r="T141" s="120">
        <f t="shared" si="116"/>
        <v>0</v>
      </c>
      <c r="U141" s="120">
        <f t="shared" si="116"/>
        <v>1</v>
      </c>
      <c r="V141" s="120">
        <f t="shared" si="116"/>
        <v>1</v>
      </c>
      <c r="W141" s="120">
        <f t="shared" si="116"/>
        <v>1</v>
      </c>
      <c r="X141" s="120">
        <f t="shared" si="116"/>
        <v>1</v>
      </c>
      <c r="Y141" s="120">
        <f t="shared" si="113"/>
        <v>1</v>
      </c>
      <c r="AA141" s="120">
        <f t="shared" si="114"/>
        <v>0</v>
      </c>
      <c r="AB141" s="120">
        <f t="shared" si="114"/>
        <v>0</v>
      </c>
      <c r="AC141" s="120">
        <f t="shared" si="114"/>
        <v>0</v>
      </c>
      <c r="AD141" s="120">
        <f t="shared" si="114"/>
        <v>0</v>
      </c>
      <c r="AE141" s="120">
        <f t="shared" si="114"/>
        <v>0</v>
      </c>
      <c r="AF141" s="120">
        <f t="shared" si="114"/>
        <v>0</v>
      </c>
      <c r="AG141" s="120">
        <f t="shared" si="114"/>
        <v>0</v>
      </c>
      <c r="AH141" s="120">
        <f t="shared" si="114"/>
        <v>0</v>
      </c>
      <c r="AI141" s="120">
        <f t="shared" si="114"/>
        <v>1</v>
      </c>
      <c r="AJ141" s="120">
        <f t="shared" si="114"/>
        <v>1</v>
      </c>
      <c r="AK141" s="120">
        <f t="shared" si="114"/>
        <v>0</v>
      </c>
      <c r="AL141" s="120">
        <f t="shared" si="114"/>
        <v>0</v>
      </c>
      <c r="AM141" s="120">
        <f t="shared" si="114"/>
        <v>0</v>
      </c>
      <c r="AN141" s="120">
        <f t="shared" si="114"/>
        <v>0</v>
      </c>
      <c r="AO141" s="120">
        <f t="shared" si="114"/>
        <v>0</v>
      </c>
      <c r="AP141" s="120">
        <f t="shared" si="114"/>
        <v>0</v>
      </c>
      <c r="AQ141" s="120">
        <f t="shared" si="114"/>
        <v>0</v>
      </c>
      <c r="AR141" s="120">
        <f t="shared" si="114"/>
        <v>0</v>
      </c>
      <c r="AS141" s="120">
        <f t="shared" si="114"/>
        <v>0</v>
      </c>
      <c r="AT141" s="120">
        <f t="shared" si="114"/>
        <v>1</v>
      </c>
      <c r="AU141" s="120">
        <f t="shared" si="114"/>
        <v>1</v>
      </c>
      <c r="AV141" s="120">
        <f t="shared" si="114"/>
        <v>1</v>
      </c>
      <c r="AW141" s="120">
        <f t="shared" si="114"/>
        <v>1</v>
      </c>
      <c r="AX141" s="120">
        <f t="shared" si="114"/>
        <v>1</v>
      </c>
      <c r="AY141" s="120">
        <f t="shared" si="115"/>
        <v>7</v>
      </c>
      <c r="AZ141" s="20" t="s">
        <v>136</v>
      </c>
    </row>
    <row r="142" spans="1:52">
      <c r="A142" s="120" t="s">
        <v>150</v>
      </c>
      <c r="B142" s="120">
        <f t="shared" si="116"/>
        <v>0</v>
      </c>
      <c r="C142" s="120">
        <f t="shared" si="116"/>
        <v>1</v>
      </c>
      <c r="D142" s="120">
        <f t="shared" si="116"/>
        <v>0</v>
      </c>
      <c r="E142" s="120">
        <f t="shared" si="116"/>
        <v>0</v>
      </c>
      <c r="F142" s="120">
        <f t="shared" si="116"/>
        <v>0</v>
      </c>
      <c r="G142" s="120">
        <f t="shared" si="116"/>
        <v>0</v>
      </c>
      <c r="H142" s="120">
        <f t="shared" si="116"/>
        <v>0</v>
      </c>
      <c r="I142" s="120">
        <f t="shared" si="116"/>
        <v>1</v>
      </c>
      <c r="J142" s="120">
        <f t="shared" si="116"/>
        <v>0</v>
      </c>
      <c r="K142" s="120">
        <f t="shared" si="116"/>
        <v>1</v>
      </c>
      <c r="L142" s="120">
        <f t="shared" si="116"/>
        <v>0</v>
      </c>
      <c r="M142" s="120">
        <f t="shared" si="116"/>
        <v>0</v>
      </c>
      <c r="N142" s="120">
        <f t="shared" si="116"/>
        <v>0</v>
      </c>
      <c r="O142" s="120">
        <f t="shared" si="116"/>
        <v>0</v>
      </c>
      <c r="P142" s="120">
        <f t="shared" si="116"/>
        <v>0</v>
      </c>
      <c r="Q142" s="120">
        <f t="shared" si="116"/>
        <v>0</v>
      </c>
      <c r="R142" s="120">
        <f t="shared" si="116"/>
        <v>0</v>
      </c>
      <c r="S142" s="120">
        <f t="shared" si="116"/>
        <v>1</v>
      </c>
      <c r="T142" s="120">
        <f t="shared" si="116"/>
        <v>1</v>
      </c>
      <c r="U142" s="120">
        <f t="shared" si="116"/>
        <v>1</v>
      </c>
      <c r="V142" s="120">
        <f t="shared" si="116"/>
        <v>1</v>
      </c>
      <c r="W142" s="120">
        <f t="shared" si="116"/>
        <v>1</v>
      </c>
      <c r="X142" s="120">
        <f t="shared" si="116"/>
        <v>1</v>
      </c>
      <c r="Y142" s="120">
        <f t="shared" si="113"/>
        <v>0</v>
      </c>
      <c r="AA142" s="120">
        <f t="shared" si="114"/>
        <v>0</v>
      </c>
      <c r="AB142" s="120">
        <f t="shared" si="114"/>
        <v>1</v>
      </c>
      <c r="AC142" s="120">
        <f t="shared" si="114"/>
        <v>0</v>
      </c>
      <c r="AD142" s="120">
        <f t="shared" si="114"/>
        <v>0</v>
      </c>
      <c r="AE142" s="120">
        <f t="shared" si="114"/>
        <v>0</v>
      </c>
      <c r="AF142" s="120">
        <f t="shared" si="114"/>
        <v>0</v>
      </c>
      <c r="AG142" s="120">
        <f t="shared" si="114"/>
        <v>0</v>
      </c>
      <c r="AH142" s="120">
        <f t="shared" si="114"/>
        <v>1</v>
      </c>
      <c r="AI142" s="120">
        <f t="shared" si="114"/>
        <v>0</v>
      </c>
      <c r="AJ142" s="120">
        <f t="shared" si="114"/>
        <v>0.5</v>
      </c>
      <c r="AK142" s="120">
        <f t="shared" si="114"/>
        <v>0</v>
      </c>
      <c r="AL142" s="120">
        <f t="shared" si="114"/>
        <v>0</v>
      </c>
      <c r="AM142" s="120">
        <f t="shared" si="114"/>
        <v>0</v>
      </c>
      <c r="AN142" s="120">
        <f t="shared" si="114"/>
        <v>0</v>
      </c>
      <c r="AO142" s="120">
        <f t="shared" si="114"/>
        <v>0</v>
      </c>
      <c r="AP142" s="120">
        <f t="shared" si="114"/>
        <v>0</v>
      </c>
      <c r="AQ142" s="120">
        <f t="shared" si="114"/>
        <v>0</v>
      </c>
      <c r="AR142" s="120">
        <f t="shared" si="114"/>
        <v>1</v>
      </c>
      <c r="AS142" s="120">
        <f t="shared" si="114"/>
        <v>1</v>
      </c>
      <c r="AT142" s="120">
        <f t="shared" si="114"/>
        <v>1</v>
      </c>
      <c r="AU142" s="120">
        <f t="shared" si="114"/>
        <v>1</v>
      </c>
      <c r="AV142" s="120">
        <f t="shared" si="114"/>
        <v>1</v>
      </c>
      <c r="AW142" s="120">
        <f t="shared" si="114"/>
        <v>1</v>
      </c>
      <c r="AX142" s="120">
        <f t="shared" si="114"/>
        <v>0</v>
      </c>
      <c r="AY142" s="120">
        <f t="shared" si="115"/>
        <v>8.5</v>
      </c>
      <c r="AZ142" s="20" t="s">
        <v>136</v>
      </c>
    </row>
    <row r="143" spans="1:52">
      <c r="A143" s="120" t="s">
        <v>151</v>
      </c>
      <c r="B143" s="120">
        <f t="shared" si="116"/>
        <v>1</v>
      </c>
      <c r="C143" s="120">
        <f t="shared" si="116"/>
        <v>1</v>
      </c>
      <c r="D143" s="120">
        <f t="shared" si="116"/>
        <v>0</v>
      </c>
      <c r="E143" s="120">
        <f t="shared" si="116"/>
        <v>0</v>
      </c>
      <c r="F143" s="120">
        <f t="shared" si="116"/>
        <v>0</v>
      </c>
      <c r="G143" s="120">
        <f t="shared" si="116"/>
        <v>0</v>
      </c>
      <c r="H143" s="120">
        <f t="shared" si="116"/>
        <v>0</v>
      </c>
      <c r="I143" s="120">
        <f t="shared" si="116"/>
        <v>0</v>
      </c>
      <c r="J143" s="120">
        <f t="shared" si="116"/>
        <v>1</v>
      </c>
      <c r="K143" s="120">
        <f t="shared" si="116"/>
        <v>1</v>
      </c>
      <c r="L143" s="120">
        <f t="shared" si="116"/>
        <v>0</v>
      </c>
      <c r="M143" s="120">
        <f t="shared" si="116"/>
        <v>0</v>
      </c>
      <c r="N143" s="120">
        <f t="shared" si="116"/>
        <v>0</v>
      </c>
      <c r="O143" s="120">
        <f t="shared" si="116"/>
        <v>0</v>
      </c>
      <c r="P143" s="120">
        <f t="shared" si="116"/>
        <v>0</v>
      </c>
      <c r="Q143" s="120">
        <f t="shared" si="116"/>
        <v>0</v>
      </c>
      <c r="R143" s="120">
        <f t="shared" si="116"/>
        <v>0</v>
      </c>
      <c r="S143" s="120">
        <f t="shared" si="116"/>
        <v>0</v>
      </c>
      <c r="T143" s="120">
        <f t="shared" si="116"/>
        <v>0</v>
      </c>
      <c r="U143" s="120">
        <f t="shared" si="116"/>
        <v>0</v>
      </c>
      <c r="V143" s="120">
        <f t="shared" si="116"/>
        <v>1</v>
      </c>
      <c r="W143" s="120">
        <f t="shared" si="116"/>
        <v>1</v>
      </c>
      <c r="X143" s="120">
        <f t="shared" si="116"/>
        <v>0</v>
      </c>
      <c r="Y143" s="120">
        <f t="shared" si="113"/>
        <v>0</v>
      </c>
      <c r="AA143" s="120">
        <f t="shared" si="114"/>
        <v>1</v>
      </c>
      <c r="AB143" s="120">
        <f t="shared" si="114"/>
        <v>1</v>
      </c>
      <c r="AC143" s="120">
        <f t="shared" si="114"/>
        <v>0</v>
      </c>
      <c r="AD143" s="120">
        <f t="shared" si="114"/>
        <v>0</v>
      </c>
      <c r="AE143" s="120">
        <f t="shared" si="114"/>
        <v>0</v>
      </c>
      <c r="AF143" s="120">
        <f t="shared" si="114"/>
        <v>0</v>
      </c>
      <c r="AG143" s="120">
        <f t="shared" si="114"/>
        <v>0</v>
      </c>
      <c r="AH143" s="120">
        <f t="shared" si="114"/>
        <v>0</v>
      </c>
      <c r="AI143" s="120">
        <f t="shared" si="114"/>
        <v>1</v>
      </c>
      <c r="AJ143" s="120">
        <f t="shared" si="114"/>
        <v>1</v>
      </c>
      <c r="AK143" s="120">
        <f t="shared" si="114"/>
        <v>0</v>
      </c>
      <c r="AL143" s="120">
        <f t="shared" si="114"/>
        <v>0</v>
      </c>
      <c r="AM143" s="120">
        <f t="shared" si="114"/>
        <v>0</v>
      </c>
      <c r="AN143" s="120">
        <f t="shared" si="114"/>
        <v>0</v>
      </c>
      <c r="AO143" s="120">
        <f t="shared" si="114"/>
        <v>0</v>
      </c>
      <c r="AP143" s="120">
        <f t="shared" si="114"/>
        <v>0</v>
      </c>
      <c r="AQ143" s="120">
        <f t="shared" si="114"/>
        <v>0</v>
      </c>
      <c r="AR143" s="120">
        <f t="shared" si="114"/>
        <v>0</v>
      </c>
      <c r="AS143" s="120">
        <f t="shared" si="114"/>
        <v>0</v>
      </c>
      <c r="AT143" s="120">
        <f t="shared" si="114"/>
        <v>0</v>
      </c>
      <c r="AU143" s="120">
        <f t="shared" si="114"/>
        <v>1</v>
      </c>
      <c r="AV143" s="120">
        <f t="shared" si="114"/>
        <v>1</v>
      </c>
      <c r="AW143" s="120">
        <f t="shared" si="114"/>
        <v>0</v>
      </c>
      <c r="AX143" s="120">
        <f t="shared" si="114"/>
        <v>0</v>
      </c>
      <c r="AY143" s="120">
        <f t="shared" si="115"/>
        <v>6</v>
      </c>
      <c r="AZ143" s="20" t="s">
        <v>136</v>
      </c>
    </row>
    <row r="144" spans="1:52">
      <c r="A144" s="120" t="s">
        <v>152</v>
      </c>
      <c r="B144" s="120">
        <f t="shared" si="116"/>
        <v>0</v>
      </c>
      <c r="C144" s="120">
        <f t="shared" si="116"/>
        <v>0</v>
      </c>
      <c r="D144" s="120">
        <f t="shared" si="116"/>
        <v>0</v>
      </c>
      <c r="E144" s="120">
        <f t="shared" si="116"/>
        <v>0</v>
      </c>
      <c r="F144" s="120">
        <f t="shared" si="116"/>
        <v>0</v>
      </c>
      <c r="G144" s="120">
        <f t="shared" si="116"/>
        <v>0</v>
      </c>
      <c r="H144" s="120">
        <f t="shared" si="116"/>
        <v>0</v>
      </c>
      <c r="I144" s="120">
        <f t="shared" si="116"/>
        <v>1</v>
      </c>
      <c r="J144" s="120">
        <f t="shared" si="116"/>
        <v>1</v>
      </c>
      <c r="K144" s="120">
        <f t="shared" si="116"/>
        <v>1</v>
      </c>
      <c r="L144" s="120">
        <f t="shared" si="116"/>
        <v>1</v>
      </c>
      <c r="M144" s="120">
        <f t="shared" si="116"/>
        <v>0</v>
      </c>
      <c r="N144" s="120">
        <f t="shared" si="116"/>
        <v>0</v>
      </c>
      <c r="O144" s="120">
        <f t="shared" si="116"/>
        <v>0</v>
      </c>
      <c r="P144" s="120">
        <f t="shared" si="116"/>
        <v>0</v>
      </c>
      <c r="Q144" s="120">
        <f t="shared" si="116"/>
        <v>0</v>
      </c>
      <c r="R144" s="120">
        <f t="shared" si="116"/>
        <v>1</v>
      </c>
      <c r="S144" s="120">
        <f t="shared" si="116"/>
        <v>0</v>
      </c>
      <c r="T144" s="120">
        <f t="shared" si="116"/>
        <v>1</v>
      </c>
      <c r="U144" s="120">
        <f t="shared" si="116"/>
        <v>0</v>
      </c>
      <c r="V144" s="120">
        <f t="shared" si="116"/>
        <v>1</v>
      </c>
      <c r="W144" s="120">
        <f t="shared" si="116"/>
        <v>0</v>
      </c>
      <c r="X144" s="120">
        <f t="shared" si="116"/>
        <v>1</v>
      </c>
      <c r="Y144" s="120">
        <f t="shared" si="113"/>
        <v>1</v>
      </c>
      <c r="AA144" s="120">
        <f t="shared" si="114"/>
        <v>0</v>
      </c>
      <c r="AB144" s="120">
        <f t="shared" si="114"/>
        <v>0</v>
      </c>
      <c r="AC144" s="120">
        <f t="shared" si="114"/>
        <v>0</v>
      </c>
      <c r="AD144" s="120">
        <f t="shared" si="114"/>
        <v>0</v>
      </c>
      <c r="AE144" s="120">
        <f t="shared" si="114"/>
        <v>0</v>
      </c>
      <c r="AF144" s="120">
        <f t="shared" si="114"/>
        <v>0</v>
      </c>
      <c r="AG144" s="120">
        <f t="shared" si="114"/>
        <v>0</v>
      </c>
      <c r="AH144" s="120">
        <f t="shared" si="114"/>
        <v>1</v>
      </c>
      <c r="AI144" s="120">
        <f t="shared" si="114"/>
        <v>1</v>
      </c>
      <c r="AJ144" s="120">
        <f t="shared" si="114"/>
        <v>1</v>
      </c>
      <c r="AK144" s="120">
        <f t="shared" si="114"/>
        <v>0.5</v>
      </c>
      <c r="AL144" s="120">
        <f t="shared" si="114"/>
        <v>0</v>
      </c>
      <c r="AM144" s="120">
        <f t="shared" si="114"/>
        <v>0</v>
      </c>
      <c r="AN144" s="120">
        <f t="shared" si="114"/>
        <v>0</v>
      </c>
      <c r="AO144" s="120">
        <f t="shared" si="114"/>
        <v>0</v>
      </c>
      <c r="AP144" s="120">
        <f t="shared" si="114"/>
        <v>0</v>
      </c>
      <c r="AQ144" s="120">
        <f t="shared" si="114"/>
        <v>1</v>
      </c>
      <c r="AR144" s="120">
        <f t="shared" si="114"/>
        <v>0</v>
      </c>
      <c r="AS144" s="120">
        <f t="shared" si="114"/>
        <v>1</v>
      </c>
      <c r="AT144" s="120">
        <f t="shared" si="114"/>
        <v>0</v>
      </c>
      <c r="AU144" s="120">
        <f t="shared" si="114"/>
        <v>1</v>
      </c>
      <c r="AV144" s="120">
        <f t="shared" si="114"/>
        <v>0</v>
      </c>
      <c r="AW144" s="120">
        <f t="shared" si="114"/>
        <v>1</v>
      </c>
      <c r="AX144" s="120">
        <f t="shared" si="114"/>
        <v>1</v>
      </c>
      <c r="AY144" s="120">
        <f t="shared" si="115"/>
        <v>8.5</v>
      </c>
      <c r="AZ144" s="20" t="s">
        <v>136</v>
      </c>
    </row>
    <row r="145" spans="1:52">
      <c r="A145" s="120" t="s">
        <v>153</v>
      </c>
      <c r="B145" s="120">
        <f t="shared" si="116"/>
        <v>0</v>
      </c>
      <c r="C145" s="120">
        <f t="shared" si="116"/>
        <v>1</v>
      </c>
      <c r="D145" s="120">
        <f t="shared" si="116"/>
        <v>1</v>
      </c>
      <c r="E145" s="120">
        <f t="shared" si="116"/>
        <v>0</v>
      </c>
      <c r="F145" s="120">
        <f t="shared" si="116"/>
        <v>0</v>
      </c>
      <c r="G145" s="120">
        <f t="shared" si="116"/>
        <v>0</v>
      </c>
      <c r="H145" s="120">
        <f t="shared" si="116"/>
        <v>0</v>
      </c>
      <c r="I145" s="120">
        <f t="shared" si="116"/>
        <v>0</v>
      </c>
      <c r="J145" s="120">
        <f t="shared" si="116"/>
        <v>0</v>
      </c>
      <c r="K145" s="120">
        <f t="shared" si="116"/>
        <v>1</v>
      </c>
      <c r="L145" s="120">
        <f t="shared" si="116"/>
        <v>1</v>
      </c>
      <c r="M145" s="120">
        <f t="shared" si="116"/>
        <v>0</v>
      </c>
      <c r="N145" s="120">
        <f t="shared" si="116"/>
        <v>1</v>
      </c>
      <c r="O145" s="120">
        <f t="shared" si="116"/>
        <v>0</v>
      </c>
      <c r="P145" s="120">
        <f t="shared" si="116"/>
        <v>0</v>
      </c>
      <c r="Q145" s="120">
        <f t="shared" si="116"/>
        <v>0</v>
      </c>
      <c r="R145" s="120">
        <f t="shared" si="116"/>
        <v>0</v>
      </c>
      <c r="S145" s="120">
        <f t="shared" si="116"/>
        <v>0</v>
      </c>
      <c r="T145" s="120">
        <f t="shared" si="116"/>
        <v>0</v>
      </c>
      <c r="U145" s="120">
        <f t="shared" si="116"/>
        <v>0</v>
      </c>
      <c r="V145" s="120">
        <f t="shared" si="116"/>
        <v>1</v>
      </c>
      <c r="W145" s="120">
        <f t="shared" si="116"/>
        <v>1</v>
      </c>
      <c r="X145" s="120">
        <f t="shared" si="116"/>
        <v>1</v>
      </c>
      <c r="Y145" s="120">
        <f t="shared" si="113"/>
        <v>0</v>
      </c>
      <c r="AA145" s="120">
        <f t="shared" si="114"/>
        <v>0</v>
      </c>
      <c r="AB145" s="120">
        <f t="shared" si="114"/>
        <v>1</v>
      </c>
      <c r="AC145" s="120">
        <f t="shared" si="114"/>
        <v>1</v>
      </c>
      <c r="AD145" s="120">
        <f t="shared" si="114"/>
        <v>0</v>
      </c>
      <c r="AE145" s="120">
        <f t="shared" si="114"/>
        <v>0</v>
      </c>
      <c r="AF145" s="120">
        <f t="shared" si="114"/>
        <v>0</v>
      </c>
      <c r="AG145" s="120">
        <f t="shared" si="114"/>
        <v>0</v>
      </c>
      <c r="AH145" s="120">
        <f t="shared" si="114"/>
        <v>0</v>
      </c>
      <c r="AI145" s="120">
        <f t="shared" si="114"/>
        <v>0</v>
      </c>
      <c r="AJ145" s="120">
        <f t="shared" si="114"/>
        <v>1</v>
      </c>
      <c r="AK145" s="120">
        <f t="shared" si="114"/>
        <v>0.5</v>
      </c>
      <c r="AL145" s="120">
        <f t="shared" si="114"/>
        <v>0</v>
      </c>
      <c r="AM145" s="120">
        <f t="shared" si="114"/>
        <v>1</v>
      </c>
      <c r="AN145" s="120">
        <f t="shared" si="114"/>
        <v>0</v>
      </c>
      <c r="AO145" s="120">
        <f t="shared" si="114"/>
        <v>0</v>
      </c>
      <c r="AP145" s="120">
        <f t="shared" si="114"/>
        <v>0</v>
      </c>
      <c r="AQ145" s="120">
        <f t="shared" si="114"/>
        <v>0</v>
      </c>
      <c r="AR145" s="120">
        <f t="shared" si="114"/>
        <v>0</v>
      </c>
      <c r="AS145" s="120">
        <f t="shared" si="114"/>
        <v>0</v>
      </c>
      <c r="AT145" s="120">
        <f t="shared" si="114"/>
        <v>0</v>
      </c>
      <c r="AU145" s="120">
        <f t="shared" si="114"/>
        <v>1</v>
      </c>
      <c r="AV145" s="120">
        <f t="shared" si="114"/>
        <v>1</v>
      </c>
      <c r="AW145" s="120">
        <f t="shared" si="114"/>
        <v>1</v>
      </c>
      <c r="AX145" s="120">
        <f t="shared" si="114"/>
        <v>0</v>
      </c>
      <c r="AY145" s="120">
        <f t="shared" si="115"/>
        <v>7.5</v>
      </c>
      <c r="AZ145" s="20" t="s">
        <v>136</v>
      </c>
    </row>
    <row r="146" spans="1:52">
      <c r="A146" s="120" t="s">
        <v>154</v>
      </c>
      <c r="B146" s="120">
        <f t="shared" si="116"/>
        <v>0</v>
      </c>
      <c r="C146" s="120">
        <f t="shared" si="116"/>
        <v>0</v>
      </c>
      <c r="D146" s="120">
        <f t="shared" si="116"/>
        <v>0</v>
      </c>
      <c r="E146" s="120">
        <f t="shared" si="116"/>
        <v>0</v>
      </c>
      <c r="F146" s="120">
        <f t="shared" si="116"/>
        <v>1</v>
      </c>
      <c r="G146" s="120">
        <f t="shared" si="116"/>
        <v>0</v>
      </c>
      <c r="H146" s="120">
        <f t="shared" si="116"/>
        <v>1</v>
      </c>
      <c r="I146" s="120">
        <f t="shared" si="116"/>
        <v>1</v>
      </c>
      <c r="J146" s="120">
        <f t="shared" si="116"/>
        <v>0</v>
      </c>
      <c r="K146" s="120">
        <f t="shared" si="116"/>
        <v>0</v>
      </c>
      <c r="L146" s="120">
        <f t="shared" si="116"/>
        <v>0</v>
      </c>
      <c r="M146" s="120">
        <f t="shared" si="116"/>
        <v>0</v>
      </c>
      <c r="N146" s="120">
        <f t="shared" si="116"/>
        <v>0</v>
      </c>
      <c r="O146" s="120">
        <f t="shared" si="116"/>
        <v>0</v>
      </c>
      <c r="P146" s="120">
        <f t="shared" si="116"/>
        <v>0</v>
      </c>
      <c r="Q146" s="120">
        <f t="shared" si="116"/>
        <v>0</v>
      </c>
      <c r="R146" s="120">
        <f t="shared" si="116"/>
        <v>0</v>
      </c>
      <c r="S146" s="120">
        <f t="shared" si="116"/>
        <v>0</v>
      </c>
      <c r="T146" s="120">
        <f t="shared" si="116"/>
        <v>0</v>
      </c>
      <c r="U146" s="120">
        <f t="shared" si="116"/>
        <v>1</v>
      </c>
      <c r="V146" s="120">
        <f t="shared" si="116"/>
        <v>0</v>
      </c>
      <c r="W146" s="120">
        <f t="shared" si="116"/>
        <v>0</v>
      </c>
      <c r="X146" s="120">
        <f t="shared" si="116"/>
        <v>0</v>
      </c>
      <c r="Y146" s="120">
        <f t="shared" si="113"/>
        <v>0</v>
      </c>
      <c r="AA146" s="120">
        <f t="shared" si="114"/>
        <v>0</v>
      </c>
      <c r="AB146" s="120">
        <f t="shared" si="114"/>
        <v>0</v>
      </c>
      <c r="AC146" s="120">
        <f t="shared" si="114"/>
        <v>0</v>
      </c>
      <c r="AD146" s="120">
        <f t="shared" si="114"/>
        <v>0</v>
      </c>
      <c r="AE146" s="120">
        <f t="shared" si="114"/>
        <v>1</v>
      </c>
      <c r="AF146" s="120">
        <f t="shared" si="114"/>
        <v>0</v>
      </c>
      <c r="AG146" s="120">
        <f t="shared" si="114"/>
        <v>1</v>
      </c>
      <c r="AH146" s="120">
        <f t="shared" si="114"/>
        <v>1</v>
      </c>
      <c r="AI146" s="120">
        <f t="shared" si="114"/>
        <v>0</v>
      </c>
      <c r="AJ146" s="120">
        <f t="shared" si="114"/>
        <v>0</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0</v>
      </c>
      <c r="AS146" s="120">
        <f t="shared" si="114"/>
        <v>0</v>
      </c>
      <c r="AT146" s="120">
        <f t="shared" si="114"/>
        <v>1</v>
      </c>
      <c r="AU146" s="120">
        <f t="shared" si="114"/>
        <v>0</v>
      </c>
      <c r="AV146" s="120">
        <f t="shared" si="114"/>
        <v>0</v>
      </c>
      <c r="AW146" s="120">
        <f t="shared" si="114"/>
        <v>0</v>
      </c>
      <c r="AX146" s="120">
        <f t="shared" si="114"/>
        <v>0</v>
      </c>
      <c r="AY146" s="120">
        <f t="shared" si="115"/>
        <v>4</v>
      </c>
      <c r="AZ146" s="20" t="s">
        <v>136</v>
      </c>
    </row>
    <row r="147" spans="1:52">
      <c r="A147" s="120" t="s">
        <v>155</v>
      </c>
      <c r="B147" s="120">
        <f t="shared" si="116"/>
        <v>1</v>
      </c>
      <c r="C147" s="120">
        <f t="shared" si="116"/>
        <v>0</v>
      </c>
      <c r="D147" s="120">
        <f t="shared" si="116"/>
        <v>0</v>
      </c>
      <c r="E147" s="120">
        <f t="shared" si="116"/>
        <v>0</v>
      </c>
      <c r="F147" s="120">
        <f t="shared" si="116"/>
        <v>1</v>
      </c>
      <c r="G147" s="120">
        <f t="shared" si="116"/>
        <v>1</v>
      </c>
      <c r="H147" s="120">
        <f t="shared" si="116"/>
        <v>0</v>
      </c>
      <c r="I147" s="120">
        <f t="shared" si="116"/>
        <v>1</v>
      </c>
      <c r="J147" s="120">
        <f t="shared" si="116"/>
        <v>1</v>
      </c>
      <c r="K147" s="120">
        <f t="shared" si="116"/>
        <v>1</v>
      </c>
      <c r="L147" s="120">
        <f t="shared" si="116"/>
        <v>0</v>
      </c>
      <c r="M147" s="120">
        <f t="shared" si="116"/>
        <v>0</v>
      </c>
      <c r="N147" s="120">
        <f t="shared" si="116"/>
        <v>0</v>
      </c>
      <c r="O147" s="120">
        <f t="shared" si="116"/>
        <v>0</v>
      </c>
      <c r="P147" s="120">
        <f t="shared" si="116"/>
        <v>0</v>
      </c>
      <c r="Q147" s="120">
        <f t="shared" si="116"/>
        <v>1</v>
      </c>
      <c r="R147" s="120">
        <f t="shared" si="116"/>
        <v>0</v>
      </c>
      <c r="S147" s="120">
        <f t="shared" si="116"/>
        <v>0</v>
      </c>
      <c r="T147" s="120">
        <f t="shared" si="116"/>
        <v>1</v>
      </c>
      <c r="U147" s="120">
        <f t="shared" si="116"/>
        <v>1</v>
      </c>
      <c r="V147" s="120">
        <f t="shared" si="116"/>
        <v>1</v>
      </c>
      <c r="W147" s="120">
        <f t="shared" si="116"/>
        <v>1</v>
      </c>
      <c r="X147" s="120">
        <f t="shared" si="116"/>
        <v>0</v>
      </c>
      <c r="Y147" s="120">
        <f t="shared" si="113"/>
        <v>1</v>
      </c>
      <c r="AA147" s="120">
        <f t="shared" si="114"/>
        <v>1</v>
      </c>
      <c r="AB147" s="120">
        <f t="shared" si="114"/>
        <v>0</v>
      </c>
      <c r="AC147" s="120">
        <f t="shared" si="114"/>
        <v>0</v>
      </c>
      <c r="AD147" s="120">
        <f t="shared" si="114"/>
        <v>0</v>
      </c>
      <c r="AE147" s="120">
        <f t="shared" si="114"/>
        <v>1</v>
      </c>
      <c r="AF147" s="120">
        <f t="shared" si="114"/>
        <v>1</v>
      </c>
      <c r="AG147" s="120">
        <f t="shared" si="114"/>
        <v>0</v>
      </c>
      <c r="AH147" s="120">
        <f t="shared" si="114"/>
        <v>1</v>
      </c>
      <c r="AI147" s="120">
        <f t="shared" si="114"/>
        <v>1</v>
      </c>
      <c r="AJ147" s="120">
        <f t="shared" si="114"/>
        <v>1</v>
      </c>
      <c r="AK147" s="120">
        <f t="shared" si="114"/>
        <v>0</v>
      </c>
      <c r="AL147" s="120">
        <f t="shared" si="114"/>
        <v>0</v>
      </c>
      <c r="AM147" s="120">
        <f t="shared" si="114"/>
        <v>0</v>
      </c>
      <c r="AN147" s="120">
        <f t="shared" si="114"/>
        <v>0</v>
      </c>
      <c r="AO147" s="120">
        <f t="shared" si="114"/>
        <v>0</v>
      </c>
      <c r="AP147" s="120">
        <f t="shared" ref="AP147:AX162" si="117">IF(Q147=0,0,Q147/AP15)</f>
        <v>1</v>
      </c>
      <c r="AQ147" s="120">
        <f t="shared" si="117"/>
        <v>0</v>
      </c>
      <c r="AR147" s="120">
        <f t="shared" si="117"/>
        <v>0</v>
      </c>
      <c r="AS147" s="120">
        <f t="shared" si="117"/>
        <v>0.5</v>
      </c>
      <c r="AT147" s="120">
        <f t="shared" si="117"/>
        <v>1</v>
      </c>
      <c r="AU147" s="120">
        <f t="shared" si="117"/>
        <v>1</v>
      </c>
      <c r="AV147" s="120">
        <f t="shared" si="117"/>
        <v>1</v>
      </c>
      <c r="AW147" s="120">
        <f t="shared" si="117"/>
        <v>0</v>
      </c>
      <c r="AX147" s="120">
        <f t="shared" si="117"/>
        <v>1</v>
      </c>
      <c r="AY147" s="120">
        <f t="shared" si="115"/>
        <v>11.5</v>
      </c>
      <c r="AZ147" s="20" t="s">
        <v>136</v>
      </c>
    </row>
    <row r="148" spans="1:52">
      <c r="A148" s="120" t="s">
        <v>156</v>
      </c>
      <c r="B148" s="120">
        <f t="shared" si="116"/>
        <v>0</v>
      </c>
      <c r="C148" s="120">
        <f t="shared" si="116"/>
        <v>0</v>
      </c>
      <c r="D148" s="120">
        <f t="shared" si="116"/>
        <v>0</v>
      </c>
      <c r="E148" s="120">
        <f t="shared" si="116"/>
        <v>0</v>
      </c>
      <c r="F148" s="120">
        <f t="shared" si="116"/>
        <v>0</v>
      </c>
      <c r="G148" s="120">
        <f t="shared" si="116"/>
        <v>0</v>
      </c>
      <c r="H148" s="120">
        <f t="shared" si="116"/>
        <v>0</v>
      </c>
      <c r="I148" s="120">
        <f t="shared" si="116"/>
        <v>1</v>
      </c>
      <c r="J148" s="120">
        <f t="shared" si="116"/>
        <v>1</v>
      </c>
      <c r="K148" s="120">
        <f t="shared" si="116"/>
        <v>1</v>
      </c>
      <c r="L148" s="120">
        <f t="shared" si="116"/>
        <v>1</v>
      </c>
      <c r="M148" s="120">
        <f t="shared" si="116"/>
        <v>0</v>
      </c>
      <c r="N148" s="120">
        <f t="shared" si="116"/>
        <v>0</v>
      </c>
      <c r="O148" s="120">
        <f t="shared" si="116"/>
        <v>0</v>
      </c>
      <c r="P148" s="120">
        <f t="shared" si="116"/>
        <v>0</v>
      </c>
      <c r="Q148" s="120">
        <f t="shared" si="116"/>
        <v>0</v>
      </c>
      <c r="R148" s="120">
        <f t="shared" si="116"/>
        <v>0</v>
      </c>
      <c r="S148" s="120">
        <f t="shared" si="116"/>
        <v>0</v>
      </c>
      <c r="T148" s="120">
        <f t="shared" si="116"/>
        <v>0</v>
      </c>
      <c r="U148" s="120">
        <f t="shared" si="116"/>
        <v>1</v>
      </c>
      <c r="V148" s="120">
        <f t="shared" si="116"/>
        <v>1</v>
      </c>
      <c r="W148" s="120">
        <f t="shared" si="116"/>
        <v>0</v>
      </c>
      <c r="X148" s="120">
        <f t="shared" si="116"/>
        <v>0</v>
      </c>
      <c r="Y148" s="120">
        <f t="shared" si="113"/>
        <v>1</v>
      </c>
      <c r="AA148" s="120">
        <f t="shared" ref="AA148:AP163" si="118">IF(B148=0,0,B148/AA16)</f>
        <v>0</v>
      </c>
      <c r="AB148" s="120">
        <f t="shared" si="118"/>
        <v>0</v>
      </c>
      <c r="AC148" s="120">
        <f t="shared" si="118"/>
        <v>0</v>
      </c>
      <c r="AD148" s="120">
        <f t="shared" si="118"/>
        <v>0</v>
      </c>
      <c r="AE148" s="120">
        <f t="shared" si="118"/>
        <v>0</v>
      </c>
      <c r="AF148" s="120">
        <f t="shared" si="118"/>
        <v>0</v>
      </c>
      <c r="AG148" s="120">
        <f t="shared" si="118"/>
        <v>0</v>
      </c>
      <c r="AH148" s="120">
        <f t="shared" si="118"/>
        <v>1</v>
      </c>
      <c r="AI148" s="120">
        <f t="shared" si="118"/>
        <v>1</v>
      </c>
      <c r="AJ148" s="120">
        <f t="shared" si="118"/>
        <v>1</v>
      </c>
      <c r="AK148" s="120">
        <f t="shared" si="118"/>
        <v>1</v>
      </c>
      <c r="AL148" s="120">
        <f t="shared" si="118"/>
        <v>0</v>
      </c>
      <c r="AM148" s="120">
        <f t="shared" si="118"/>
        <v>0</v>
      </c>
      <c r="AN148" s="120">
        <f t="shared" si="118"/>
        <v>0</v>
      </c>
      <c r="AO148" s="120">
        <f t="shared" si="118"/>
        <v>0</v>
      </c>
      <c r="AP148" s="120">
        <f t="shared" si="117"/>
        <v>0</v>
      </c>
      <c r="AQ148" s="120">
        <f t="shared" si="117"/>
        <v>0</v>
      </c>
      <c r="AR148" s="120">
        <f t="shared" si="117"/>
        <v>0</v>
      </c>
      <c r="AS148" s="120">
        <f t="shared" si="117"/>
        <v>0</v>
      </c>
      <c r="AT148" s="120">
        <f t="shared" si="117"/>
        <v>1</v>
      </c>
      <c r="AU148" s="120">
        <f t="shared" si="117"/>
        <v>1</v>
      </c>
      <c r="AV148" s="120">
        <f t="shared" si="117"/>
        <v>0</v>
      </c>
      <c r="AW148" s="120">
        <f t="shared" si="117"/>
        <v>0</v>
      </c>
      <c r="AX148" s="120">
        <f t="shared" si="117"/>
        <v>1</v>
      </c>
      <c r="AY148" s="120">
        <f t="shared" si="115"/>
        <v>7</v>
      </c>
      <c r="AZ148" s="20" t="s">
        <v>136</v>
      </c>
    </row>
    <row r="149" spans="1:52">
      <c r="A149" s="120" t="s">
        <v>157</v>
      </c>
      <c r="B149" s="120">
        <f t="shared" si="116"/>
        <v>1</v>
      </c>
      <c r="C149" s="120">
        <f t="shared" si="116"/>
        <v>0</v>
      </c>
      <c r="D149" s="120">
        <f t="shared" ref="B149:X160" si="119">IF(IFERROR(FIND($A$136,D17,1),0)=0,0,1)</f>
        <v>1</v>
      </c>
      <c r="E149" s="120">
        <f t="shared" si="119"/>
        <v>0</v>
      </c>
      <c r="F149" s="120">
        <f t="shared" si="119"/>
        <v>0</v>
      </c>
      <c r="G149" s="120">
        <f t="shared" si="119"/>
        <v>0</v>
      </c>
      <c r="H149" s="120">
        <f t="shared" si="119"/>
        <v>0</v>
      </c>
      <c r="I149" s="120">
        <f t="shared" si="119"/>
        <v>1</v>
      </c>
      <c r="J149" s="120">
        <f t="shared" si="119"/>
        <v>1</v>
      </c>
      <c r="K149" s="120">
        <f t="shared" si="119"/>
        <v>1</v>
      </c>
      <c r="L149" s="120">
        <f t="shared" si="119"/>
        <v>0</v>
      </c>
      <c r="M149" s="120">
        <f t="shared" si="119"/>
        <v>0</v>
      </c>
      <c r="N149" s="120">
        <f t="shared" si="119"/>
        <v>0</v>
      </c>
      <c r="O149" s="120">
        <f t="shared" si="119"/>
        <v>0</v>
      </c>
      <c r="P149" s="120">
        <f t="shared" si="119"/>
        <v>0</v>
      </c>
      <c r="Q149" s="120">
        <f t="shared" si="119"/>
        <v>0</v>
      </c>
      <c r="R149" s="120">
        <f t="shared" si="119"/>
        <v>0</v>
      </c>
      <c r="S149" s="120">
        <f t="shared" si="119"/>
        <v>0</v>
      </c>
      <c r="T149" s="120">
        <f t="shared" si="119"/>
        <v>0</v>
      </c>
      <c r="U149" s="120">
        <f t="shared" si="119"/>
        <v>0</v>
      </c>
      <c r="V149" s="120">
        <f t="shared" si="119"/>
        <v>1</v>
      </c>
      <c r="W149" s="120">
        <f t="shared" si="119"/>
        <v>0</v>
      </c>
      <c r="X149" s="120">
        <f t="shared" si="119"/>
        <v>1</v>
      </c>
      <c r="Y149" s="120">
        <f t="shared" si="113"/>
        <v>1</v>
      </c>
      <c r="AA149" s="120">
        <f t="shared" si="118"/>
        <v>1</v>
      </c>
      <c r="AB149" s="120">
        <f t="shared" si="118"/>
        <v>0</v>
      </c>
      <c r="AC149" s="120">
        <f t="shared" si="118"/>
        <v>1</v>
      </c>
      <c r="AD149" s="120">
        <f t="shared" si="118"/>
        <v>0</v>
      </c>
      <c r="AE149" s="120">
        <f t="shared" si="118"/>
        <v>0</v>
      </c>
      <c r="AF149" s="120">
        <f t="shared" si="118"/>
        <v>0</v>
      </c>
      <c r="AG149" s="120">
        <f t="shared" si="118"/>
        <v>0</v>
      </c>
      <c r="AH149" s="120">
        <f t="shared" si="118"/>
        <v>1</v>
      </c>
      <c r="AI149" s="120">
        <f t="shared" si="118"/>
        <v>1</v>
      </c>
      <c r="AJ149" s="120">
        <f t="shared" si="118"/>
        <v>1</v>
      </c>
      <c r="AK149" s="120">
        <f t="shared" si="118"/>
        <v>0</v>
      </c>
      <c r="AL149" s="120">
        <f t="shared" si="118"/>
        <v>0</v>
      </c>
      <c r="AM149" s="120">
        <f t="shared" si="118"/>
        <v>0</v>
      </c>
      <c r="AN149" s="120">
        <f t="shared" si="118"/>
        <v>0</v>
      </c>
      <c r="AO149" s="120">
        <f t="shared" si="118"/>
        <v>0</v>
      </c>
      <c r="AP149" s="120">
        <f t="shared" si="117"/>
        <v>0</v>
      </c>
      <c r="AQ149" s="120">
        <f t="shared" si="117"/>
        <v>0</v>
      </c>
      <c r="AR149" s="120">
        <f t="shared" si="117"/>
        <v>0</v>
      </c>
      <c r="AS149" s="120">
        <f t="shared" si="117"/>
        <v>0</v>
      </c>
      <c r="AT149" s="120">
        <f t="shared" si="117"/>
        <v>0</v>
      </c>
      <c r="AU149" s="120">
        <f t="shared" si="117"/>
        <v>1</v>
      </c>
      <c r="AV149" s="120">
        <f t="shared" si="117"/>
        <v>0</v>
      </c>
      <c r="AW149" s="120">
        <f t="shared" si="117"/>
        <v>1</v>
      </c>
      <c r="AX149" s="120">
        <f t="shared" si="117"/>
        <v>1</v>
      </c>
      <c r="AY149" s="120">
        <f t="shared" si="115"/>
        <v>8</v>
      </c>
      <c r="AZ149" s="20" t="s">
        <v>136</v>
      </c>
    </row>
    <row r="150" spans="1:52">
      <c r="A150" s="120" t="s">
        <v>158</v>
      </c>
      <c r="B150" s="120">
        <f t="shared" si="119"/>
        <v>0</v>
      </c>
      <c r="C150" s="120">
        <f t="shared" si="119"/>
        <v>0</v>
      </c>
      <c r="D150" s="120">
        <f t="shared" si="119"/>
        <v>1</v>
      </c>
      <c r="E150" s="120">
        <f t="shared" si="119"/>
        <v>0</v>
      </c>
      <c r="F150" s="120">
        <f t="shared" si="119"/>
        <v>0</v>
      </c>
      <c r="G150" s="120">
        <f t="shared" si="119"/>
        <v>0</v>
      </c>
      <c r="H150" s="120">
        <f t="shared" si="119"/>
        <v>1</v>
      </c>
      <c r="I150" s="120">
        <f t="shared" si="119"/>
        <v>1</v>
      </c>
      <c r="J150" s="120">
        <f t="shared" si="119"/>
        <v>0</v>
      </c>
      <c r="K150" s="120">
        <f t="shared" si="119"/>
        <v>0</v>
      </c>
      <c r="L150" s="120">
        <f t="shared" si="119"/>
        <v>0</v>
      </c>
      <c r="M150" s="120">
        <f t="shared" si="119"/>
        <v>0</v>
      </c>
      <c r="N150" s="120">
        <f t="shared" si="119"/>
        <v>0</v>
      </c>
      <c r="O150" s="120">
        <f t="shared" si="119"/>
        <v>0</v>
      </c>
      <c r="P150" s="120">
        <f t="shared" si="119"/>
        <v>1</v>
      </c>
      <c r="Q150" s="120">
        <f t="shared" si="119"/>
        <v>1</v>
      </c>
      <c r="R150" s="120">
        <f t="shared" si="119"/>
        <v>0</v>
      </c>
      <c r="S150" s="120">
        <f t="shared" si="119"/>
        <v>0</v>
      </c>
      <c r="T150" s="120">
        <f t="shared" si="119"/>
        <v>0</v>
      </c>
      <c r="U150" s="120">
        <f t="shared" si="119"/>
        <v>1</v>
      </c>
      <c r="V150" s="120">
        <f t="shared" si="119"/>
        <v>1</v>
      </c>
      <c r="W150" s="120">
        <f t="shared" si="119"/>
        <v>1</v>
      </c>
      <c r="X150" s="120">
        <f t="shared" si="119"/>
        <v>1</v>
      </c>
      <c r="Y150" s="120">
        <f t="shared" si="113"/>
        <v>1</v>
      </c>
      <c r="AA150" s="120">
        <f t="shared" si="118"/>
        <v>0</v>
      </c>
      <c r="AB150" s="120">
        <f t="shared" si="118"/>
        <v>0</v>
      </c>
      <c r="AC150" s="120">
        <f t="shared" si="118"/>
        <v>1</v>
      </c>
      <c r="AD150" s="120">
        <f t="shared" si="118"/>
        <v>0</v>
      </c>
      <c r="AE150" s="120">
        <f t="shared" si="118"/>
        <v>0</v>
      </c>
      <c r="AF150" s="120">
        <f t="shared" si="118"/>
        <v>0</v>
      </c>
      <c r="AG150" s="120">
        <f t="shared" si="118"/>
        <v>1</v>
      </c>
      <c r="AH150" s="120">
        <f t="shared" si="118"/>
        <v>1</v>
      </c>
      <c r="AI150" s="120">
        <f t="shared" si="118"/>
        <v>0</v>
      </c>
      <c r="AJ150" s="120">
        <f t="shared" si="118"/>
        <v>0</v>
      </c>
      <c r="AK150" s="120">
        <f t="shared" si="118"/>
        <v>0</v>
      </c>
      <c r="AL150" s="120">
        <f t="shared" si="118"/>
        <v>0</v>
      </c>
      <c r="AM150" s="120">
        <f t="shared" si="118"/>
        <v>0</v>
      </c>
      <c r="AN150" s="120">
        <f t="shared" si="118"/>
        <v>0</v>
      </c>
      <c r="AO150" s="120">
        <f t="shared" si="118"/>
        <v>1</v>
      </c>
      <c r="AP150" s="120">
        <f t="shared" si="117"/>
        <v>1</v>
      </c>
      <c r="AQ150" s="120">
        <f t="shared" si="117"/>
        <v>0</v>
      </c>
      <c r="AR150" s="120">
        <f t="shared" si="117"/>
        <v>0</v>
      </c>
      <c r="AS150" s="120">
        <f t="shared" si="117"/>
        <v>0</v>
      </c>
      <c r="AT150" s="120">
        <f t="shared" si="117"/>
        <v>1</v>
      </c>
      <c r="AU150" s="120">
        <f t="shared" si="117"/>
        <v>0.5</v>
      </c>
      <c r="AV150" s="120">
        <f t="shared" si="117"/>
        <v>1</v>
      </c>
      <c r="AW150" s="120">
        <f t="shared" si="117"/>
        <v>1</v>
      </c>
      <c r="AX150" s="120">
        <f t="shared" si="117"/>
        <v>1</v>
      </c>
      <c r="AY150" s="120">
        <f t="shared" si="115"/>
        <v>9.5</v>
      </c>
      <c r="AZ150" s="20" t="s">
        <v>136</v>
      </c>
    </row>
    <row r="151" spans="1:52">
      <c r="A151" s="120" t="s">
        <v>159</v>
      </c>
      <c r="B151" s="120">
        <f t="shared" si="119"/>
        <v>0</v>
      </c>
      <c r="C151" s="120">
        <f t="shared" si="119"/>
        <v>1</v>
      </c>
      <c r="D151" s="120">
        <f t="shared" si="119"/>
        <v>0</v>
      </c>
      <c r="E151" s="120">
        <f t="shared" si="119"/>
        <v>0</v>
      </c>
      <c r="F151" s="120">
        <f t="shared" si="119"/>
        <v>0</v>
      </c>
      <c r="G151" s="120">
        <f t="shared" si="119"/>
        <v>1</v>
      </c>
      <c r="H151" s="120">
        <f t="shared" si="119"/>
        <v>0</v>
      </c>
      <c r="I151" s="120">
        <f t="shared" si="119"/>
        <v>1</v>
      </c>
      <c r="J151" s="120">
        <f t="shared" si="119"/>
        <v>0</v>
      </c>
      <c r="K151" s="120">
        <f t="shared" si="119"/>
        <v>1</v>
      </c>
      <c r="L151" s="120">
        <f t="shared" si="119"/>
        <v>0</v>
      </c>
      <c r="M151" s="120">
        <f t="shared" si="119"/>
        <v>1</v>
      </c>
      <c r="N151" s="120">
        <f t="shared" si="119"/>
        <v>0</v>
      </c>
      <c r="O151" s="120">
        <f t="shared" si="119"/>
        <v>0</v>
      </c>
      <c r="P151" s="120">
        <f t="shared" si="119"/>
        <v>0</v>
      </c>
      <c r="Q151" s="120">
        <f t="shared" si="119"/>
        <v>0</v>
      </c>
      <c r="R151" s="120">
        <f t="shared" si="119"/>
        <v>0</v>
      </c>
      <c r="S151" s="120">
        <f t="shared" si="119"/>
        <v>0</v>
      </c>
      <c r="T151" s="120">
        <f t="shared" si="119"/>
        <v>1</v>
      </c>
      <c r="U151" s="120">
        <f t="shared" si="119"/>
        <v>1</v>
      </c>
      <c r="V151" s="120">
        <f t="shared" si="119"/>
        <v>1</v>
      </c>
      <c r="W151" s="120">
        <f t="shared" si="119"/>
        <v>1</v>
      </c>
      <c r="X151" s="120">
        <f t="shared" si="119"/>
        <v>1</v>
      </c>
      <c r="Y151" s="120">
        <f t="shared" si="113"/>
        <v>1</v>
      </c>
      <c r="AA151" s="120">
        <f t="shared" si="118"/>
        <v>0</v>
      </c>
      <c r="AB151" s="120">
        <f t="shared" si="118"/>
        <v>0.5</v>
      </c>
      <c r="AC151" s="120">
        <f t="shared" si="118"/>
        <v>0</v>
      </c>
      <c r="AD151" s="120">
        <f t="shared" si="118"/>
        <v>0</v>
      </c>
      <c r="AE151" s="120">
        <f t="shared" si="118"/>
        <v>0</v>
      </c>
      <c r="AF151" s="120">
        <f t="shared" si="118"/>
        <v>1</v>
      </c>
      <c r="AG151" s="120">
        <f t="shared" si="118"/>
        <v>0</v>
      </c>
      <c r="AH151" s="120">
        <f t="shared" si="118"/>
        <v>1</v>
      </c>
      <c r="AI151" s="120">
        <f t="shared" si="118"/>
        <v>0</v>
      </c>
      <c r="AJ151" s="120">
        <f t="shared" si="118"/>
        <v>1</v>
      </c>
      <c r="AK151" s="120">
        <f t="shared" si="118"/>
        <v>0</v>
      </c>
      <c r="AL151" s="120">
        <f t="shared" si="118"/>
        <v>1</v>
      </c>
      <c r="AM151" s="120">
        <f t="shared" si="118"/>
        <v>0</v>
      </c>
      <c r="AN151" s="120">
        <f t="shared" si="118"/>
        <v>0</v>
      </c>
      <c r="AO151" s="120">
        <f t="shared" si="118"/>
        <v>0</v>
      </c>
      <c r="AP151" s="120">
        <f t="shared" si="117"/>
        <v>0</v>
      </c>
      <c r="AQ151" s="120">
        <f t="shared" si="117"/>
        <v>0</v>
      </c>
      <c r="AR151" s="120">
        <f t="shared" si="117"/>
        <v>0</v>
      </c>
      <c r="AS151" s="120">
        <f t="shared" si="117"/>
        <v>1</v>
      </c>
      <c r="AT151" s="120">
        <f t="shared" si="117"/>
        <v>1</v>
      </c>
      <c r="AU151" s="120">
        <f t="shared" si="117"/>
        <v>1</v>
      </c>
      <c r="AV151" s="120">
        <f t="shared" si="117"/>
        <v>1</v>
      </c>
      <c r="AW151" s="120">
        <f t="shared" si="117"/>
        <v>1</v>
      </c>
      <c r="AX151" s="120">
        <f t="shared" si="117"/>
        <v>1</v>
      </c>
      <c r="AY151" s="120">
        <f t="shared" si="115"/>
        <v>10.5</v>
      </c>
      <c r="AZ151" s="20" t="s">
        <v>136</v>
      </c>
    </row>
    <row r="152" spans="1:52">
      <c r="A152" s="120" t="s">
        <v>160</v>
      </c>
      <c r="B152" s="120">
        <f t="shared" si="119"/>
        <v>1</v>
      </c>
      <c r="C152" s="120">
        <f t="shared" si="119"/>
        <v>1</v>
      </c>
      <c r="D152" s="120">
        <f t="shared" si="119"/>
        <v>0</v>
      </c>
      <c r="E152" s="120">
        <f t="shared" si="119"/>
        <v>0</v>
      </c>
      <c r="F152" s="120">
        <f t="shared" si="119"/>
        <v>1</v>
      </c>
      <c r="G152" s="120">
        <f t="shared" si="119"/>
        <v>0</v>
      </c>
      <c r="H152" s="120">
        <f t="shared" si="119"/>
        <v>1</v>
      </c>
      <c r="I152" s="120">
        <f t="shared" si="119"/>
        <v>0</v>
      </c>
      <c r="J152" s="120">
        <f t="shared" si="119"/>
        <v>0</v>
      </c>
      <c r="K152" s="120">
        <f t="shared" si="119"/>
        <v>0</v>
      </c>
      <c r="L152" s="120">
        <f t="shared" si="119"/>
        <v>0</v>
      </c>
      <c r="M152" s="120">
        <f t="shared" si="119"/>
        <v>0</v>
      </c>
      <c r="N152" s="120">
        <f t="shared" si="119"/>
        <v>0</v>
      </c>
      <c r="O152" s="120">
        <f t="shared" si="119"/>
        <v>0</v>
      </c>
      <c r="P152" s="120">
        <f t="shared" si="119"/>
        <v>0</v>
      </c>
      <c r="Q152" s="120">
        <f t="shared" si="119"/>
        <v>0</v>
      </c>
      <c r="R152" s="120">
        <f t="shared" si="119"/>
        <v>0</v>
      </c>
      <c r="S152" s="120">
        <f t="shared" si="119"/>
        <v>0</v>
      </c>
      <c r="T152" s="120">
        <f t="shared" si="119"/>
        <v>0</v>
      </c>
      <c r="U152" s="120">
        <f t="shared" si="119"/>
        <v>1</v>
      </c>
      <c r="V152" s="120">
        <f t="shared" si="119"/>
        <v>0</v>
      </c>
      <c r="W152" s="120">
        <f t="shared" si="119"/>
        <v>1</v>
      </c>
      <c r="X152" s="120">
        <f t="shared" si="119"/>
        <v>1</v>
      </c>
      <c r="Y152" s="120">
        <f t="shared" si="113"/>
        <v>0</v>
      </c>
      <c r="AA152" s="120">
        <f t="shared" si="118"/>
        <v>1</v>
      </c>
      <c r="AB152" s="120">
        <f t="shared" si="118"/>
        <v>1</v>
      </c>
      <c r="AC152" s="120">
        <f t="shared" si="118"/>
        <v>0</v>
      </c>
      <c r="AD152" s="120">
        <f t="shared" si="118"/>
        <v>0</v>
      </c>
      <c r="AE152" s="120">
        <f t="shared" si="118"/>
        <v>0.5</v>
      </c>
      <c r="AF152" s="120">
        <f t="shared" si="118"/>
        <v>0</v>
      </c>
      <c r="AG152" s="120">
        <f t="shared" si="118"/>
        <v>0.5</v>
      </c>
      <c r="AH152" s="120">
        <f t="shared" si="118"/>
        <v>0</v>
      </c>
      <c r="AI152" s="120">
        <f t="shared" si="118"/>
        <v>0</v>
      </c>
      <c r="AJ152" s="120">
        <f t="shared" si="118"/>
        <v>0</v>
      </c>
      <c r="AK152" s="120">
        <f t="shared" si="118"/>
        <v>0</v>
      </c>
      <c r="AL152" s="120">
        <f t="shared" si="118"/>
        <v>0</v>
      </c>
      <c r="AM152" s="120">
        <f t="shared" si="118"/>
        <v>0</v>
      </c>
      <c r="AN152" s="120">
        <f t="shared" si="118"/>
        <v>0</v>
      </c>
      <c r="AO152" s="120">
        <f t="shared" si="118"/>
        <v>0</v>
      </c>
      <c r="AP152" s="120">
        <f t="shared" si="117"/>
        <v>0</v>
      </c>
      <c r="AQ152" s="120">
        <f t="shared" si="117"/>
        <v>0</v>
      </c>
      <c r="AR152" s="120">
        <f t="shared" si="117"/>
        <v>0</v>
      </c>
      <c r="AS152" s="120">
        <f t="shared" si="117"/>
        <v>0</v>
      </c>
      <c r="AT152" s="120">
        <f t="shared" si="117"/>
        <v>1</v>
      </c>
      <c r="AU152" s="120">
        <f t="shared" si="117"/>
        <v>0</v>
      </c>
      <c r="AV152" s="120">
        <f t="shared" si="117"/>
        <v>1</v>
      </c>
      <c r="AW152" s="120">
        <f t="shared" si="117"/>
        <v>1</v>
      </c>
      <c r="AX152" s="120">
        <f t="shared" si="117"/>
        <v>0</v>
      </c>
      <c r="AY152" s="120">
        <f t="shared" si="115"/>
        <v>6</v>
      </c>
      <c r="AZ152" s="20" t="s">
        <v>136</v>
      </c>
    </row>
    <row r="153" spans="1:52">
      <c r="A153" s="120" t="s">
        <v>161</v>
      </c>
      <c r="B153" s="120">
        <f t="shared" si="119"/>
        <v>1</v>
      </c>
      <c r="C153" s="120">
        <f t="shared" si="119"/>
        <v>1</v>
      </c>
      <c r="D153" s="120">
        <f t="shared" si="119"/>
        <v>0</v>
      </c>
      <c r="E153" s="120">
        <f t="shared" si="119"/>
        <v>0</v>
      </c>
      <c r="F153" s="120">
        <f t="shared" si="119"/>
        <v>0</v>
      </c>
      <c r="G153" s="120">
        <f t="shared" si="119"/>
        <v>0</v>
      </c>
      <c r="H153" s="120">
        <f t="shared" si="119"/>
        <v>0</v>
      </c>
      <c r="I153" s="120">
        <f t="shared" si="119"/>
        <v>0</v>
      </c>
      <c r="J153" s="120">
        <f t="shared" si="119"/>
        <v>0</v>
      </c>
      <c r="K153" s="120">
        <f t="shared" si="119"/>
        <v>0</v>
      </c>
      <c r="L153" s="120">
        <f t="shared" si="119"/>
        <v>0</v>
      </c>
      <c r="M153" s="120">
        <f t="shared" si="119"/>
        <v>1</v>
      </c>
      <c r="N153" s="120">
        <f t="shared" si="119"/>
        <v>0</v>
      </c>
      <c r="O153" s="120">
        <f t="shared" si="119"/>
        <v>0</v>
      </c>
      <c r="P153" s="120">
        <f t="shared" si="119"/>
        <v>0</v>
      </c>
      <c r="Q153" s="120">
        <f t="shared" si="119"/>
        <v>0</v>
      </c>
      <c r="R153" s="120">
        <f t="shared" si="119"/>
        <v>0</v>
      </c>
      <c r="S153" s="120">
        <f t="shared" si="119"/>
        <v>0</v>
      </c>
      <c r="T153" s="120">
        <f t="shared" si="119"/>
        <v>0</v>
      </c>
      <c r="U153" s="120">
        <f t="shared" si="119"/>
        <v>0</v>
      </c>
      <c r="V153" s="120">
        <f t="shared" si="119"/>
        <v>1</v>
      </c>
      <c r="W153" s="120">
        <f t="shared" si="119"/>
        <v>0</v>
      </c>
      <c r="X153" s="120">
        <f t="shared" si="119"/>
        <v>1</v>
      </c>
      <c r="Y153" s="120">
        <f t="shared" si="113"/>
        <v>0</v>
      </c>
      <c r="AA153" s="120">
        <f t="shared" si="118"/>
        <v>1</v>
      </c>
      <c r="AB153" s="120">
        <f t="shared" si="118"/>
        <v>1</v>
      </c>
      <c r="AC153" s="120">
        <f t="shared" si="118"/>
        <v>0</v>
      </c>
      <c r="AD153" s="120">
        <f t="shared" si="118"/>
        <v>0</v>
      </c>
      <c r="AE153" s="120">
        <f t="shared" si="118"/>
        <v>0</v>
      </c>
      <c r="AF153" s="120">
        <f t="shared" si="118"/>
        <v>0</v>
      </c>
      <c r="AG153" s="120">
        <f t="shared" si="118"/>
        <v>0</v>
      </c>
      <c r="AH153" s="120">
        <f t="shared" si="118"/>
        <v>0</v>
      </c>
      <c r="AI153" s="120">
        <f t="shared" si="118"/>
        <v>0</v>
      </c>
      <c r="AJ153" s="120">
        <f t="shared" si="118"/>
        <v>0</v>
      </c>
      <c r="AK153" s="120">
        <f t="shared" si="118"/>
        <v>0</v>
      </c>
      <c r="AL153" s="120">
        <f t="shared" si="118"/>
        <v>0.5</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0</v>
      </c>
      <c r="AU153" s="120">
        <f t="shared" si="117"/>
        <v>1</v>
      </c>
      <c r="AV153" s="120">
        <f t="shared" si="117"/>
        <v>0</v>
      </c>
      <c r="AW153" s="120">
        <f t="shared" si="117"/>
        <v>1</v>
      </c>
      <c r="AX153" s="120">
        <f t="shared" si="117"/>
        <v>0</v>
      </c>
      <c r="AY153" s="120">
        <f t="shared" si="115"/>
        <v>4.5</v>
      </c>
      <c r="AZ153" s="20" t="s">
        <v>136</v>
      </c>
    </row>
    <row r="154" spans="1:52">
      <c r="A154" s="120" t="s">
        <v>162</v>
      </c>
      <c r="B154" s="120">
        <f t="shared" si="119"/>
        <v>0</v>
      </c>
      <c r="C154" s="120">
        <f t="shared" si="119"/>
        <v>0</v>
      </c>
      <c r="D154" s="120">
        <f t="shared" si="119"/>
        <v>0</v>
      </c>
      <c r="E154" s="120">
        <f t="shared" si="119"/>
        <v>0</v>
      </c>
      <c r="F154" s="120">
        <f t="shared" si="119"/>
        <v>0</v>
      </c>
      <c r="G154" s="120">
        <f t="shared" si="119"/>
        <v>0</v>
      </c>
      <c r="H154" s="120">
        <f t="shared" si="119"/>
        <v>0</v>
      </c>
      <c r="I154" s="120">
        <f t="shared" si="119"/>
        <v>0</v>
      </c>
      <c r="J154" s="120">
        <f t="shared" si="119"/>
        <v>1</v>
      </c>
      <c r="K154" s="120">
        <f t="shared" si="119"/>
        <v>1</v>
      </c>
      <c r="L154" s="120">
        <f t="shared" si="119"/>
        <v>0</v>
      </c>
      <c r="M154" s="120">
        <f t="shared" si="119"/>
        <v>0</v>
      </c>
      <c r="N154" s="120">
        <f t="shared" si="119"/>
        <v>0</v>
      </c>
      <c r="O154" s="120">
        <f t="shared" si="119"/>
        <v>0</v>
      </c>
      <c r="P154" s="120">
        <f t="shared" si="119"/>
        <v>0</v>
      </c>
      <c r="Q154" s="120">
        <f t="shared" si="119"/>
        <v>0</v>
      </c>
      <c r="R154" s="120">
        <f t="shared" si="119"/>
        <v>0</v>
      </c>
      <c r="S154" s="120">
        <f t="shared" si="119"/>
        <v>0</v>
      </c>
      <c r="T154" s="120">
        <f t="shared" si="119"/>
        <v>1</v>
      </c>
      <c r="U154" s="120">
        <f t="shared" si="119"/>
        <v>1</v>
      </c>
      <c r="V154" s="120">
        <f t="shared" si="119"/>
        <v>1</v>
      </c>
      <c r="W154" s="120">
        <f t="shared" si="119"/>
        <v>0</v>
      </c>
      <c r="X154" s="120">
        <f t="shared" si="119"/>
        <v>1</v>
      </c>
      <c r="Y154" s="120">
        <f t="shared" si="113"/>
        <v>0</v>
      </c>
      <c r="AA154" s="120">
        <f t="shared" si="118"/>
        <v>0</v>
      </c>
      <c r="AB154" s="120">
        <f t="shared" si="118"/>
        <v>0</v>
      </c>
      <c r="AC154" s="120">
        <f t="shared" si="118"/>
        <v>0</v>
      </c>
      <c r="AD154" s="120">
        <f t="shared" si="118"/>
        <v>0</v>
      </c>
      <c r="AE154" s="120">
        <f t="shared" si="118"/>
        <v>0</v>
      </c>
      <c r="AF154" s="120">
        <f t="shared" si="118"/>
        <v>0</v>
      </c>
      <c r="AG154" s="120">
        <f t="shared" si="118"/>
        <v>0</v>
      </c>
      <c r="AH154" s="120">
        <f t="shared" si="118"/>
        <v>0</v>
      </c>
      <c r="AI154" s="120">
        <f t="shared" si="118"/>
        <v>1</v>
      </c>
      <c r="AJ154" s="120">
        <f t="shared" si="118"/>
        <v>1</v>
      </c>
      <c r="AK154" s="120">
        <f t="shared" si="118"/>
        <v>0</v>
      </c>
      <c r="AL154" s="120">
        <f t="shared" si="118"/>
        <v>0</v>
      </c>
      <c r="AM154" s="120">
        <f t="shared" si="118"/>
        <v>0</v>
      </c>
      <c r="AN154" s="120">
        <f t="shared" si="118"/>
        <v>0</v>
      </c>
      <c r="AO154" s="120">
        <f t="shared" si="118"/>
        <v>0</v>
      </c>
      <c r="AP154" s="120">
        <f t="shared" si="117"/>
        <v>0</v>
      </c>
      <c r="AQ154" s="120">
        <f t="shared" si="117"/>
        <v>0</v>
      </c>
      <c r="AR154" s="120">
        <f t="shared" si="117"/>
        <v>0</v>
      </c>
      <c r="AS154" s="120">
        <f t="shared" si="117"/>
        <v>1</v>
      </c>
      <c r="AT154" s="120">
        <f t="shared" si="117"/>
        <v>1</v>
      </c>
      <c r="AU154" s="120">
        <f t="shared" si="117"/>
        <v>1</v>
      </c>
      <c r="AV154" s="120">
        <f t="shared" si="117"/>
        <v>0</v>
      </c>
      <c r="AW154" s="120">
        <f t="shared" si="117"/>
        <v>1</v>
      </c>
      <c r="AX154" s="120">
        <f t="shared" si="117"/>
        <v>0</v>
      </c>
      <c r="AY154" s="120">
        <f t="shared" si="115"/>
        <v>6</v>
      </c>
      <c r="AZ154" s="20" t="s">
        <v>136</v>
      </c>
    </row>
    <row r="155" spans="1:52">
      <c r="A155" s="120" t="s">
        <v>163</v>
      </c>
      <c r="B155" s="120">
        <f t="shared" si="119"/>
        <v>1</v>
      </c>
      <c r="C155" s="120">
        <f t="shared" si="119"/>
        <v>1</v>
      </c>
      <c r="D155" s="120">
        <f t="shared" si="119"/>
        <v>0</v>
      </c>
      <c r="E155" s="120">
        <f t="shared" si="119"/>
        <v>0</v>
      </c>
      <c r="F155" s="120">
        <f t="shared" si="119"/>
        <v>0</v>
      </c>
      <c r="G155" s="120">
        <f t="shared" si="119"/>
        <v>0</v>
      </c>
      <c r="H155" s="120">
        <f t="shared" si="119"/>
        <v>0</v>
      </c>
      <c r="I155" s="120">
        <f t="shared" si="119"/>
        <v>1</v>
      </c>
      <c r="J155" s="120">
        <f t="shared" si="119"/>
        <v>1</v>
      </c>
      <c r="K155" s="120">
        <f t="shared" si="119"/>
        <v>0</v>
      </c>
      <c r="L155" s="120">
        <f t="shared" si="119"/>
        <v>0</v>
      </c>
      <c r="M155" s="120">
        <f t="shared" si="119"/>
        <v>0</v>
      </c>
      <c r="N155" s="120">
        <f t="shared" si="119"/>
        <v>0</v>
      </c>
      <c r="O155" s="120">
        <f t="shared" si="119"/>
        <v>1</v>
      </c>
      <c r="P155" s="120">
        <f t="shared" si="119"/>
        <v>0</v>
      </c>
      <c r="Q155" s="120">
        <f t="shared" si="119"/>
        <v>0</v>
      </c>
      <c r="R155" s="120">
        <f t="shared" si="119"/>
        <v>0</v>
      </c>
      <c r="S155" s="120">
        <f t="shared" si="119"/>
        <v>0</v>
      </c>
      <c r="T155" s="120">
        <f t="shared" si="119"/>
        <v>1</v>
      </c>
      <c r="U155" s="120">
        <f t="shared" si="119"/>
        <v>0</v>
      </c>
      <c r="V155" s="120">
        <f t="shared" si="119"/>
        <v>1</v>
      </c>
      <c r="W155" s="120">
        <f t="shared" si="119"/>
        <v>0</v>
      </c>
      <c r="X155" s="120">
        <f t="shared" si="119"/>
        <v>1</v>
      </c>
      <c r="Y155" s="120">
        <f t="shared" si="113"/>
        <v>0</v>
      </c>
      <c r="AA155" s="120">
        <f t="shared" si="118"/>
        <v>1</v>
      </c>
      <c r="AB155" s="120">
        <f t="shared" si="118"/>
        <v>1</v>
      </c>
      <c r="AC155" s="120">
        <f t="shared" si="118"/>
        <v>0</v>
      </c>
      <c r="AD155" s="120">
        <f t="shared" si="118"/>
        <v>0</v>
      </c>
      <c r="AE155" s="120">
        <f t="shared" si="118"/>
        <v>0</v>
      </c>
      <c r="AF155" s="120">
        <f t="shared" si="118"/>
        <v>0</v>
      </c>
      <c r="AG155" s="120">
        <f t="shared" si="118"/>
        <v>0</v>
      </c>
      <c r="AH155" s="120">
        <f t="shared" si="118"/>
        <v>1</v>
      </c>
      <c r="AI155" s="120">
        <f t="shared" si="118"/>
        <v>1</v>
      </c>
      <c r="AJ155" s="120">
        <f t="shared" si="118"/>
        <v>0</v>
      </c>
      <c r="AK155" s="120">
        <f t="shared" si="118"/>
        <v>0</v>
      </c>
      <c r="AL155" s="120">
        <f t="shared" si="118"/>
        <v>0</v>
      </c>
      <c r="AM155" s="120">
        <f t="shared" si="118"/>
        <v>0</v>
      </c>
      <c r="AN155" s="120">
        <f t="shared" si="118"/>
        <v>0.5</v>
      </c>
      <c r="AO155" s="120">
        <f t="shared" si="118"/>
        <v>0</v>
      </c>
      <c r="AP155" s="120">
        <f t="shared" si="117"/>
        <v>0</v>
      </c>
      <c r="AQ155" s="120">
        <f t="shared" si="117"/>
        <v>0</v>
      </c>
      <c r="AR155" s="120">
        <f t="shared" si="117"/>
        <v>0</v>
      </c>
      <c r="AS155" s="120">
        <f t="shared" si="117"/>
        <v>1</v>
      </c>
      <c r="AT155" s="120">
        <f t="shared" si="117"/>
        <v>0</v>
      </c>
      <c r="AU155" s="120">
        <f t="shared" si="117"/>
        <v>0.5</v>
      </c>
      <c r="AV155" s="120">
        <f t="shared" si="117"/>
        <v>0</v>
      </c>
      <c r="AW155" s="120">
        <f t="shared" si="117"/>
        <v>1</v>
      </c>
      <c r="AX155" s="120">
        <f t="shared" si="117"/>
        <v>0</v>
      </c>
      <c r="AY155" s="120">
        <f t="shared" si="115"/>
        <v>7</v>
      </c>
      <c r="AZ155" s="20" t="s">
        <v>136</v>
      </c>
    </row>
    <row r="156" spans="1:52">
      <c r="A156" s="120" t="s">
        <v>164</v>
      </c>
      <c r="B156" s="120">
        <f t="shared" si="119"/>
        <v>1</v>
      </c>
      <c r="C156" s="120">
        <f t="shared" si="119"/>
        <v>0</v>
      </c>
      <c r="D156" s="120">
        <f t="shared" si="119"/>
        <v>1</v>
      </c>
      <c r="E156" s="120">
        <f t="shared" si="119"/>
        <v>0</v>
      </c>
      <c r="F156" s="120">
        <f t="shared" si="119"/>
        <v>0</v>
      </c>
      <c r="G156" s="120">
        <f t="shared" si="119"/>
        <v>1</v>
      </c>
      <c r="H156" s="120">
        <f t="shared" si="119"/>
        <v>1</v>
      </c>
      <c r="I156" s="120">
        <f t="shared" si="119"/>
        <v>0</v>
      </c>
      <c r="J156" s="120">
        <f t="shared" si="119"/>
        <v>0</v>
      </c>
      <c r="K156" s="120">
        <f t="shared" si="119"/>
        <v>0</v>
      </c>
      <c r="L156" s="120">
        <f t="shared" si="119"/>
        <v>0</v>
      </c>
      <c r="M156" s="120">
        <f t="shared" si="119"/>
        <v>0</v>
      </c>
      <c r="N156" s="120">
        <f t="shared" si="119"/>
        <v>0</v>
      </c>
      <c r="O156" s="120">
        <f t="shared" si="119"/>
        <v>0</v>
      </c>
      <c r="P156" s="120">
        <f t="shared" si="119"/>
        <v>1</v>
      </c>
      <c r="Q156" s="120">
        <f t="shared" si="119"/>
        <v>0</v>
      </c>
      <c r="R156" s="120">
        <f t="shared" si="119"/>
        <v>0</v>
      </c>
      <c r="S156" s="120">
        <f t="shared" si="119"/>
        <v>0</v>
      </c>
      <c r="T156" s="120">
        <f t="shared" si="119"/>
        <v>0</v>
      </c>
      <c r="U156" s="120">
        <f t="shared" si="119"/>
        <v>1</v>
      </c>
      <c r="V156" s="120">
        <f t="shared" si="119"/>
        <v>0</v>
      </c>
      <c r="W156" s="120">
        <f t="shared" si="119"/>
        <v>0</v>
      </c>
      <c r="X156" s="120">
        <f t="shared" si="119"/>
        <v>1</v>
      </c>
      <c r="Y156" s="120">
        <f t="shared" si="113"/>
        <v>1</v>
      </c>
      <c r="AA156" s="120">
        <f t="shared" si="118"/>
        <v>1</v>
      </c>
      <c r="AB156" s="120">
        <f t="shared" si="118"/>
        <v>0</v>
      </c>
      <c r="AC156" s="120">
        <f t="shared" si="118"/>
        <v>1</v>
      </c>
      <c r="AD156" s="120">
        <f t="shared" si="118"/>
        <v>0</v>
      </c>
      <c r="AE156" s="120">
        <f t="shared" si="118"/>
        <v>0</v>
      </c>
      <c r="AF156" s="120">
        <f t="shared" si="118"/>
        <v>1</v>
      </c>
      <c r="AG156" s="120">
        <f t="shared" si="118"/>
        <v>1</v>
      </c>
      <c r="AH156" s="120">
        <f t="shared" si="118"/>
        <v>0</v>
      </c>
      <c r="AI156" s="120">
        <f t="shared" si="118"/>
        <v>0</v>
      </c>
      <c r="AJ156" s="120">
        <f t="shared" si="118"/>
        <v>0</v>
      </c>
      <c r="AK156" s="120">
        <f t="shared" si="118"/>
        <v>0</v>
      </c>
      <c r="AL156" s="120">
        <f t="shared" si="118"/>
        <v>0</v>
      </c>
      <c r="AM156" s="120">
        <f t="shared" si="118"/>
        <v>0</v>
      </c>
      <c r="AN156" s="120">
        <f t="shared" si="118"/>
        <v>0</v>
      </c>
      <c r="AO156" s="120">
        <f t="shared" si="118"/>
        <v>1</v>
      </c>
      <c r="AP156" s="120">
        <f t="shared" si="117"/>
        <v>0</v>
      </c>
      <c r="AQ156" s="120">
        <f t="shared" si="117"/>
        <v>0</v>
      </c>
      <c r="AR156" s="120">
        <f t="shared" si="117"/>
        <v>0</v>
      </c>
      <c r="AS156" s="120">
        <f t="shared" si="117"/>
        <v>0</v>
      </c>
      <c r="AT156" s="120">
        <f t="shared" si="117"/>
        <v>1</v>
      </c>
      <c r="AU156" s="120">
        <f t="shared" si="117"/>
        <v>0</v>
      </c>
      <c r="AV156" s="120">
        <f t="shared" si="117"/>
        <v>0</v>
      </c>
      <c r="AW156" s="120">
        <f t="shared" si="117"/>
        <v>0.5</v>
      </c>
      <c r="AX156" s="120">
        <f t="shared" si="117"/>
        <v>1</v>
      </c>
      <c r="AY156" s="120">
        <f t="shared" si="115"/>
        <v>7.5</v>
      </c>
      <c r="AZ156" s="20" t="s">
        <v>136</v>
      </c>
    </row>
    <row r="157" spans="1:52">
      <c r="A157" s="120" t="s">
        <v>165</v>
      </c>
      <c r="B157" s="120">
        <f t="shared" si="119"/>
        <v>0</v>
      </c>
      <c r="C157" s="120">
        <f t="shared" si="119"/>
        <v>0</v>
      </c>
      <c r="D157" s="120">
        <f t="shared" si="119"/>
        <v>0</v>
      </c>
      <c r="E157" s="120">
        <f t="shared" si="119"/>
        <v>0</v>
      </c>
      <c r="F157" s="120">
        <f t="shared" si="119"/>
        <v>1</v>
      </c>
      <c r="G157" s="120">
        <f t="shared" si="119"/>
        <v>0</v>
      </c>
      <c r="H157" s="120">
        <f t="shared" si="119"/>
        <v>0</v>
      </c>
      <c r="I157" s="120">
        <f t="shared" si="119"/>
        <v>0</v>
      </c>
      <c r="J157" s="120">
        <f t="shared" si="119"/>
        <v>1</v>
      </c>
      <c r="K157" s="120">
        <f t="shared" si="119"/>
        <v>0</v>
      </c>
      <c r="L157" s="120">
        <f t="shared" si="119"/>
        <v>1</v>
      </c>
      <c r="M157" s="120">
        <f t="shared" si="119"/>
        <v>1</v>
      </c>
      <c r="N157" s="120">
        <f t="shared" si="119"/>
        <v>1</v>
      </c>
      <c r="O157" s="120">
        <f t="shared" si="119"/>
        <v>0</v>
      </c>
      <c r="P157" s="120">
        <f t="shared" si="119"/>
        <v>0</v>
      </c>
      <c r="Q157" s="120">
        <f t="shared" si="119"/>
        <v>0</v>
      </c>
      <c r="R157" s="120">
        <f t="shared" si="119"/>
        <v>1</v>
      </c>
      <c r="S157" s="120">
        <f t="shared" si="119"/>
        <v>0</v>
      </c>
      <c r="T157" s="120">
        <f t="shared" si="119"/>
        <v>0</v>
      </c>
      <c r="U157" s="120">
        <f t="shared" si="119"/>
        <v>0</v>
      </c>
      <c r="V157" s="120">
        <f t="shared" si="119"/>
        <v>0</v>
      </c>
      <c r="W157" s="120">
        <f t="shared" si="119"/>
        <v>0</v>
      </c>
      <c r="X157" s="120">
        <f t="shared" si="119"/>
        <v>1</v>
      </c>
      <c r="Y157" s="120">
        <f t="shared" si="113"/>
        <v>1</v>
      </c>
      <c r="AA157" s="120">
        <f t="shared" si="118"/>
        <v>0</v>
      </c>
      <c r="AB157" s="120">
        <f t="shared" si="118"/>
        <v>0</v>
      </c>
      <c r="AC157" s="120">
        <f t="shared" si="118"/>
        <v>0</v>
      </c>
      <c r="AD157" s="120">
        <f t="shared" si="118"/>
        <v>0</v>
      </c>
      <c r="AE157" s="120">
        <f t="shared" si="118"/>
        <v>0.5</v>
      </c>
      <c r="AF157" s="120">
        <f t="shared" si="118"/>
        <v>0</v>
      </c>
      <c r="AG157" s="120">
        <f t="shared" si="118"/>
        <v>0</v>
      </c>
      <c r="AH157" s="120">
        <f t="shared" si="118"/>
        <v>0</v>
      </c>
      <c r="AI157" s="120">
        <f t="shared" si="118"/>
        <v>1</v>
      </c>
      <c r="AJ157" s="120">
        <f t="shared" si="118"/>
        <v>0</v>
      </c>
      <c r="AK157" s="120">
        <f t="shared" si="118"/>
        <v>1</v>
      </c>
      <c r="AL157" s="120">
        <f t="shared" si="118"/>
        <v>1</v>
      </c>
      <c r="AM157" s="120">
        <f t="shared" si="118"/>
        <v>1</v>
      </c>
      <c r="AN157" s="120">
        <f t="shared" si="118"/>
        <v>0</v>
      </c>
      <c r="AO157" s="120">
        <f t="shared" si="118"/>
        <v>0</v>
      </c>
      <c r="AP157" s="120">
        <f t="shared" si="117"/>
        <v>0</v>
      </c>
      <c r="AQ157" s="120">
        <f t="shared" si="117"/>
        <v>1</v>
      </c>
      <c r="AR157" s="120">
        <f t="shared" si="117"/>
        <v>0</v>
      </c>
      <c r="AS157" s="120">
        <f t="shared" si="117"/>
        <v>0</v>
      </c>
      <c r="AT157" s="120">
        <f t="shared" si="117"/>
        <v>0</v>
      </c>
      <c r="AU157" s="120">
        <f t="shared" si="117"/>
        <v>0</v>
      </c>
      <c r="AV157" s="120">
        <f t="shared" si="117"/>
        <v>0</v>
      </c>
      <c r="AW157" s="120">
        <f t="shared" si="117"/>
        <v>1</v>
      </c>
      <c r="AX157" s="120">
        <f t="shared" si="117"/>
        <v>0.5</v>
      </c>
      <c r="AY157" s="120">
        <f t="shared" si="115"/>
        <v>7</v>
      </c>
      <c r="AZ157" s="20" t="s">
        <v>136</v>
      </c>
    </row>
    <row r="158" spans="1:52">
      <c r="A158" s="120" t="s">
        <v>166</v>
      </c>
      <c r="B158" s="120">
        <f t="shared" si="119"/>
        <v>0</v>
      </c>
      <c r="C158" s="120">
        <f t="shared" si="119"/>
        <v>0</v>
      </c>
      <c r="D158" s="120">
        <f t="shared" si="119"/>
        <v>0</v>
      </c>
      <c r="E158" s="120">
        <f t="shared" si="119"/>
        <v>1</v>
      </c>
      <c r="F158" s="120">
        <f t="shared" si="119"/>
        <v>0</v>
      </c>
      <c r="G158" s="120">
        <f t="shared" si="119"/>
        <v>0</v>
      </c>
      <c r="H158" s="120">
        <f t="shared" si="119"/>
        <v>1</v>
      </c>
      <c r="I158" s="120">
        <f t="shared" si="119"/>
        <v>1</v>
      </c>
      <c r="J158" s="120">
        <f t="shared" si="119"/>
        <v>1</v>
      </c>
      <c r="K158" s="120">
        <f t="shared" si="119"/>
        <v>0</v>
      </c>
      <c r="L158" s="120">
        <f t="shared" si="119"/>
        <v>1</v>
      </c>
      <c r="M158" s="120">
        <f t="shared" si="119"/>
        <v>0</v>
      </c>
      <c r="N158" s="120">
        <f t="shared" si="119"/>
        <v>0</v>
      </c>
      <c r="O158" s="120">
        <f t="shared" si="119"/>
        <v>0</v>
      </c>
      <c r="P158" s="120">
        <f t="shared" si="119"/>
        <v>0</v>
      </c>
      <c r="Q158" s="120">
        <f t="shared" si="119"/>
        <v>0</v>
      </c>
      <c r="R158" s="120">
        <f t="shared" si="119"/>
        <v>0</v>
      </c>
      <c r="S158" s="120">
        <f t="shared" si="119"/>
        <v>0</v>
      </c>
      <c r="T158" s="120">
        <f t="shared" si="119"/>
        <v>0</v>
      </c>
      <c r="U158" s="120">
        <f t="shared" si="119"/>
        <v>1</v>
      </c>
      <c r="V158" s="120">
        <f t="shared" si="119"/>
        <v>0</v>
      </c>
      <c r="W158" s="120">
        <f t="shared" si="119"/>
        <v>1</v>
      </c>
      <c r="X158" s="120">
        <f t="shared" si="119"/>
        <v>1</v>
      </c>
      <c r="Y158" s="120">
        <f t="shared" si="113"/>
        <v>1</v>
      </c>
      <c r="AA158" s="120">
        <f t="shared" si="118"/>
        <v>0</v>
      </c>
      <c r="AB158" s="120">
        <f t="shared" si="118"/>
        <v>0</v>
      </c>
      <c r="AC158" s="120">
        <f t="shared" si="118"/>
        <v>0</v>
      </c>
      <c r="AD158" s="120">
        <f t="shared" si="118"/>
        <v>1</v>
      </c>
      <c r="AE158" s="120">
        <f t="shared" si="118"/>
        <v>0</v>
      </c>
      <c r="AF158" s="120">
        <f t="shared" si="118"/>
        <v>0</v>
      </c>
      <c r="AG158" s="120">
        <f t="shared" si="118"/>
        <v>1</v>
      </c>
      <c r="AH158" s="120">
        <f t="shared" si="118"/>
        <v>1</v>
      </c>
      <c r="AI158" s="120">
        <f t="shared" si="118"/>
        <v>1</v>
      </c>
      <c r="AJ158" s="120">
        <f t="shared" si="118"/>
        <v>0</v>
      </c>
      <c r="AK158" s="120">
        <f t="shared" si="118"/>
        <v>1</v>
      </c>
      <c r="AL158" s="120">
        <f t="shared" si="118"/>
        <v>0</v>
      </c>
      <c r="AM158" s="120">
        <f t="shared" si="118"/>
        <v>0</v>
      </c>
      <c r="AN158" s="120">
        <f t="shared" si="118"/>
        <v>0</v>
      </c>
      <c r="AO158" s="120">
        <f t="shared" si="118"/>
        <v>0</v>
      </c>
      <c r="AP158" s="120">
        <f t="shared" si="117"/>
        <v>0</v>
      </c>
      <c r="AQ158" s="120">
        <f t="shared" si="117"/>
        <v>0</v>
      </c>
      <c r="AR158" s="120">
        <f t="shared" si="117"/>
        <v>0</v>
      </c>
      <c r="AS158" s="120">
        <f t="shared" si="117"/>
        <v>0</v>
      </c>
      <c r="AT158" s="120">
        <f t="shared" si="117"/>
        <v>1</v>
      </c>
      <c r="AU158" s="120">
        <f t="shared" si="117"/>
        <v>0</v>
      </c>
      <c r="AV158" s="120">
        <f t="shared" si="117"/>
        <v>1</v>
      </c>
      <c r="AW158" s="120">
        <f t="shared" si="117"/>
        <v>1</v>
      </c>
      <c r="AX158" s="120">
        <f t="shared" si="117"/>
        <v>0.5</v>
      </c>
      <c r="AY158" s="120">
        <f t="shared" si="115"/>
        <v>8.5</v>
      </c>
      <c r="AZ158" s="20" t="s">
        <v>136</v>
      </c>
    </row>
    <row r="159" spans="1:52">
      <c r="A159" s="120" t="s">
        <v>167</v>
      </c>
      <c r="B159" s="120">
        <f t="shared" si="119"/>
        <v>1</v>
      </c>
      <c r="C159" s="120">
        <f t="shared" si="119"/>
        <v>1</v>
      </c>
      <c r="D159" s="120">
        <f t="shared" si="119"/>
        <v>1</v>
      </c>
      <c r="E159" s="120">
        <f t="shared" si="119"/>
        <v>1</v>
      </c>
      <c r="F159" s="120">
        <f t="shared" si="119"/>
        <v>1</v>
      </c>
      <c r="G159" s="120">
        <f t="shared" si="119"/>
        <v>1</v>
      </c>
      <c r="H159" s="120">
        <f t="shared" si="119"/>
        <v>1</v>
      </c>
      <c r="I159" s="120">
        <f t="shared" si="119"/>
        <v>0</v>
      </c>
      <c r="J159" s="120">
        <f t="shared" si="119"/>
        <v>1</v>
      </c>
      <c r="K159" s="120">
        <f t="shared" si="119"/>
        <v>1</v>
      </c>
      <c r="L159" s="120">
        <f t="shared" si="119"/>
        <v>0</v>
      </c>
      <c r="M159" s="120">
        <f t="shared" si="119"/>
        <v>0</v>
      </c>
      <c r="N159" s="120">
        <f t="shared" si="119"/>
        <v>0</v>
      </c>
      <c r="O159" s="120">
        <f t="shared" si="119"/>
        <v>0</v>
      </c>
      <c r="P159" s="120">
        <f t="shared" si="119"/>
        <v>0</v>
      </c>
      <c r="Q159" s="120">
        <f t="shared" si="119"/>
        <v>0</v>
      </c>
      <c r="R159" s="120">
        <f t="shared" si="119"/>
        <v>0</v>
      </c>
      <c r="S159" s="120">
        <f t="shared" si="119"/>
        <v>1</v>
      </c>
      <c r="T159" s="120">
        <f t="shared" si="119"/>
        <v>1</v>
      </c>
      <c r="U159" s="120">
        <f t="shared" si="119"/>
        <v>1</v>
      </c>
      <c r="V159" s="120">
        <f t="shared" si="119"/>
        <v>1</v>
      </c>
      <c r="W159" s="120">
        <f t="shared" si="119"/>
        <v>1</v>
      </c>
      <c r="X159" s="120">
        <f t="shared" si="119"/>
        <v>1</v>
      </c>
      <c r="Y159" s="120">
        <f t="shared" si="113"/>
        <v>1</v>
      </c>
      <c r="AA159" s="120">
        <f t="shared" si="118"/>
        <v>1</v>
      </c>
      <c r="AB159" s="120">
        <f t="shared" si="118"/>
        <v>1</v>
      </c>
      <c r="AC159" s="120">
        <f t="shared" si="118"/>
        <v>1</v>
      </c>
      <c r="AD159" s="120">
        <f t="shared" si="118"/>
        <v>1</v>
      </c>
      <c r="AE159" s="120">
        <f t="shared" si="118"/>
        <v>1</v>
      </c>
      <c r="AF159" s="120">
        <f t="shared" si="118"/>
        <v>1</v>
      </c>
      <c r="AG159" s="120">
        <f t="shared" si="118"/>
        <v>1</v>
      </c>
      <c r="AH159" s="120">
        <f t="shared" si="118"/>
        <v>0</v>
      </c>
      <c r="AI159" s="120">
        <f t="shared" si="118"/>
        <v>1</v>
      </c>
      <c r="AJ159" s="120">
        <f t="shared" si="118"/>
        <v>1</v>
      </c>
      <c r="AK159" s="120">
        <f t="shared" si="118"/>
        <v>0</v>
      </c>
      <c r="AL159" s="120">
        <f t="shared" si="118"/>
        <v>0</v>
      </c>
      <c r="AM159" s="120">
        <f t="shared" si="118"/>
        <v>0</v>
      </c>
      <c r="AN159" s="120">
        <f t="shared" si="118"/>
        <v>0</v>
      </c>
      <c r="AO159" s="120">
        <f t="shared" si="118"/>
        <v>0</v>
      </c>
      <c r="AP159" s="120">
        <f t="shared" si="117"/>
        <v>0</v>
      </c>
      <c r="AQ159" s="120">
        <f t="shared" si="117"/>
        <v>0</v>
      </c>
      <c r="AR159" s="120">
        <f t="shared" si="117"/>
        <v>1</v>
      </c>
      <c r="AS159" s="120">
        <f t="shared" si="117"/>
        <v>1</v>
      </c>
      <c r="AT159" s="120">
        <f t="shared" si="117"/>
        <v>1</v>
      </c>
      <c r="AU159" s="120">
        <f t="shared" si="117"/>
        <v>0.5</v>
      </c>
      <c r="AV159" s="120">
        <f t="shared" si="117"/>
        <v>1</v>
      </c>
      <c r="AW159" s="120">
        <f t="shared" si="117"/>
        <v>1</v>
      </c>
      <c r="AX159" s="120">
        <f t="shared" si="117"/>
        <v>1</v>
      </c>
      <c r="AY159" s="120">
        <f t="shared" si="115"/>
        <v>15.5</v>
      </c>
      <c r="AZ159" s="20" t="s">
        <v>136</v>
      </c>
    </row>
    <row r="160" spans="1:52">
      <c r="A160" s="120" t="s">
        <v>168</v>
      </c>
      <c r="B160" s="120">
        <f t="shared" si="119"/>
        <v>1</v>
      </c>
      <c r="C160" s="120">
        <f t="shared" si="119"/>
        <v>1</v>
      </c>
      <c r="D160" s="120">
        <f t="shared" si="119"/>
        <v>1</v>
      </c>
      <c r="E160" s="120">
        <f t="shared" si="119"/>
        <v>0</v>
      </c>
      <c r="F160" s="120">
        <f t="shared" ref="B160:X167" si="120">IF(IFERROR(FIND($A$136,F28,1),0)=0,0,1)</f>
        <v>0</v>
      </c>
      <c r="G160" s="120">
        <f t="shared" si="120"/>
        <v>0</v>
      </c>
      <c r="H160" s="120">
        <f t="shared" si="120"/>
        <v>1</v>
      </c>
      <c r="I160" s="120">
        <f t="shared" si="120"/>
        <v>1</v>
      </c>
      <c r="J160" s="120">
        <f t="shared" si="120"/>
        <v>0</v>
      </c>
      <c r="K160" s="120">
        <f t="shared" si="120"/>
        <v>0</v>
      </c>
      <c r="L160" s="120">
        <f t="shared" si="120"/>
        <v>0</v>
      </c>
      <c r="M160" s="120">
        <f t="shared" si="120"/>
        <v>0</v>
      </c>
      <c r="N160" s="120">
        <f t="shared" si="120"/>
        <v>1</v>
      </c>
      <c r="O160" s="120">
        <f t="shared" si="120"/>
        <v>1</v>
      </c>
      <c r="P160" s="120">
        <f t="shared" si="120"/>
        <v>1</v>
      </c>
      <c r="Q160" s="120">
        <f t="shared" si="120"/>
        <v>1</v>
      </c>
      <c r="R160" s="120">
        <f t="shared" si="120"/>
        <v>0</v>
      </c>
      <c r="S160" s="120">
        <f t="shared" si="120"/>
        <v>0</v>
      </c>
      <c r="T160" s="120">
        <f t="shared" si="120"/>
        <v>0</v>
      </c>
      <c r="U160" s="120">
        <f t="shared" si="120"/>
        <v>1</v>
      </c>
      <c r="V160" s="120">
        <f t="shared" si="120"/>
        <v>1</v>
      </c>
      <c r="W160" s="120">
        <f t="shared" si="120"/>
        <v>1</v>
      </c>
      <c r="X160" s="120">
        <f t="shared" si="120"/>
        <v>1</v>
      </c>
      <c r="Y160" s="120">
        <f t="shared" si="113"/>
        <v>1</v>
      </c>
      <c r="AA160" s="120">
        <f t="shared" si="118"/>
        <v>1</v>
      </c>
      <c r="AB160" s="120">
        <f t="shared" si="118"/>
        <v>1</v>
      </c>
      <c r="AC160" s="120">
        <f t="shared" si="118"/>
        <v>1</v>
      </c>
      <c r="AD160" s="120">
        <f t="shared" si="118"/>
        <v>0</v>
      </c>
      <c r="AE160" s="120">
        <f t="shared" si="118"/>
        <v>0</v>
      </c>
      <c r="AF160" s="120">
        <f t="shared" si="118"/>
        <v>0</v>
      </c>
      <c r="AG160" s="120">
        <f t="shared" si="118"/>
        <v>1</v>
      </c>
      <c r="AH160" s="120">
        <f t="shared" si="118"/>
        <v>1</v>
      </c>
      <c r="AI160" s="120">
        <f t="shared" si="118"/>
        <v>0</v>
      </c>
      <c r="AJ160" s="120">
        <f t="shared" si="118"/>
        <v>0</v>
      </c>
      <c r="AK160" s="120">
        <f t="shared" si="118"/>
        <v>0</v>
      </c>
      <c r="AL160" s="120">
        <f t="shared" si="118"/>
        <v>0</v>
      </c>
      <c r="AM160" s="120">
        <f t="shared" si="118"/>
        <v>0.33333333333333331</v>
      </c>
      <c r="AN160" s="120">
        <f t="shared" si="118"/>
        <v>0.33333333333333331</v>
      </c>
      <c r="AO160" s="120">
        <f t="shared" si="118"/>
        <v>0.33333333333333331</v>
      </c>
      <c r="AP160" s="120">
        <f t="shared" si="117"/>
        <v>0.33333333333333331</v>
      </c>
      <c r="AQ160" s="120">
        <f t="shared" si="117"/>
        <v>0</v>
      </c>
      <c r="AR160" s="120">
        <f t="shared" si="117"/>
        <v>0</v>
      </c>
      <c r="AS160" s="120">
        <f t="shared" si="117"/>
        <v>0</v>
      </c>
      <c r="AT160" s="120">
        <f t="shared" si="117"/>
        <v>1</v>
      </c>
      <c r="AU160" s="120">
        <f t="shared" si="117"/>
        <v>1</v>
      </c>
      <c r="AV160" s="120">
        <f t="shared" si="117"/>
        <v>1</v>
      </c>
      <c r="AW160" s="120">
        <f t="shared" si="117"/>
        <v>1</v>
      </c>
      <c r="AX160" s="120">
        <f t="shared" si="117"/>
        <v>1</v>
      </c>
      <c r="AY160" s="120">
        <f t="shared" si="115"/>
        <v>11.333333333333332</v>
      </c>
      <c r="AZ160" s="20" t="s">
        <v>136</v>
      </c>
    </row>
    <row r="161" spans="1:52">
      <c r="A161" s="120" t="s">
        <v>169</v>
      </c>
      <c r="B161" s="120">
        <f t="shared" si="120"/>
        <v>1</v>
      </c>
      <c r="C161" s="120">
        <f t="shared" si="120"/>
        <v>1</v>
      </c>
      <c r="D161" s="120">
        <f t="shared" si="120"/>
        <v>0</v>
      </c>
      <c r="E161" s="120">
        <f t="shared" si="120"/>
        <v>0</v>
      </c>
      <c r="F161" s="120">
        <f t="shared" si="120"/>
        <v>0</v>
      </c>
      <c r="G161" s="120">
        <f t="shared" si="120"/>
        <v>0</v>
      </c>
      <c r="H161" s="120">
        <f t="shared" si="120"/>
        <v>0</v>
      </c>
      <c r="I161" s="120">
        <f t="shared" si="120"/>
        <v>1</v>
      </c>
      <c r="J161" s="120">
        <f t="shared" si="120"/>
        <v>1</v>
      </c>
      <c r="K161" s="120">
        <f t="shared" si="120"/>
        <v>0</v>
      </c>
      <c r="L161" s="120">
        <f t="shared" si="120"/>
        <v>0</v>
      </c>
      <c r="M161" s="120">
        <f t="shared" si="120"/>
        <v>0</v>
      </c>
      <c r="N161" s="120">
        <f t="shared" si="120"/>
        <v>0</v>
      </c>
      <c r="O161" s="120">
        <f t="shared" si="120"/>
        <v>0</v>
      </c>
      <c r="P161" s="120">
        <f t="shared" si="120"/>
        <v>0</v>
      </c>
      <c r="Q161" s="120">
        <f t="shared" si="120"/>
        <v>0</v>
      </c>
      <c r="R161" s="120">
        <f t="shared" si="120"/>
        <v>0</v>
      </c>
      <c r="S161" s="120">
        <f t="shared" si="120"/>
        <v>0</v>
      </c>
      <c r="T161" s="120">
        <f t="shared" si="120"/>
        <v>1</v>
      </c>
      <c r="U161" s="120">
        <f t="shared" si="120"/>
        <v>1</v>
      </c>
      <c r="V161" s="120">
        <f t="shared" si="120"/>
        <v>0</v>
      </c>
      <c r="W161" s="120">
        <f t="shared" si="120"/>
        <v>1</v>
      </c>
      <c r="X161" s="120">
        <f t="shared" si="120"/>
        <v>0</v>
      </c>
      <c r="Y161" s="120">
        <f t="shared" si="113"/>
        <v>0</v>
      </c>
      <c r="AA161" s="120">
        <f t="shared" si="118"/>
        <v>1</v>
      </c>
      <c r="AB161" s="120">
        <f t="shared" si="118"/>
        <v>1</v>
      </c>
      <c r="AC161" s="120">
        <f t="shared" si="118"/>
        <v>0</v>
      </c>
      <c r="AD161" s="120">
        <f t="shared" si="118"/>
        <v>0</v>
      </c>
      <c r="AE161" s="120">
        <f t="shared" si="118"/>
        <v>0</v>
      </c>
      <c r="AF161" s="120">
        <f t="shared" si="118"/>
        <v>0</v>
      </c>
      <c r="AG161" s="120">
        <f t="shared" si="118"/>
        <v>0</v>
      </c>
      <c r="AH161" s="120">
        <f t="shared" si="118"/>
        <v>1</v>
      </c>
      <c r="AI161" s="120">
        <f t="shared" si="118"/>
        <v>1</v>
      </c>
      <c r="AJ161" s="120">
        <f t="shared" si="118"/>
        <v>0</v>
      </c>
      <c r="AK161" s="120">
        <f t="shared" si="118"/>
        <v>0</v>
      </c>
      <c r="AL161" s="120">
        <f t="shared" si="118"/>
        <v>0</v>
      </c>
      <c r="AM161" s="120">
        <f t="shared" si="118"/>
        <v>0</v>
      </c>
      <c r="AN161" s="120">
        <f t="shared" si="118"/>
        <v>0</v>
      </c>
      <c r="AO161" s="120">
        <f t="shared" si="118"/>
        <v>0</v>
      </c>
      <c r="AP161" s="120">
        <f t="shared" si="117"/>
        <v>0</v>
      </c>
      <c r="AQ161" s="120">
        <f t="shared" si="117"/>
        <v>0</v>
      </c>
      <c r="AR161" s="120">
        <f t="shared" si="117"/>
        <v>0</v>
      </c>
      <c r="AS161" s="120">
        <f t="shared" si="117"/>
        <v>1</v>
      </c>
      <c r="AT161" s="120">
        <f t="shared" si="117"/>
        <v>1</v>
      </c>
      <c r="AU161" s="120">
        <f t="shared" si="117"/>
        <v>0</v>
      </c>
      <c r="AV161" s="120">
        <f t="shared" si="117"/>
        <v>1</v>
      </c>
      <c r="AW161" s="120">
        <f t="shared" si="117"/>
        <v>0</v>
      </c>
      <c r="AX161" s="120">
        <f t="shared" si="117"/>
        <v>0</v>
      </c>
      <c r="AY161" s="120">
        <f t="shared" si="115"/>
        <v>7</v>
      </c>
      <c r="AZ161" s="20" t="s">
        <v>136</v>
      </c>
    </row>
    <row r="162" spans="1:52">
      <c r="A162" s="120" t="s">
        <v>170</v>
      </c>
      <c r="B162" s="120">
        <f t="shared" si="120"/>
        <v>0</v>
      </c>
      <c r="C162" s="120">
        <f t="shared" si="120"/>
        <v>1</v>
      </c>
      <c r="D162" s="120">
        <f t="shared" si="120"/>
        <v>0</v>
      </c>
      <c r="E162" s="120">
        <f t="shared" si="120"/>
        <v>0</v>
      </c>
      <c r="F162" s="120">
        <f t="shared" si="120"/>
        <v>0</v>
      </c>
      <c r="G162" s="120">
        <f t="shared" si="120"/>
        <v>0</v>
      </c>
      <c r="H162" s="120">
        <f t="shared" si="120"/>
        <v>0</v>
      </c>
      <c r="I162" s="120">
        <f t="shared" si="120"/>
        <v>1</v>
      </c>
      <c r="J162" s="120">
        <f t="shared" si="120"/>
        <v>0</v>
      </c>
      <c r="K162" s="120">
        <f t="shared" si="120"/>
        <v>0</v>
      </c>
      <c r="L162" s="120">
        <f t="shared" si="120"/>
        <v>0</v>
      </c>
      <c r="M162" s="120">
        <f t="shared" si="120"/>
        <v>0</v>
      </c>
      <c r="N162" s="120">
        <f t="shared" si="120"/>
        <v>0</v>
      </c>
      <c r="O162" s="120">
        <f t="shared" si="120"/>
        <v>0</v>
      </c>
      <c r="P162" s="120">
        <f t="shared" si="120"/>
        <v>0</v>
      </c>
      <c r="Q162" s="120">
        <f t="shared" si="120"/>
        <v>0</v>
      </c>
      <c r="R162" s="120">
        <f t="shared" si="120"/>
        <v>0</v>
      </c>
      <c r="S162" s="120">
        <f t="shared" si="120"/>
        <v>0</v>
      </c>
      <c r="T162" s="120">
        <f t="shared" si="120"/>
        <v>0</v>
      </c>
      <c r="U162" s="120">
        <f t="shared" si="120"/>
        <v>1</v>
      </c>
      <c r="V162" s="120">
        <f t="shared" si="120"/>
        <v>1</v>
      </c>
      <c r="W162" s="120">
        <f t="shared" si="120"/>
        <v>1</v>
      </c>
      <c r="X162" s="120">
        <f t="shared" si="120"/>
        <v>1</v>
      </c>
      <c r="Y162" s="120">
        <f t="shared" si="113"/>
        <v>1</v>
      </c>
      <c r="AA162" s="120">
        <f t="shared" si="118"/>
        <v>0</v>
      </c>
      <c r="AB162" s="120">
        <f t="shared" si="118"/>
        <v>1</v>
      </c>
      <c r="AC162" s="120">
        <f t="shared" si="118"/>
        <v>0</v>
      </c>
      <c r="AD162" s="120">
        <f t="shared" si="118"/>
        <v>0</v>
      </c>
      <c r="AE162" s="120">
        <f t="shared" si="118"/>
        <v>0</v>
      </c>
      <c r="AF162" s="120">
        <f t="shared" si="118"/>
        <v>0</v>
      </c>
      <c r="AG162" s="120">
        <f t="shared" si="118"/>
        <v>0</v>
      </c>
      <c r="AH162" s="120">
        <f t="shared" si="118"/>
        <v>1</v>
      </c>
      <c r="AI162" s="120">
        <f t="shared" si="118"/>
        <v>0</v>
      </c>
      <c r="AJ162" s="120">
        <f t="shared" si="118"/>
        <v>0</v>
      </c>
      <c r="AK162" s="120">
        <f t="shared" si="118"/>
        <v>0</v>
      </c>
      <c r="AL162" s="120">
        <f t="shared" si="118"/>
        <v>0</v>
      </c>
      <c r="AM162" s="120">
        <f t="shared" si="118"/>
        <v>0</v>
      </c>
      <c r="AN162" s="120">
        <f t="shared" si="118"/>
        <v>0</v>
      </c>
      <c r="AO162" s="120">
        <f t="shared" si="118"/>
        <v>0</v>
      </c>
      <c r="AP162" s="120">
        <f t="shared" si="117"/>
        <v>0</v>
      </c>
      <c r="AQ162" s="120">
        <f t="shared" si="117"/>
        <v>0</v>
      </c>
      <c r="AR162" s="120">
        <f t="shared" si="117"/>
        <v>0</v>
      </c>
      <c r="AS162" s="120">
        <f t="shared" si="117"/>
        <v>0</v>
      </c>
      <c r="AT162" s="120">
        <f t="shared" si="117"/>
        <v>1</v>
      </c>
      <c r="AU162" s="120">
        <f t="shared" si="117"/>
        <v>1</v>
      </c>
      <c r="AV162" s="120">
        <f t="shared" si="117"/>
        <v>1</v>
      </c>
      <c r="AW162" s="120">
        <f t="shared" si="117"/>
        <v>1</v>
      </c>
      <c r="AX162" s="120">
        <f t="shared" si="117"/>
        <v>1</v>
      </c>
      <c r="AY162" s="120">
        <f t="shared" si="115"/>
        <v>7</v>
      </c>
      <c r="AZ162" s="20" t="s">
        <v>136</v>
      </c>
    </row>
    <row r="163" spans="1:52">
      <c r="A163" s="120" t="s">
        <v>171</v>
      </c>
      <c r="B163" s="120">
        <f t="shared" si="120"/>
        <v>0</v>
      </c>
      <c r="C163" s="120">
        <f t="shared" si="120"/>
        <v>0</v>
      </c>
      <c r="D163" s="120">
        <f t="shared" si="120"/>
        <v>0</v>
      </c>
      <c r="E163" s="120">
        <f t="shared" si="120"/>
        <v>0</v>
      </c>
      <c r="F163" s="120">
        <f t="shared" si="120"/>
        <v>0</v>
      </c>
      <c r="G163" s="120">
        <f t="shared" si="120"/>
        <v>0</v>
      </c>
      <c r="H163" s="120">
        <f t="shared" si="120"/>
        <v>0</v>
      </c>
      <c r="I163" s="120">
        <f t="shared" si="120"/>
        <v>0</v>
      </c>
      <c r="J163" s="120">
        <f t="shared" si="120"/>
        <v>1</v>
      </c>
      <c r="K163" s="120">
        <f t="shared" si="120"/>
        <v>1</v>
      </c>
      <c r="L163" s="120">
        <f t="shared" si="120"/>
        <v>0</v>
      </c>
      <c r="M163" s="120">
        <f t="shared" si="120"/>
        <v>1</v>
      </c>
      <c r="N163" s="120">
        <f t="shared" si="120"/>
        <v>0</v>
      </c>
      <c r="O163" s="120">
        <f t="shared" si="120"/>
        <v>0</v>
      </c>
      <c r="P163" s="120">
        <f t="shared" si="120"/>
        <v>0</v>
      </c>
      <c r="Q163" s="120">
        <f t="shared" si="120"/>
        <v>1</v>
      </c>
      <c r="R163" s="120">
        <f t="shared" si="120"/>
        <v>0</v>
      </c>
      <c r="S163" s="120">
        <f t="shared" si="120"/>
        <v>0</v>
      </c>
      <c r="T163" s="120">
        <f t="shared" si="120"/>
        <v>0</v>
      </c>
      <c r="U163" s="120">
        <f t="shared" si="120"/>
        <v>1</v>
      </c>
      <c r="V163" s="120">
        <f t="shared" si="120"/>
        <v>0</v>
      </c>
      <c r="W163" s="120">
        <f t="shared" si="120"/>
        <v>0</v>
      </c>
      <c r="X163" s="120">
        <f t="shared" si="120"/>
        <v>1</v>
      </c>
      <c r="Y163" s="120">
        <f t="shared" si="113"/>
        <v>0</v>
      </c>
      <c r="AA163" s="120">
        <f t="shared" si="118"/>
        <v>0</v>
      </c>
      <c r="AB163" s="120">
        <f t="shared" si="118"/>
        <v>0</v>
      </c>
      <c r="AC163" s="120">
        <f t="shared" si="118"/>
        <v>0</v>
      </c>
      <c r="AD163" s="120">
        <f t="shared" si="118"/>
        <v>0</v>
      </c>
      <c r="AE163" s="120">
        <f t="shared" si="118"/>
        <v>0</v>
      </c>
      <c r="AF163" s="120">
        <f t="shared" si="118"/>
        <v>0</v>
      </c>
      <c r="AG163" s="120">
        <f t="shared" si="118"/>
        <v>0</v>
      </c>
      <c r="AH163" s="120">
        <f t="shared" si="118"/>
        <v>0</v>
      </c>
      <c r="AI163" s="120">
        <f t="shared" si="118"/>
        <v>0.33333333333333331</v>
      </c>
      <c r="AJ163" s="120">
        <f t="shared" si="118"/>
        <v>1</v>
      </c>
      <c r="AK163" s="120">
        <f t="shared" si="118"/>
        <v>0</v>
      </c>
      <c r="AL163" s="120">
        <f t="shared" si="118"/>
        <v>1</v>
      </c>
      <c r="AM163" s="120">
        <f t="shared" si="118"/>
        <v>0</v>
      </c>
      <c r="AN163" s="120">
        <f t="shared" si="118"/>
        <v>0</v>
      </c>
      <c r="AO163" s="120">
        <f t="shared" si="118"/>
        <v>0</v>
      </c>
      <c r="AP163" s="120">
        <f t="shared" si="118"/>
        <v>1</v>
      </c>
      <c r="AQ163" s="120">
        <f t="shared" ref="AQ163:AX167" si="121">IF(R163=0,0,R163/AQ31)</f>
        <v>0</v>
      </c>
      <c r="AR163" s="120">
        <f t="shared" si="121"/>
        <v>0</v>
      </c>
      <c r="AS163" s="120">
        <f t="shared" si="121"/>
        <v>0</v>
      </c>
      <c r="AT163" s="120">
        <f t="shared" si="121"/>
        <v>1</v>
      </c>
      <c r="AU163" s="120">
        <f t="shared" si="121"/>
        <v>0</v>
      </c>
      <c r="AV163" s="120">
        <f t="shared" si="121"/>
        <v>0</v>
      </c>
      <c r="AW163" s="120">
        <f t="shared" si="121"/>
        <v>1</v>
      </c>
      <c r="AX163" s="120">
        <f t="shared" si="121"/>
        <v>0</v>
      </c>
      <c r="AY163" s="120">
        <f t="shared" si="115"/>
        <v>5.333333333333333</v>
      </c>
      <c r="AZ163" s="20" t="s">
        <v>136</v>
      </c>
    </row>
    <row r="164" spans="1:52">
      <c r="A164" s="120" t="s">
        <v>172</v>
      </c>
      <c r="B164" s="120">
        <f t="shared" si="120"/>
        <v>0</v>
      </c>
      <c r="C164" s="120">
        <f t="shared" si="120"/>
        <v>0</v>
      </c>
      <c r="D164" s="120">
        <f t="shared" si="120"/>
        <v>0</v>
      </c>
      <c r="E164" s="120">
        <f t="shared" si="120"/>
        <v>1</v>
      </c>
      <c r="F164" s="120">
        <f t="shared" si="120"/>
        <v>0</v>
      </c>
      <c r="G164" s="120">
        <f t="shared" si="120"/>
        <v>0</v>
      </c>
      <c r="H164" s="120">
        <f t="shared" si="120"/>
        <v>0</v>
      </c>
      <c r="I164" s="120">
        <f t="shared" si="120"/>
        <v>1</v>
      </c>
      <c r="J164" s="120">
        <f t="shared" si="120"/>
        <v>1</v>
      </c>
      <c r="K164" s="120">
        <f t="shared" si="120"/>
        <v>1</v>
      </c>
      <c r="L164" s="120">
        <f t="shared" si="120"/>
        <v>0</v>
      </c>
      <c r="M164" s="120">
        <f t="shared" si="120"/>
        <v>0</v>
      </c>
      <c r="N164" s="120">
        <f t="shared" si="120"/>
        <v>0</v>
      </c>
      <c r="O164" s="120">
        <f t="shared" si="120"/>
        <v>0</v>
      </c>
      <c r="P164" s="120">
        <f t="shared" si="120"/>
        <v>0</v>
      </c>
      <c r="Q164" s="120">
        <f t="shared" si="120"/>
        <v>0</v>
      </c>
      <c r="R164" s="120">
        <f t="shared" si="120"/>
        <v>0</v>
      </c>
      <c r="S164" s="120">
        <f t="shared" si="120"/>
        <v>0</v>
      </c>
      <c r="T164" s="120">
        <f t="shared" si="120"/>
        <v>0</v>
      </c>
      <c r="U164" s="120">
        <f t="shared" si="120"/>
        <v>1</v>
      </c>
      <c r="V164" s="120">
        <f t="shared" si="120"/>
        <v>1</v>
      </c>
      <c r="W164" s="120">
        <f t="shared" si="120"/>
        <v>0</v>
      </c>
      <c r="X164" s="120">
        <f t="shared" si="120"/>
        <v>1</v>
      </c>
      <c r="Y164" s="120">
        <f t="shared" si="113"/>
        <v>0</v>
      </c>
      <c r="AA164" s="120">
        <f t="shared" ref="AA164:AP167" si="122">IF(B164=0,0,B164/AA32)</f>
        <v>0</v>
      </c>
      <c r="AB164" s="120">
        <f t="shared" si="122"/>
        <v>0</v>
      </c>
      <c r="AC164" s="120">
        <f t="shared" si="122"/>
        <v>0</v>
      </c>
      <c r="AD164" s="120">
        <f t="shared" si="122"/>
        <v>1</v>
      </c>
      <c r="AE164" s="120">
        <f t="shared" si="122"/>
        <v>0</v>
      </c>
      <c r="AF164" s="120">
        <f t="shared" si="122"/>
        <v>0</v>
      </c>
      <c r="AG164" s="120">
        <f t="shared" si="122"/>
        <v>0</v>
      </c>
      <c r="AH164" s="120">
        <f t="shared" si="122"/>
        <v>0.33333333333333331</v>
      </c>
      <c r="AI164" s="120">
        <f t="shared" si="122"/>
        <v>1</v>
      </c>
      <c r="AJ164" s="120">
        <f t="shared" si="122"/>
        <v>1</v>
      </c>
      <c r="AK164" s="120">
        <f t="shared" si="122"/>
        <v>0</v>
      </c>
      <c r="AL164" s="120">
        <f t="shared" si="122"/>
        <v>0</v>
      </c>
      <c r="AM164" s="120">
        <f t="shared" si="122"/>
        <v>0</v>
      </c>
      <c r="AN164" s="120">
        <f t="shared" si="122"/>
        <v>0</v>
      </c>
      <c r="AO164" s="120">
        <f t="shared" si="122"/>
        <v>0</v>
      </c>
      <c r="AP164" s="120">
        <f t="shared" si="122"/>
        <v>0</v>
      </c>
      <c r="AQ164" s="120">
        <f t="shared" si="121"/>
        <v>0</v>
      </c>
      <c r="AR164" s="120">
        <f t="shared" si="121"/>
        <v>0</v>
      </c>
      <c r="AS164" s="120">
        <f t="shared" si="121"/>
        <v>0</v>
      </c>
      <c r="AT164" s="120">
        <f t="shared" si="121"/>
        <v>1</v>
      </c>
      <c r="AU164" s="120">
        <f t="shared" si="121"/>
        <v>1</v>
      </c>
      <c r="AV164" s="120">
        <f t="shared" si="121"/>
        <v>0</v>
      </c>
      <c r="AW164" s="120">
        <f t="shared" si="121"/>
        <v>0.5</v>
      </c>
      <c r="AX164" s="120">
        <f t="shared" si="121"/>
        <v>0</v>
      </c>
      <c r="AY164" s="120">
        <f t="shared" si="115"/>
        <v>5.833333333333333</v>
      </c>
      <c r="AZ164" s="20" t="s">
        <v>136</v>
      </c>
    </row>
    <row r="165" spans="1:52">
      <c r="A165" s="120" t="s">
        <v>173</v>
      </c>
      <c r="B165" s="120">
        <f t="shared" si="120"/>
        <v>0</v>
      </c>
      <c r="C165" s="120">
        <f t="shared" si="120"/>
        <v>0</v>
      </c>
      <c r="D165" s="120">
        <f t="shared" si="120"/>
        <v>0</v>
      </c>
      <c r="E165" s="120">
        <f t="shared" si="120"/>
        <v>0</v>
      </c>
      <c r="F165" s="120">
        <f t="shared" si="120"/>
        <v>0</v>
      </c>
      <c r="G165" s="120">
        <f t="shared" si="120"/>
        <v>0</v>
      </c>
      <c r="H165" s="120">
        <f t="shared" si="120"/>
        <v>1</v>
      </c>
      <c r="I165" s="120">
        <f t="shared" si="120"/>
        <v>1</v>
      </c>
      <c r="J165" s="120">
        <f t="shared" si="120"/>
        <v>1</v>
      </c>
      <c r="K165" s="120">
        <f t="shared" si="120"/>
        <v>0</v>
      </c>
      <c r="L165" s="120">
        <f t="shared" si="120"/>
        <v>1</v>
      </c>
      <c r="M165" s="120">
        <f t="shared" si="120"/>
        <v>0</v>
      </c>
      <c r="N165" s="120">
        <f t="shared" si="120"/>
        <v>0</v>
      </c>
      <c r="O165" s="120">
        <f t="shared" si="120"/>
        <v>0</v>
      </c>
      <c r="P165" s="120">
        <f t="shared" si="120"/>
        <v>0</v>
      </c>
      <c r="Q165" s="120">
        <f t="shared" si="120"/>
        <v>0</v>
      </c>
      <c r="R165" s="120">
        <f t="shared" si="120"/>
        <v>0</v>
      </c>
      <c r="S165" s="120">
        <f t="shared" si="120"/>
        <v>0</v>
      </c>
      <c r="T165" s="120">
        <f t="shared" si="120"/>
        <v>0</v>
      </c>
      <c r="U165" s="120">
        <f t="shared" si="120"/>
        <v>0</v>
      </c>
      <c r="V165" s="120">
        <f t="shared" si="120"/>
        <v>1</v>
      </c>
      <c r="W165" s="120">
        <f t="shared" si="120"/>
        <v>1</v>
      </c>
      <c r="X165" s="120">
        <f t="shared" si="120"/>
        <v>0</v>
      </c>
      <c r="Y165" s="120">
        <f t="shared" si="113"/>
        <v>0</v>
      </c>
      <c r="AA165" s="120">
        <f t="shared" si="122"/>
        <v>0</v>
      </c>
      <c r="AB165" s="120">
        <f t="shared" si="122"/>
        <v>0</v>
      </c>
      <c r="AC165" s="120">
        <f t="shared" si="122"/>
        <v>0</v>
      </c>
      <c r="AD165" s="120">
        <f t="shared" si="122"/>
        <v>0</v>
      </c>
      <c r="AE165" s="120">
        <f t="shared" si="122"/>
        <v>0</v>
      </c>
      <c r="AF165" s="120">
        <f t="shared" si="122"/>
        <v>0</v>
      </c>
      <c r="AG165" s="120">
        <f t="shared" si="122"/>
        <v>1</v>
      </c>
      <c r="AH165" s="120">
        <f t="shared" si="122"/>
        <v>1</v>
      </c>
      <c r="AI165" s="120">
        <f t="shared" si="122"/>
        <v>1</v>
      </c>
      <c r="AJ165" s="120">
        <f t="shared" si="122"/>
        <v>0</v>
      </c>
      <c r="AK165" s="120">
        <f t="shared" si="122"/>
        <v>1</v>
      </c>
      <c r="AL165" s="120">
        <f t="shared" si="122"/>
        <v>0</v>
      </c>
      <c r="AM165" s="120">
        <f t="shared" si="122"/>
        <v>0</v>
      </c>
      <c r="AN165" s="120">
        <f t="shared" si="122"/>
        <v>0</v>
      </c>
      <c r="AO165" s="120">
        <f t="shared" si="122"/>
        <v>0</v>
      </c>
      <c r="AP165" s="120">
        <f t="shared" si="122"/>
        <v>0</v>
      </c>
      <c r="AQ165" s="120">
        <f t="shared" si="121"/>
        <v>0</v>
      </c>
      <c r="AR165" s="120">
        <f t="shared" si="121"/>
        <v>0</v>
      </c>
      <c r="AS165" s="120">
        <f t="shared" si="121"/>
        <v>0</v>
      </c>
      <c r="AT165" s="120">
        <f t="shared" si="121"/>
        <v>0</v>
      </c>
      <c r="AU165" s="120">
        <f t="shared" si="121"/>
        <v>1</v>
      </c>
      <c r="AV165" s="120">
        <f t="shared" si="121"/>
        <v>1</v>
      </c>
      <c r="AW165" s="120">
        <f t="shared" si="121"/>
        <v>0</v>
      </c>
      <c r="AX165" s="120">
        <f t="shared" si="121"/>
        <v>0</v>
      </c>
      <c r="AY165" s="120">
        <f t="shared" si="115"/>
        <v>6</v>
      </c>
      <c r="AZ165" s="20" t="s">
        <v>136</v>
      </c>
    </row>
    <row r="166" spans="1:52">
      <c r="A166" s="120" t="s">
        <v>174</v>
      </c>
      <c r="B166" s="120">
        <f t="shared" si="120"/>
        <v>1</v>
      </c>
      <c r="C166" s="120">
        <f t="shared" si="120"/>
        <v>1</v>
      </c>
      <c r="D166" s="120">
        <f t="shared" si="120"/>
        <v>0</v>
      </c>
      <c r="E166" s="120">
        <f t="shared" si="120"/>
        <v>0</v>
      </c>
      <c r="F166" s="120">
        <f t="shared" si="120"/>
        <v>0</v>
      </c>
      <c r="G166" s="120">
        <f t="shared" si="120"/>
        <v>1</v>
      </c>
      <c r="H166" s="120">
        <f t="shared" si="120"/>
        <v>0</v>
      </c>
      <c r="I166" s="120">
        <f t="shared" si="120"/>
        <v>0</v>
      </c>
      <c r="J166" s="120">
        <f t="shared" si="120"/>
        <v>0</v>
      </c>
      <c r="K166" s="120">
        <f t="shared" si="120"/>
        <v>0</v>
      </c>
      <c r="L166" s="120">
        <f t="shared" si="120"/>
        <v>1</v>
      </c>
      <c r="M166" s="120">
        <f t="shared" si="120"/>
        <v>0</v>
      </c>
      <c r="N166" s="120">
        <f t="shared" si="120"/>
        <v>0</v>
      </c>
      <c r="O166" s="120">
        <f t="shared" si="120"/>
        <v>0</v>
      </c>
      <c r="P166" s="120">
        <f t="shared" si="120"/>
        <v>1</v>
      </c>
      <c r="Q166" s="120">
        <f t="shared" si="120"/>
        <v>1</v>
      </c>
      <c r="R166" s="120">
        <f t="shared" si="120"/>
        <v>0</v>
      </c>
      <c r="S166" s="120">
        <f t="shared" si="120"/>
        <v>0</v>
      </c>
      <c r="T166" s="120">
        <f t="shared" si="120"/>
        <v>0</v>
      </c>
      <c r="U166" s="120">
        <f t="shared" si="120"/>
        <v>1</v>
      </c>
      <c r="V166" s="120">
        <f t="shared" si="120"/>
        <v>1</v>
      </c>
      <c r="W166" s="120">
        <f t="shared" si="120"/>
        <v>1</v>
      </c>
      <c r="X166" s="120">
        <f t="shared" si="120"/>
        <v>1</v>
      </c>
      <c r="Y166" s="120">
        <f t="shared" si="113"/>
        <v>1</v>
      </c>
      <c r="AA166" s="120">
        <f t="shared" si="122"/>
        <v>1</v>
      </c>
      <c r="AB166" s="120">
        <f t="shared" si="122"/>
        <v>1</v>
      </c>
      <c r="AC166" s="120">
        <f t="shared" si="122"/>
        <v>0</v>
      </c>
      <c r="AD166" s="120">
        <f t="shared" si="122"/>
        <v>0</v>
      </c>
      <c r="AE166" s="120">
        <f t="shared" si="122"/>
        <v>0</v>
      </c>
      <c r="AF166" s="120">
        <f t="shared" si="122"/>
        <v>1</v>
      </c>
      <c r="AG166" s="120">
        <f t="shared" si="122"/>
        <v>0</v>
      </c>
      <c r="AH166" s="120">
        <f t="shared" si="122"/>
        <v>0</v>
      </c>
      <c r="AI166" s="120">
        <f t="shared" si="122"/>
        <v>0</v>
      </c>
      <c r="AJ166" s="120">
        <f t="shared" si="122"/>
        <v>0</v>
      </c>
      <c r="AK166" s="120">
        <f t="shared" si="122"/>
        <v>1</v>
      </c>
      <c r="AL166" s="120">
        <f t="shared" si="122"/>
        <v>0</v>
      </c>
      <c r="AM166" s="120">
        <f t="shared" si="122"/>
        <v>0</v>
      </c>
      <c r="AN166" s="120">
        <f t="shared" si="122"/>
        <v>0</v>
      </c>
      <c r="AO166" s="120">
        <f t="shared" si="122"/>
        <v>1</v>
      </c>
      <c r="AP166" s="120">
        <f t="shared" si="122"/>
        <v>1</v>
      </c>
      <c r="AQ166" s="120">
        <f t="shared" si="121"/>
        <v>0</v>
      </c>
      <c r="AR166" s="120">
        <f t="shared" si="121"/>
        <v>0</v>
      </c>
      <c r="AS166" s="120">
        <f t="shared" si="121"/>
        <v>0</v>
      </c>
      <c r="AT166" s="120">
        <f t="shared" si="121"/>
        <v>1</v>
      </c>
      <c r="AU166" s="120">
        <f t="shared" si="121"/>
        <v>1</v>
      </c>
      <c r="AV166" s="120">
        <f t="shared" si="121"/>
        <v>1</v>
      </c>
      <c r="AW166" s="120">
        <f t="shared" si="121"/>
        <v>1</v>
      </c>
      <c r="AX166" s="120">
        <f t="shared" si="121"/>
        <v>1</v>
      </c>
      <c r="AY166" s="120">
        <f t="shared" si="115"/>
        <v>11</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0</v>
      </c>
      <c r="L269" s="120">
        <f t="shared" si="163"/>
        <v>1</v>
      </c>
      <c r="M269" s="120">
        <f t="shared" si="163"/>
        <v>1</v>
      </c>
      <c r="N269" s="120">
        <f t="shared" si="163"/>
        <v>0</v>
      </c>
      <c r="O269" s="120">
        <f t="shared" si="163"/>
        <v>1</v>
      </c>
      <c r="P269" s="120">
        <f t="shared" si="163"/>
        <v>0</v>
      </c>
      <c r="Q269" s="120">
        <f t="shared" si="163"/>
        <v>1</v>
      </c>
      <c r="R269" s="120">
        <f t="shared" si="163"/>
        <v>1</v>
      </c>
      <c r="S269" s="120">
        <f t="shared" si="163"/>
        <v>1</v>
      </c>
      <c r="T269" s="120">
        <f t="shared" si="163"/>
        <v>0</v>
      </c>
      <c r="U269" s="120">
        <f t="shared" si="163"/>
        <v>0</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1</v>
      </c>
      <c r="AL269" s="120">
        <f t="shared" si="164"/>
        <v>1</v>
      </c>
      <c r="AM269" s="120">
        <f t="shared" si="164"/>
        <v>0</v>
      </c>
      <c r="AN269" s="120">
        <f t="shared" si="164"/>
        <v>1</v>
      </c>
      <c r="AO269" s="120">
        <f t="shared" si="164"/>
        <v>0</v>
      </c>
      <c r="AP269" s="120">
        <f t="shared" si="164"/>
        <v>1</v>
      </c>
      <c r="AQ269" s="120">
        <f t="shared" si="164"/>
        <v>1</v>
      </c>
      <c r="AR269" s="120">
        <f t="shared" si="164"/>
        <v>1</v>
      </c>
      <c r="AS269" s="120">
        <f t="shared" si="164"/>
        <v>0</v>
      </c>
      <c r="AT269" s="120">
        <f t="shared" si="164"/>
        <v>0</v>
      </c>
      <c r="AU269" s="120">
        <f t="shared" si="164"/>
        <v>0</v>
      </c>
      <c r="AV269" s="120">
        <f t="shared" si="164"/>
        <v>0</v>
      </c>
      <c r="AW269" s="120">
        <f t="shared" si="164"/>
        <v>0</v>
      </c>
      <c r="AX269" s="120">
        <f t="shared" si="164"/>
        <v>0</v>
      </c>
      <c r="AY269" s="120">
        <f t="shared" ref="AY269:AY299" si="165">SUM(AA269:AX269)</f>
        <v>6</v>
      </c>
      <c r="AZ269" s="20" t="s">
        <v>140</v>
      </c>
    </row>
    <row r="270" spans="1:52">
      <c r="A270" s="120" t="s">
        <v>146</v>
      </c>
      <c r="B270" s="120">
        <f t="shared" ref="B270:Y280" si="166">IF(IFERROR(FIND($A$268,B6,1),0)=0,0,1)</f>
        <v>0</v>
      </c>
      <c r="C270" s="120">
        <f t="shared" si="166"/>
        <v>0</v>
      </c>
      <c r="D270" s="120">
        <f t="shared" si="166"/>
        <v>1</v>
      </c>
      <c r="E270" s="120">
        <f t="shared" si="166"/>
        <v>0</v>
      </c>
      <c r="F270" s="120">
        <f t="shared" si="166"/>
        <v>0</v>
      </c>
      <c r="G270" s="120">
        <f t="shared" si="166"/>
        <v>1</v>
      </c>
      <c r="H270" s="120">
        <f t="shared" si="166"/>
        <v>0</v>
      </c>
      <c r="I270" s="120">
        <f t="shared" si="166"/>
        <v>1</v>
      </c>
      <c r="J270" s="120">
        <f t="shared" si="166"/>
        <v>1</v>
      </c>
      <c r="K270" s="120">
        <f t="shared" si="166"/>
        <v>1</v>
      </c>
      <c r="L270" s="120">
        <f t="shared" si="166"/>
        <v>1</v>
      </c>
      <c r="M270" s="120">
        <f t="shared" si="166"/>
        <v>0</v>
      </c>
      <c r="N270" s="120">
        <f t="shared" si="166"/>
        <v>0</v>
      </c>
      <c r="O270" s="120">
        <f t="shared" si="166"/>
        <v>0</v>
      </c>
      <c r="P270" s="120">
        <f t="shared" si="166"/>
        <v>0</v>
      </c>
      <c r="Q270" s="120">
        <f t="shared" si="166"/>
        <v>0</v>
      </c>
      <c r="R270" s="120">
        <f t="shared" si="166"/>
        <v>1</v>
      </c>
      <c r="S270" s="120">
        <f t="shared" si="166"/>
        <v>0</v>
      </c>
      <c r="T270" s="120">
        <f t="shared" si="166"/>
        <v>0</v>
      </c>
      <c r="U270" s="120">
        <f t="shared" si="166"/>
        <v>0</v>
      </c>
      <c r="V270" s="120">
        <f t="shared" si="166"/>
        <v>0</v>
      </c>
      <c r="W270" s="120">
        <f t="shared" si="166"/>
        <v>0</v>
      </c>
      <c r="X270" s="120">
        <f t="shared" si="166"/>
        <v>0</v>
      </c>
      <c r="Y270" s="120">
        <f t="shared" si="166"/>
        <v>1</v>
      </c>
      <c r="AA270" s="120">
        <f t="shared" si="164"/>
        <v>0</v>
      </c>
      <c r="AB270" s="120">
        <f t="shared" si="164"/>
        <v>0</v>
      </c>
      <c r="AC270" s="120">
        <f t="shared" si="164"/>
        <v>0.5</v>
      </c>
      <c r="AD270" s="120">
        <f t="shared" si="164"/>
        <v>0</v>
      </c>
      <c r="AE270" s="120">
        <f t="shared" si="164"/>
        <v>0</v>
      </c>
      <c r="AF270" s="120">
        <f t="shared" si="164"/>
        <v>1</v>
      </c>
      <c r="AG270" s="120">
        <f t="shared" si="164"/>
        <v>0</v>
      </c>
      <c r="AH270" s="120">
        <f t="shared" si="164"/>
        <v>1</v>
      </c>
      <c r="AI270" s="120">
        <f t="shared" si="164"/>
        <v>0.5</v>
      </c>
      <c r="AJ270" s="120">
        <f t="shared" si="164"/>
        <v>0.5</v>
      </c>
      <c r="AK270" s="120">
        <f t="shared" si="164"/>
        <v>0.5</v>
      </c>
      <c r="AL270" s="120">
        <f t="shared" si="164"/>
        <v>0</v>
      </c>
      <c r="AM270" s="120">
        <f t="shared" si="164"/>
        <v>0</v>
      </c>
      <c r="AN270" s="120">
        <f t="shared" si="164"/>
        <v>0</v>
      </c>
      <c r="AO270" s="120">
        <f t="shared" si="164"/>
        <v>0</v>
      </c>
      <c r="AP270" s="120">
        <f t="shared" si="164"/>
        <v>0</v>
      </c>
      <c r="AQ270" s="120">
        <f t="shared" si="164"/>
        <v>1</v>
      </c>
      <c r="AR270" s="120">
        <f t="shared" si="164"/>
        <v>0</v>
      </c>
      <c r="AS270" s="120">
        <f t="shared" si="164"/>
        <v>0</v>
      </c>
      <c r="AT270" s="120">
        <f t="shared" si="164"/>
        <v>0</v>
      </c>
      <c r="AU270" s="120">
        <f t="shared" si="164"/>
        <v>0</v>
      </c>
      <c r="AV270" s="120">
        <f t="shared" si="164"/>
        <v>0</v>
      </c>
      <c r="AW270" s="120">
        <f t="shared" si="164"/>
        <v>0</v>
      </c>
      <c r="AX270" s="120">
        <f t="shared" si="164"/>
        <v>1</v>
      </c>
      <c r="AY270" s="120">
        <f t="shared" si="165"/>
        <v>6</v>
      </c>
      <c r="AZ270" s="20" t="s">
        <v>140</v>
      </c>
    </row>
    <row r="271" spans="1:52">
      <c r="A271" s="120" t="s">
        <v>147</v>
      </c>
      <c r="B271" s="120">
        <f t="shared" si="166"/>
        <v>0</v>
      </c>
      <c r="C271" s="120">
        <f t="shared" si="166"/>
        <v>0</v>
      </c>
      <c r="D271" s="120">
        <f t="shared" si="166"/>
        <v>0</v>
      </c>
      <c r="E271" s="120">
        <f t="shared" si="166"/>
        <v>1</v>
      </c>
      <c r="F271" s="120">
        <f t="shared" si="166"/>
        <v>1</v>
      </c>
      <c r="G271" s="120">
        <f t="shared" si="166"/>
        <v>1</v>
      </c>
      <c r="H271" s="120">
        <f t="shared" si="166"/>
        <v>1</v>
      </c>
      <c r="I271" s="120">
        <f t="shared" si="166"/>
        <v>1</v>
      </c>
      <c r="J271" s="120">
        <f t="shared" si="166"/>
        <v>1</v>
      </c>
      <c r="K271" s="120">
        <f t="shared" si="166"/>
        <v>0</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1</v>
      </c>
      <c r="U271" s="120">
        <f t="shared" si="166"/>
        <v>1</v>
      </c>
      <c r="V271" s="120">
        <f t="shared" si="166"/>
        <v>0</v>
      </c>
      <c r="W271" s="120">
        <f t="shared" si="166"/>
        <v>1</v>
      </c>
      <c r="X271" s="120">
        <f t="shared" si="166"/>
        <v>1</v>
      </c>
      <c r="Y271" s="120">
        <f t="shared" si="166"/>
        <v>1</v>
      </c>
      <c r="AA271" s="120">
        <f t="shared" si="164"/>
        <v>0</v>
      </c>
      <c r="AB271" s="120">
        <f t="shared" si="164"/>
        <v>0</v>
      </c>
      <c r="AC271" s="120">
        <f t="shared" si="164"/>
        <v>0</v>
      </c>
      <c r="AD271" s="120">
        <f t="shared" si="164"/>
        <v>1</v>
      </c>
      <c r="AE271" s="120">
        <f t="shared" si="164"/>
        <v>1</v>
      </c>
      <c r="AF271" s="120">
        <f t="shared" si="164"/>
        <v>1</v>
      </c>
      <c r="AG271" s="120">
        <f t="shared" si="164"/>
        <v>0.5</v>
      </c>
      <c r="AH271" s="120">
        <f t="shared" si="164"/>
        <v>0.5</v>
      </c>
      <c r="AI271" s="120">
        <f t="shared" si="164"/>
        <v>0.5</v>
      </c>
      <c r="AJ271" s="120">
        <f t="shared" si="164"/>
        <v>0</v>
      </c>
      <c r="AK271" s="120">
        <f t="shared" si="164"/>
        <v>1</v>
      </c>
      <c r="AL271" s="120">
        <f t="shared" si="164"/>
        <v>1</v>
      </c>
      <c r="AM271" s="120">
        <f t="shared" si="164"/>
        <v>1</v>
      </c>
      <c r="AN271" s="120">
        <f t="shared" si="164"/>
        <v>1</v>
      </c>
      <c r="AO271" s="120">
        <f t="shared" si="164"/>
        <v>1</v>
      </c>
      <c r="AP271" s="120">
        <f t="shared" si="164"/>
        <v>1</v>
      </c>
      <c r="AQ271" s="120">
        <f t="shared" si="164"/>
        <v>1</v>
      </c>
      <c r="AR271" s="120">
        <f t="shared" si="164"/>
        <v>0.5</v>
      </c>
      <c r="AS271" s="120">
        <f t="shared" si="164"/>
        <v>0.5</v>
      </c>
      <c r="AT271" s="120">
        <f t="shared" si="164"/>
        <v>1</v>
      </c>
      <c r="AU271" s="120">
        <f t="shared" si="164"/>
        <v>0</v>
      </c>
      <c r="AV271" s="120">
        <f t="shared" si="164"/>
        <v>1</v>
      </c>
      <c r="AW271" s="120">
        <f t="shared" si="164"/>
        <v>1</v>
      </c>
      <c r="AX271" s="120">
        <f t="shared" si="164"/>
        <v>1</v>
      </c>
      <c r="AY271" s="120">
        <f t="shared" si="165"/>
        <v>16.5</v>
      </c>
      <c r="AZ271" s="20" t="s">
        <v>140</v>
      </c>
    </row>
    <row r="272" spans="1:52">
      <c r="A272" s="120" t="s">
        <v>148</v>
      </c>
      <c r="B272" s="120">
        <f t="shared" si="166"/>
        <v>0</v>
      </c>
      <c r="C272" s="120">
        <f t="shared" si="166"/>
        <v>1</v>
      </c>
      <c r="D272" s="120">
        <f t="shared" si="166"/>
        <v>1</v>
      </c>
      <c r="E272" s="120">
        <f t="shared" si="166"/>
        <v>1</v>
      </c>
      <c r="F272" s="120">
        <f t="shared" si="166"/>
        <v>1</v>
      </c>
      <c r="G272" s="120">
        <f t="shared" si="166"/>
        <v>1</v>
      </c>
      <c r="H272" s="120">
        <f t="shared" si="166"/>
        <v>1</v>
      </c>
      <c r="I272" s="120">
        <f t="shared" si="166"/>
        <v>0</v>
      </c>
      <c r="J272" s="120">
        <f t="shared" si="166"/>
        <v>0</v>
      </c>
      <c r="K272" s="120">
        <f t="shared" si="166"/>
        <v>0</v>
      </c>
      <c r="L272" s="120">
        <f t="shared" si="166"/>
        <v>0</v>
      </c>
      <c r="M272" s="120">
        <f t="shared" si="166"/>
        <v>1</v>
      </c>
      <c r="N272" s="120">
        <f t="shared" si="166"/>
        <v>0</v>
      </c>
      <c r="O272" s="120">
        <f t="shared" si="166"/>
        <v>1</v>
      </c>
      <c r="P272" s="120">
        <f t="shared" si="166"/>
        <v>1</v>
      </c>
      <c r="Q272" s="120">
        <f t="shared" si="166"/>
        <v>1</v>
      </c>
      <c r="R272" s="120">
        <f t="shared" si="166"/>
        <v>1</v>
      </c>
      <c r="S272" s="120">
        <f t="shared" si="166"/>
        <v>1</v>
      </c>
      <c r="T272" s="120">
        <f t="shared" si="166"/>
        <v>0</v>
      </c>
      <c r="U272" s="120">
        <f t="shared" si="166"/>
        <v>0</v>
      </c>
      <c r="V272" s="120">
        <f t="shared" si="166"/>
        <v>0</v>
      </c>
      <c r="W272" s="120">
        <f t="shared" si="166"/>
        <v>0</v>
      </c>
      <c r="X272" s="120">
        <f t="shared" si="166"/>
        <v>0</v>
      </c>
      <c r="Y272" s="120">
        <f t="shared" si="166"/>
        <v>0</v>
      </c>
      <c r="AA272" s="120">
        <f t="shared" si="164"/>
        <v>0</v>
      </c>
      <c r="AB272" s="120">
        <f t="shared" si="164"/>
        <v>1</v>
      </c>
      <c r="AC272" s="120">
        <f t="shared" si="164"/>
        <v>1</v>
      </c>
      <c r="AD272" s="120">
        <f t="shared" si="164"/>
        <v>1</v>
      </c>
      <c r="AE272" s="120">
        <f t="shared" si="164"/>
        <v>1</v>
      </c>
      <c r="AF272" s="120">
        <f t="shared" si="164"/>
        <v>1</v>
      </c>
      <c r="AG272" s="120">
        <f t="shared" si="164"/>
        <v>1</v>
      </c>
      <c r="AH272" s="120">
        <f t="shared" si="164"/>
        <v>0</v>
      </c>
      <c r="AI272" s="120">
        <f t="shared" si="164"/>
        <v>0</v>
      </c>
      <c r="AJ272" s="120">
        <f t="shared" si="164"/>
        <v>0</v>
      </c>
      <c r="AK272" s="120">
        <f t="shared" si="164"/>
        <v>0</v>
      </c>
      <c r="AL272" s="120">
        <f t="shared" si="164"/>
        <v>1</v>
      </c>
      <c r="AM272" s="120">
        <f t="shared" si="164"/>
        <v>0</v>
      </c>
      <c r="AN272" s="120">
        <f t="shared" si="164"/>
        <v>1</v>
      </c>
      <c r="AO272" s="120">
        <f t="shared" si="164"/>
        <v>1</v>
      </c>
      <c r="AP272" s="120">
        <f t="shared" si="164"/>
        <v>1</v>
      </c>
      <c r="AQ272" s="120">
        <f t="shared" si="164"/>
        <v>1</v>
      </c>
      <c r="AR272" s="120">
        <f t="shared" si="164"/>
        <v>1</v>
      </c>
      <c r="AS272" s="120">
        <f t="shared" si="164"/>
        <v>0</v>
      </c>
      <c r="AT272" s="120">
        <f t="shared" si="164"/>
        <v>0</v>
      </c>
      <c r="AU272" s="120">
        <f t="shared" si="164"/>
        <v>0</v>
      </c>
      <c r="AV272" s="120">
        <f t="shared" si="164"/>
        <v>0</v>
      </c>
      <c r="AW272" s="120">
        <f t="shared" si="164"/>
        <v>0</v>
      </c>
      <c r="AX272" s="120">
        <f t="shared" si="164"/>
        <v>0</v>
      </c>
      <c r="AY272" s="120">
        <f t="shared" si="165"/>
        <v>12</v>
      </c>
      <c r="AZ272" s="20" t="s">
        <v>140</v>
      </c>
    </row>
    <row r="273" spans="1:52">
      <c r="A273" s="120" t="s">
        <v>149</v>
      </c>
      <c r="B273" s="120">
        <f t="shared" si="166"/>
        <v>0</v>
      </c>
      <c r="C273" s="120">
        <f t="shared" si="166"/>
        <v>1</v>
      </c>
      <c r="D273" s="120">
        <f t="shared" si="166"/>
        <v>0</v>
      </c>
      <c r="E273" s="120">
        <f t="shared" si="166"/>
        <v>0</v>
      </c>
      <c r="F273" s="120">
        <f t="shared" si="166"/>
        <v>0</v>
      </c>
      <c r="G273" s="120">
        <f t="shared" si="166"/>
        <v>0</v>
      </c>
      <c r="H273" s="120">
        <f t="shared" si="166"/>
        <v>1</v>
      </c>
      <c r="I273" s="120">
        <f t="shared" si="166"/>
        <v>0</v>
      </c>
      <c r="J273" s="120">
        <f t="shared" si="166"/>
        <v>0</v>
      </c>
      <c r="K273" s="120">
        <f t="shared" si="166"/>
        <v>0</v>
      </c>
      <c r="L273" s="120">
        <f t="shared" si="166"/>
        <v>0</v>
      </c>
      <c r="M273" s="120">
        <f t="shared" si="166"/>
        <v>0</v>
      </c>
      <c r="N273" s="120">
        <f t="shared" si="166"/>
        <v>1</v>
      </c>
      <c r="O273" s="120">
        <f t="shared" si="166"/>
        <v>1</v>
      </c>
      <c r="P273" s="120">
        <f t="shared" si="166"/>
        <v>1</v>
      </c>
      <c r="Q273" s="120">
        <f t="shared" si="166"/>
        <v>1</v>
      </c>
      <c r="R273" s="120">
        <f t="shared" si="166"/>
        <v>1</v>
      </c>
      <c r="S273" s="120">
        <f t="shared" si="166"/>
        <v>0</v>
      </c>
      <c r="T273" s="120">
        <f t="shared" si="166"/>
        <v>0</v>
      </c>
      <c r="U273" s="120">
        <f t="shared" si="166"/>
        <v>0</v>
      </c>
      <c r="V273" s="120">
        <f t="shared" si="166"/>
        <v>0</v>
      </c>
      <c r="W273" s="120">
        <f t="shared" si="166"/>
        <v>0</v>
      </c>
      <c r="X273" s="120">
        <f t="shared" si="166"/>
        <v>0</v>
      </c>
      <c r="Y273" s="120">
        <f t="shared" si="166"/>
        <v>0</v>
      </c>
      <c r="AA273" s="120">
        <f t="shared" si="164"/>
        <v>0</v>
      </c>
      <c r="AB273" s="120">
        <f t="shared" si="164"/>
        <v>1</v>
      </c>
      <c r="AC273" s="120">
        <f t="shared" si="164"/>
        <v>0</v>
      </c>
      <c r="AD273" s="120">
        <f t="shared" si="164"/>
        <v>0</v>
      </c>
      <c r="AE273" s="120">
        <f t="shared" si="164"/>
        <v>0</v>
      </c>
      <c r="AF273" s="120">
        <f t="shared" si="164"/>
        <v>0</v>
      </c>
      <c r="AG273" s="120">
        <f t="shared" si="164"/>
        <v>1</v>
      </c>
      <c r="AH273" s="120">
        <f t="shared" si="164"/>
        <v>0</v>
      </c>
      <c r="AI273" s="120">
        <f t="shared" si="164"/>
        <v>0</v>
      </c>
      <c r="AJ273" s="120">
        <f t="shared" si="164"/>
        <v>0</v>
      </c>
      <c r="AK273" s="120">
        <f t="shared" si="164"/>
        <v>0</v>
      </c>
      <c r="AL273" s="120">
        <f t="shared" si="164"/>
        <v>0</v>
      </c>
      <c r="AM273" s="120">
        <f t="shared" si="164"/>
        <v>1</v>
      </c>
      <c r="AN273" s="120">
        <f t="shared" si="164"/>
        <v>1</v>
      </c>
      <c r="AO273" s="120">
        <f t="shared" si="164"/>
        <v>1</v>
      </c>
      <c r="AP273" s="120">
        <f t="shared" si="164"/>
        <v>0.5</v>
      </c>
      <c r="AQ273" s="120">
        <f t="shared" si="164"/>
        <v>1</v>
      </c>
      <c r="AR273" s="120">
        <f t="shared" si="164"/>
        <v>0</v>
      </c>
      <c r="AS273" s="120">
        <f t="shared" si="164"/>
        <v>0</v>
      </c>
      <c r="AT273" s="120">
        <f t="shared" si="164"/>
        <v>0</v>
      </c>
      <c r="AU273" s="120">
        <f t="shared" si="164"/>
        <v>0</v>
      </c>
      <c r="AV273" s="120">
        <f t="shared" si="164"/>
        <v>0</v>
      </c>
      <c r="AW273" s="120">
        <f t="shared" si="164"/>
        <v>0</v>
      </c>
      <c r="AX273" s="120">
        <f t="shared" si="164"/>
        <v>0</v>
      </c>
      <c r="AY273" s="120">
        <f t="shared" si="165"/>
        <v>6.5</v>
      </c>
      <c r="AZ273" s="20" t="s">
        <v>140</v>
      </c>
    </row>
    <row r="274" spans="1:52">
      <c r="A274" s="120" t="s">
        <v>150</v>
      </c>
      <c r="B274" s="120">
        <f t="shared" si="166"/>
        <v>0</v>
      </c>
      <c r="C274" s="120">
        <f t="shared" si="166"/>
        <v>0</v>
      </c>
      <c r="D274" s="120">
        <f t="shared" si="166"/>
        <v>1</v>
      </c>
      <c r="E274" s="120">
        <f t="shared" si="166"/>
        <v>0</v>
      </c>
      <c r="F274" s="120">
        <f t="shared" si="166"/>
        <v>0</v>
      </c>
      <c r="G274" s="120">
        <f t="shared" si="166"/>
        <v>0</v>
      </c>
      <c r="H274" s="120">
        <f t="shared" si="166"/>
        <v>1</v>
      </c>
      <c r="I274" s="120">
        <f t="shared" si="166"/>
        <v>0</v>
      </c>
      <c r="J274" s="120">
        <f t="shared" si="166"/>
        <v>0</v>
      </c>
      <c r="K274" s="120">
        <f t="shared" si="166"/>
        <v>0</v>
      </c>
      <c r="L274" s="120">
        <f t="shared" si="166"/>
        <v>0</v>
      </c>
      <c r="M274" s="120">
        <f t="shared" si="166"/>
        <v>1</v>
      </c>
      <c r="N274" s="120">
        <f t="shared" si="166"/>
        <v>0</v>
      </c>
      <c r="O274" s="120">
        <f t="shared" si="166"/>
        <v>0</v>
      </c>
      <c r="P274" s="120">
        <f t="shared" si="166"/>
        <v>1</v>
      </c>
      <c r="Q274" s="120">
        <f t="shared" si="166"/>
        <v>1</v>
      </c>
      <c r="R274" s="120">
        <f t="shared" si="166"/>
        <v>0</v>
      </c>
      <c r="S274" s="120">
        <f t="shared" si="166"/>
        <v>0</v>
      </c>
      <c r="T274" s="120">
        <f t="shared" si="166"/>
        <v>0</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1</v>
      </c>
      <c r="AD274" s="120">
        <f t="shared" si="164"/>
        <v>0</v>
      </c>
      <c r="AE274" s="120">
        <f t="shared" si="164"/>
        <v>0</v>
      </c>
      <c r="AF274" s="120">
        <f t="shared" si="164"/>
        <v>0</v>
      </c>
      <c r="AG274" s="120">
        <f t="shared" si="164"/>
        <v>0.5</v>
      </c>
      <c r="AH274" s="120">
        <f t="shared" si="164"/>
        <v>0</v>
      </c>
      <c r="AI274" s="120">
        <f t="shared" si="164"/>
        <v>0</v>
      </c>
      <c r="AJ274" s="120">
        <f t="shared" si="164"/>
        <v>0</v>
      </c>
      <c r="AK274" s="120">
        <f t="shared" si="164"/>
        <v>0</v>
      </c>
      <c r="AL274" s="120">
        <f t="shared" si="164"/>
        <v>1</v>
      </c>
      <c r="AM274" s="120">
        <f t="shared" si="164"/>
        <v>0</v>
      </c>
      <c r="AN274" s="120">
        <f t="shared" si="164"/>
        <v>0</v>
      </c>
      <c r="AO274" s="120">
        <f t="shared" si="164"/>
        <v>1</v>
      </c>
      <c r="AP274" s="120">
        <f t="shared" si="164"/>
        <v>1</v>
      </c>
      <c r="AQ274" s="120">
        <f t="shared" si="164"/>
        <v>0</v>
      </c>
      <c r="AR274" s="120">
        <f t="shared" si="164"/>
        <v>0</v>
      </c>
      <c r="AS274" s="120">
        <f t="shared" si="164"/>
        <v>0</v>
      </c>
      <c r="AT274" s="120">
        <f t="shared" si="164"/>
        <v>0</v>
      </c>
      <c r="AU274" s="120">
        <f t="shared" si="164"/>
        <v>0</v>
      </c>
      <c r="AV274" s="120">
        <f t="shared" si="164"/>
        <v>0</v>
      </c>
      <c r="AW274" s="120">
        <f t="shared" si="164"/>
        <v>0</v>
      </c>
      <c r="AX274" s="120">
        <f t="shared" si="164"/>
        <v>0</v>
      </c>
      <c r="AY274" s="120">
        <f t="shared" si="165"/>
        <v>4.5</v>
      </c>
      <c r="AZ274" s="20" t="s">
        <v>140</v>
      </c>
    </row>
    <row r="275" spans="1:52">
      <c r="A275" s="120" t="s">
        <v>151</v>
      </c>
      <c r="B275" s="120">
        <f t="shared" si="166"/>
        <v>0</v>
      </c>
      <c r="C275" s="120">
        <f t="shared" si="166"/>
        <v>0</v>
      </c>
      <c r="D275" s="120">
        <f t="shared" si="166"/>
        <v>0</v>
      </c>
      <c r="E275" s="120">
        <f t="shared" si="166"/>
        <v>0</v>
      </c>
      <c r="F275" s="120">
        <f t="shared" si="166"/>
        <v>1</v>
      </c>
      <c r="G275" s="120">
        <f t="shared" si="166"/>
        <v>1</v>
      </c>
      <c r="H275" s="120">
        <f t="shared" si="166"/>
        <v>0</v>
      </c>
      <c r="I275" s="120">
        <f t="shared" si="166"/>
        <v>1</v>
      </c>
      <c r="J275" s="120">
        <f t="shared" si="166"/>
        <v>0</v>
      </c>
      <c r="K275" s="120">
        <f t="shared" si="166"/>
        <v>0</v>
      </c>
      <c r="L275" s="120">
        <f t="shared" si="166"/>
        <v>0</v>
      </c>
      <c r="M275" s="120">
        <f t="shared" si="166"/>
        <v>1</v>
      </c>
      <c r="N275" s="120">
        <f t="shared" si="166"/>
        <v>1</v>
      </c>
      <c r="O275" s="120">
        <f t="shared" si="166"/>
        <v>0</v>
      </c>
      <c r="P275" s="120">
        <f t="shared" si="166"/>
        <v>0</v>
      </c>
      <c r="Q275" s="120">
        <f t="shared" si="166"/>
        <v>1</v>
      </c>
      <c r="R275" s="120">
        <f t="shared" si="166"/>
        <v>0</v>
      </c>
      <c r="S275" s="120">
        <f t="shared" si="166"/>
        <v>1</v>
      </c>
      <c r="T275" s="120">
        <f t="shared" si="166"/>
        <v>0</v>
      </c>
      <c r="U275" s="120">
        <f t="shared" si="166"/>
        <v>0</v>
      </c>
      <c r="V275" s="120">
        <f t="shared" si="166"/>
        <v>0</v>
      </c>
      <c r="W275" s="120">
        <f t="shared" si="166"/>
        <v>0</v>
      </c>
      <c r="X275" s="120">
        <f t="shared" si="166"/>
        <v>1</v>
      </c>
      <c r="Y275" s="120">
        <f t="shared" si="166"/>
        <v>0</v>
      </c>
      <c r="AA275" s="120">
        <f t="shared" si="164"/>
        <v>0</v>
      </c>
      <c r="AB275" s="120">
        <f t="shared" si="164"/>
        <v>0</v>
      </c>
      <c r="AC275" s="120">
        <f t="shared" si="164"/>
        <v>0</v>
      </c>
      <c r="AD275" s="120">
        <f t="shared" si="164"/>
        <v>0</v>
      </c>
      <c r="AE275" s="120">
        <f t="shared" si="164"/>
        <v>0.5</v>
      </c>
      <c r="AF275" s="120">
        <f t="shared" si="164"/>
        <v>0.5</v>
      </c>
      <c r="AG275" s="120">
        <f t="shared" si="164"/>
        <v>0</v>
      </c>
      <c r="AH275" s="120">
        <f t="shared" si="164"/>
        <v>1</v>
      </c>
      <c r="AI275" s="120">
        <f t="shared" si="164"/>
        <v>0</v>
      </c>
      <c r="AJ275" s="120">
        <f t="shared" si="164"/>
        <v>0</v>
      </c>
      <c r="AK275" s="120">
        <f t="shared" si="164"/>
        <v>0</v>
      </c>
      <c r="AL275" s="120">
        <f t="shared" si="164"/>
        <v>1</v>
      </c>
      <c r="AM275" s="120">
        <f t="shared" si="164"/>
        <v>1</v>
      </c>
      <c r="AN275" s="120">
        <f t="shared" si="164"/>
        <v>0</v>
      </c>
      <c r="AO275" s="120">
        <f t="shared" si="164"/>
        <v>0</v>
      </c>
      <c r="AP275" s="120">
        <f t="shared" si="164"/>
        <v>1</v>
      </c>
      <c r="AQ275" s="120">
        <f t="shared" si="164"/>
        <v>0</v>
      </c>
      <c r="AR275" s="120">
        <f t="shared" si="164"/>
        <v>1</v>
      </c>
      <c r="AS275" s="120">
        <f t="shared" si="164"/>
        <v>0</v>
      </c>
      <c r="AT275" s="120">
        <f t="shared" si="164"/>
        <v>0</v>
      </c>
      <c r="AU275" s="120">
        <f t="shared" si="164"/>
        <v>0</v>
      </c>
      <c r="AV275" s="120">
        <f t="shared" si="164"/>
        <v>0</v>
      </c>
      <c r="AW275" s="120">
        <f t="shared" si="164"/>
        <v>0.5</v>
      </c>
      <c r="AX275" s="120">
        <f t="shared" si="164"/>
        <v>0</v>
      </c>
      <c r="AY275" s="120">
        <f t="shared" si="165"/>
        <v>6.5</v>
      </c>
      <c r="AZ275" s="20" t="s">
        <v>140</v>
      </c>
    </row>
    <row r="276" spans="1:52">
      <c r="A276" s="120" t="s">
        <v>152</v>
      </c>
      <c r="B276" s="120">
        <f t="shared" si="166"/>
        <v>1</v>
      </c>
      <c r="C276" s="120">
        <f t="shared" si="166"/>
        <v>0</v>
      </c>
      <c r="D276" s="120">
        <f t="shared" si="166"/>
        <v>0</v>
      </c>
      <c r="E276" s="120">
        <f t="shared" si="166"/>
        <v>0</v>
      </c>
      <c r="F276" s="120">
        <f t="shared" si="166"/>
        <v>0</v>
      </c>
      <c r="G276" s="120">
        <f t="shared" si="166"/>
        <v>0</v>
      </c>
      <c r="H276" s="120">
        <f t="shared" si="166"/>
        <v>0</v>
      </c>
      <c r="I276" s="120">
        <f t="shared" si="166"/>
        <v>0</v>
      </c>
      <c r="J276" s="120">
        <f t="shared" si="166"/>
        <v>0</v>
      </c>
      <c r="K276" s="120">
        <f t="shared" si="166"/>
        <v>0</v>
      </c>
      <c r="L276" s="120">
        <f t="shared" si="166"/>
        <v>1</v>
      </c>
      <c r="M276" s="120">
        <f t="shared" si="166"/>
        <v>1</v>
      </c>
      <c r="N276" s="120">
        <f t="shared" si="166"/>
        <v>0</v>
      </c>
      <c r="O276" s="120">
        <f t="shared" si="166"/>
        <v>0</v>
      </c>
      <c r="P276" s="120">
        <f t="shared" si="166"/>
        <v>1</v>
      </c>
      <c r="Q276" s="120">
        <f t="shared" si="166"/>
        <v>0</v>
      </c>
      <c r="R276" s="120">
        <f t="shared" si="166"/>
        <v>0</v>
      </c>
      <c r="S276" s="120">
        <f t="shared" si="166"/>
        <v>0</v>
      </c>
      <c r="T276" s="120">
        <f t="shared" si="166"/>
        <v>0</v>
      </c>
      <c r="U276" s="120">
        <f t="shared" si="166"/>
        <v>0</v>
      </c>
      <c r="V276" s="120">
        <f t="shared" si="166"/>
        <v>0</v>
      </c>
      <c r="W276" s="120">
        <f t="shared" si="166"/>
        <v>0</v>
      </c>
      <c r="X276" s="120">
        <f t="shared" si="166"/>
        <v>0</v>
      </c>
      <c r="Y276" s="120">
        <f t="shared" si="166"/>
        <v>0</v>
      </c>
      <c r="AA276" s="120">
        <f t="shared" si="164"/>
        <v>1</v>
      </c>
      <c r="AB276" s="120">
        <f t="shared" si="164"/>
        <v>0</v>
      </c>
      <c r="AC276" s="120">
        <f t="shared" si="164"/>
        <v>0</v>
      </c>
      <c r="AD276" s="120">
        <f t="shared" si="164"/>
        <v>0</v>
      </c>
      <c r="AE276" s="120">
        <f t="shared" si="164"/>
        <v>0</v>
      </c>
      <c r="AF276" s="120">
        <f t="shared" si="164"/>
        <v>0</v>
      </c>
      <c r="AG276" s="120">
        <f t="shared" si="164"/>
        <v>0</v>
      </c>
      <c r="AH276" s="120">
        <f t="shared" si="164"/>
        <v>0</v>
      </c>
      <c r="AI276" s="120">
        <f t="shared" si="164"/>
        <v>0</v>
      </c>
      <c r="AJ276" s="120">
        <f t="shared" si="164"/>
        <v>0</v>
      </c>
      <c r="AK276" s="120">
        <f t="shared" si="164"/>
        <v>0.5</v>
      </c>
      <c r="AL276" s="120">
        <f t="shared" si="164"/>
        <v>0.5</v>
      </c>
      <c r="AM276" s="120">
        <f t="shared" si="164"/>
        <v>0</v>
      </c>
      <c r="AN276" s="120">
        <f t="shared" si="164"/>
        <v>0</v>
      </c>
      <c r="AO276" s="120">
        <f t="shared" si="164"/>
        <v>1</v>
      </c>
      <c r="AP276" s="120">
        <f t="shared" si="164"/>
        <v>0</v>
      </c>
      <c r="AQ276" s="120">
        <f t="shared" si="164"/>
        <v>0</v>
      </c>
      <c r="AR276" s="120">
        <f t="shared" si="164"/>
        <v>0</v>
      </c>
      <c r="AS276" s="120">
        <f t="shared" si="164"/>
        <v>0</v>
      </c>
      <c r="AT276" s="120">
        <f t="shared" si="164"/>
        <v>0</v>
      </c>
      <c r="AU276" s="120">
        <f t="shared" si="164"/>
        <v>0</v>
      </c>
      <c r="AV276" s="120">
        <f t="shared" si="164"/>
        <v>0</v>
      </c>
      <c r="AW276" s="120">
        <f t="shared" si="164"/>
        <v>0</v>
      </c>
      <c r="AX276" s="120">
        <f t="shared" si="164"/>
        <v>0</v>
      </c>
      <c r="AY276" s="120">
        <f t="shared" si="165"/>
        <v>3</v>
      </c>
      <c r="AZ276" s="20" t="s">
        <v>140</v>
      </c>
    </row>
    <row r="277" spans="1:52">
      <c r="A277" s="120" t="s">
        <v>153</v>
      </c>
      <c r="B277" s="120">
        <f t="shared" si="166"/>
        <v>0</v>
      </c>
      <c r="C277" s="120">
        <f t="shared" si="166"/>
        <v>0</v>
      </c>
      <c r="D277" s="120">
        <f t="shared" si="166"/>
        <v>0</v>
      </c>
      <c r="E277" s="120">
        <f t="shared" si="166"/>
        <v>0</v>
      </c>
      <c r="F277" s="120">
        <f t="shared" si="166"/>
        <v>0</v>
      </c>
      <c r="G277" s="120">
        <f t="shared" si="166"/>
        <v>0</v>
      </c>
      <c r="H277" s="120">
        <f t="shared" si="166"/>
        <v>0</v>
      </c>
      <c r="I277" s="120">
        <f t="shared" si="166"/>
        <v>1</v>
      </c>
      <c r="J277" s="120">
        <f t="shared" si="166"/>
        <v>1</v>
      </c>
      <c r="K277" s="120">
        <f t="shared" si="166"/>
        <v>0</v>
      </c>
      <c r="L277" s="120">
        <f t="shared" si="166"/>
        <v>1</v>
      </c>
      <c r="M277" s="120">
        <f t="shared" si="166"/>
        <v>1</v>
      </c>
      <c r="N277" s="120">
        <f t="shared" si="166"/>
        <v>0</v>
      </c>
      <c r="O277" s="120">
        <f t="shared" si="166"/>
        <v>1</v>
      </c>
      <c r="P277" s="120">
        <f t="shared" si="166"/>
        <v>1</v>
      </c>
      <c r="Q277" s="120">
        <f t="shared" si="166"/>
        <v>1</v>
      </c>
      <c r="R277" s="120">
        <f t="shared" si="166"/>
        <v>1</v>
      </c>
      <c r="S277" s="120">
        <f t="shared" si="166"/>
        <v>1</v>
      </c>
      <c r="T277" s="120">
        <f t="shared" si="166"/>
        <v>1</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1</v>
      </c>
      <c r="AI277" s="120">
        <f t="shared" si="164"/>
        <v>1</v>
      </c>
      <c r="AJ277" s="120">
        <f t="shared" si="164"/>
        <v>0</v>
      </c>
      <c r="AK277" s="120">
        <f t="shared" si="164"/>
        <v>0.5</v>
      </c>
      <c r="AL277" s="120">
        <f t="shared" si="164"/>
        <v>1</v>
      </c>
      <c r="AM277" s="120">
        <f t="shared" si="164"/>
        <v>0</v>
      </c>
      <c r="AN277" s="120">
        <f t="shared" si="164"/>
        <v>1</v>
      </c>
      <c r="AO277" s="120">
        <f t="shared" si="164"/>
        <v>1</v>
      </c>
      <c r="AP277" s="120">
        <f t="shared" si="164"/>
        <v>1</v>
      </c>
      <c r="AQ277" s="120">
        <f t="shared" si="164"/>
        <v>1</v>
      </c>
      <c r="AR277" s="120">
        <f t="shared" si="164"/>
        <v>1</v>
      </c>
      <c r="AS277" s="120">
        <f t="shared" si="164"/>
        <v>1</v>
      </c>
      <c r="AT277" s="120">
        <f t="shared" si="164"/>
        <v>0</v>
      </c>
      <c r="AU277" s="120">
        <f t="shared" si="164"/>
        <v>0</v>
      </c>
      <c r="AV277" s="120">
        <f t="shared" si="164"/>
        <v>0</v>
      </c>
      <c r="AW277" s="120">
        <f t="shared" si="164"/>
        <v>0</v>
      </c>
      <c r="AX277" s="120">
        <f t="shared" si="164"/>
        <v>0</v>
      </c>
      <c r="AY277" s="120">
        <f t="shared" si="165"/>
        <v>9.5</v>
      </c>
      <c r="AZ277" s="20" t="s">
        <v>140</v>
      </c>
    </row>
    <row r="278" spans="1:52">
      <c r="A278" s="120" t="s">
        <v>154</v>
      </c>
      <c r="B278" s="120">
        <f t="shared" si="166"/>
        <v>0</v>
      </c>
      <c r="C278" s="120">
        <f t="shared" si="166"/>
        <v>0</v>
      </c>
      <c r="D278" s="120">
        <f t="shared" si="166"/>
        <v>0</v>
      </c>
      <c r="E278" s="120">
        <f t="shared" si="166"/>
        <v>0</v>
      </c>
      <c r="F278" s="120">
        <f t="shared" si="166"/>
        <v>0</v>
      </c>
      <c r="G278" s="120">
        <f t="shared" si="166"/>
        <v>0</v>
      </c>
      <c r="H278" s="120">
        <f t="shared" si="166"/>
        <v>0</v>
      </c>
      <c r="I278" s="120">
        <f t="shared" si="166"/>
        <v>0</v>
      </c>
      <c r="J278" s="120">
        <f t="shared" si="166"/>
        <v>0</v>
      </c>
      <c r="K278" s="120">
        <f t="shared" si="166"/>
        <v>0</v>
      </c>
      <c r="L278" s="120">
        <f t="shared" si="166"/>
        <v>1</v>
      </c>
      <c r="M278" s="120">
        <f t="shared" si="166"/>
        <v>1</v>
      </c>
      <c r="N278" s="120">
        <f t="shared" si="166"/>
        <v>1</v>
      </c>
      <c r="O278" s="120">
        <f t="shared" si="166"/>
        <v>1</v>
      </c>
      <c r="P278" s="120">
        <f t="shared" si="166"/>
        <v>1</v>
      </c>
      <c r="Q278" s="120">
        <f t="shared" si="166"/>
        <v>1</v>
      </c>
      <c r="R278" s="120">
        <f t="shared" si="166"/>
        <v>1</v>
      </c>
      <c r="S278" s="120">
        <f t="shared" si="166"/>
        <v>0</v>
      </c>
      <c r="T278" s="120">
        <f t="shared" si="166"/>
        <v>0</v>
      </c>
      <c r="U278" s="120">
        <f t="shared" si="166"/>
        <v>0</v>
      </c>
      <c r="V278" s="120">
        <f t="shared" si="166"/>
        <v>1</v>
      </c>
      <c r="W278" s="120">
        <f t="shared" si="166"/>
        <v>0</v>
      </c>
      <c r="X278" s="120">
        <f t="shared" si="166"/>
        <v>0</v>
      </c>
      <c r="Y278" s="120">
        <f t="shared" si="166"/>
        <v>0</v>
      </c>
      <c r="AA278" s="120">
        <f t="shared" si="164"/>
        <v>0</v>
      </c>
      <c r="AB278" s="120">
        <f t="shared" si="164"/>
        <v>0</v>
      </c>
      <c r="AC278" s="120">
        <f t="shared" si="164"/>
        <v>0</v>
      </c>
      <c r="AD278" s="120">
        <f t="shared" si="164"/>
        <v>0</v>
      </c>
      <c r="AE278" s="120">
        <f t="shared" si="164"/>
        <v>0</v>
      </c>
      <c r="AF278" s="120">
        <f t="shared" si="164"/>
        <v>0</v>
      </c>
      <c r="AG278" s="120">
        <f t="shared" si="164"/>
        <v>0</v>
      </c>
      <c r="AH278" s="120">
        <f t="shared" si="164"/>
        <v>0</v>
      </c>
      <c r="AI278" s="120">
        <f t="shared" si="164"/>
        <v>0</v>
      </c>
      <c r="AJ278" s="120">
        <f t="shared" si="164"/>
        <v>0</v>
      </c>
      <c r="AK278" s="120">
        <f t="shared" si="164"/>
        <v>1</v>
      </c>
      <c r="AL278" s="120">
        <f t="shared" si="164"/>
        <v>1</v>
      </c>
      <c r="AM278" s="120">
        <f t="shared" si="164"/>
        <v>1</v>
      </c>
      <c r="AN278" s="120">
        <f t="shared" si="164"/>
        <v>1</v>
      </c>
      <c r="AO278" s="120">
        <f t="shared" si="164"/>
        <v>1</v>
      </c>
      <c r="AP278" s="120">
        <f t="shared" si="164"/>
        <v>1</v>
      </c>
      <c r="AQ278" s="120">
        <f t="shared" si="164"/>
        <v>1</v>
      </c>
      <c r="AR278" s="120">
        <f t="shared" si="164"/>
        <v>0</v>
      </c>
      <c r="AS278" s="120">
        <f t="shared" si="164"/>
        <v>0</v>
      </c>
      <c r="AT278" s="120">
        <f t="shared" si="164"/>
        <v>0</v>
      </c>
      <c r="AU278" s="120">
        <f t="shared" si="164"/>
        <v>1</v>
      </c>
      <c r="AV278" s="120">
        <f t="shared" si="164"/>
        <v>0</v>
      </c>
      <c r="AW278" s="120">
        <f t="shared" si="164"/>
        <v>0</v>
      </c>
      <c r="AX278" s="120">
        <f t="shared" si="164"/>
        <v>0</v>
      </c>
      <c r="AY278" s="120">
        <f t="shared" si="165"/>
        <v>8</v>
      </c>
      <c r="AZ278" s="20" t="s">
        <v>140</v>
      </c>
    </row>
    <row r="279" spans="1:52">
      <c r="A279" s="120" t="s">
        <v>155</v>
      </c>
      <c r="B279" s="120">
        <f t="shared" si="166"/>
        <v>0</v>
      </c>
      <c r="C279" s="120">
        <f t="shared" si="166"/>
        <v>0</v>
      </c>
      <c r="D279" s="120">
        <f t="shared" si="166"/>
        <v>0</v>
      </c>
      <c r="E279" s="120">
        <f t="shared" si="166"/>
        <v>1</v>
      </c>
      <c r="F279" s="120">
        <f t="shared" si="166"/>
        <v>0</v>
      </c>
      <c r="G279" s="120">
        <f t="shared" si="166"/>
        <v>0</v>
      </c>
      <c r="H279" s="120">
        <f t="shared" si="166"/>
        <v>1</v>
      </c>
      <c r="I279" s="120">
        <f t="shared" si="166"/>
        <v>0</v>
      </c>
      <c r="J279" s="120">
        <f t="shared" si="166"/>
        <v>0</v>
      </c>
      <c r="K279" s="120">
        <f t="shared" si="166"/>
        <v>0</v>
      </c>
      <c r="L279" s="120">
        <f t="shared" si="166"/>
        <v>0</v>
      </c>
      <c r="M279" s="120">
        <f t="shared" si="166"/>
        <v>0</v>
      </c>
      <c r="N279" s="120">
        <f t="shared" si="166"/>
        <v>0</v>
      </c>
      <c r="O279" s="120">
        <f t="shared" si="166"/>
        <v>1</v>
      </c>
      <c r="P279" s="120">
        <f t="shared" si="166"/>
        <v>1</v>
      </c>
      <c r="Q279" s="120">
        <f t="shared" si="166"/>
        <v>0</v>
      </c>
      <c r="R279" s="120">
        <f t="shared" si="166"/>
        <v>0</v>
      </c>
      <c r="S279" s="120">
        <f t="shared" si="166"/>
        <v>0</v>
      </c>
      <c r="T279" s="120">
        <f t="shared" si="166"/>
        <v>0</v>
      </c>
      <c r="U279" s="120">
        <f t="shared" si="166"/>
        <v>0</v>
      </c>
      <c r="V279" s="120">
        <f t="shared" si="166"/>
        <v>0</v>
      </c>
      <c r="W279" s="120">
        <f t="shared" si="166"/>
        <v>0</v>
      </c>
      <c r="X279" s="120">
        <f t="shared" si="166"/>
        <v>0</v>
      </c>
      <c r="Y279" s="120">
        <f t="shared" si="166"/>
        <v>0</v>
      </c>
      <c r="AA279" s="120">
        <f t="shared" si="164"/>
        <v>0</v>
      </c>
      <c r="AB279" s="120">
        <f t="shared" si="164"/>
        <v>0</v>
      </c>
      <c r="AC279" s="120">
        <f t="shared" si="164"/>
        <v>0</v>
      </c>
      <c r="AD279" s="120">
        <f t="shared" si="164"/>
        <v>1</v>
      </c>
      <c r="AE279" s="120">
        <f t="shared" si="164"/>
        <v>0</v>
      </c>
      <c r="AF279" s="120">
        <f t="shared" si="164"/>
        <v>0</v>
      </c>
      <c r="AG279" s="120">
        <f t="shared" si="164"/>
        <v>1</v>
      </c>
      <c r="AH279" s="120">
        <f t="shared" si="164"/>
        <v>0</v>
      </c>
      <c r="AI279" s="120">
        <f t="shared" si="164"/>
        <v>0</v>
      </c>
      <c r="AJ279" s="120">
        <f t="shared" si="164"/>
        <v>0</v>
      </c>
      <c r="AK279" s="120">
        <f t="shared" si="164"/>
        <v>0</v>
      </c>
      <c r="AL279" s="120">
        <f t="shared" si="164"/>
        <v>0</v>
      </c>
      <c r="AM279" s="120">
        <f t="shared" si="164"/>
        <v>0</v>
      </c>
      <c r="AN279" s="120">
        <f t="shared" si="164"/>
        <v>1</v>
      </c>
      <c r="AO279" s="120">
        <f t="shared" si="164"/>
        <v>1</v>
      </c>
      <c r="AP279" s="120">
        <f t="shared" ref="AP279:AX294" si="167">IF(Q279=0,0,Q279/AP15)</f>
        <v>0</v>
      </c>
      <c r="AQ279" s="120">
        <f t="shared" si="167"/>
        <v>0</v>
      </c>
      <c r="AR279" s="120">
        <f t="shared" si="167"/>
        <v>0</v>
      </c>
      <c r="AS279" s="120">
        <f t="shared" si="167"/>
        <v>0</v>
      </c>
      <c r="AT279" s="120">
        <f t="shared" si="167"/>
        <v>0</v>
      </c>
      <c r="AU279" s="120">
        <f t="shared" si="167"/>
        <v>0</v>
      </c>
      <c r="AV279" s="120">
        <f t="shared" si="167"/>
        <v>0</v>
      </c>
      <c r="AW279" s="120">
        <f t="shared" si="167"/>
        <v>0</v>
      </c>
      <c r="AX279" s="120">
        <f t="shared" si="167"/>
        <v>0</v>
      </c>
      <c r="AY279" s="120">
        <f t="shared" si="165"/>
        <v>4</v>
      </c>
      <c r="AZ279" s="20" t="s">
        <v>140</v>
      </c>
    </row>
    <row r="280" spans="1:52">
      <c r="A280" s="120" t="s">
        <v>156</v>
      </c>
      <c r="B280" s="120">
        <f t="shared" si="166"/>
        <v>0</v>
      </c>
      <c r="C280" s="120">
        <f t="shared" si="166"/>
        <v>1</v>
      </c>
      <c r="D280" s="120">
        <f t="shared" si="166"/>
        <v>0</v>
      </c>
      <c r="E280" s="120">
        <f t="shared" si="166"/>
        <v>0</v>
      </c>
      <c r="F280" s="120">
        <f t="shared" si="166"/>
        <v>0</v>
      </c>
      <c r="G280" s="120">
        <f t="shared" si="166"/>
        <v>0</v>
      </c>
      <c r="H280" s="120">
        <f t="shared" si="166"/>
        <v>0</v>
      </c>
      <c r="I280" s="120">
        <f t="shared" si="166"/>
        <v>0</v>
      </c>
      <c r="J280" s="120">
        <f t="shared" si="166"/>
        <v>0</v>
      </c>
      <c r="K280" s="120">
        <f t="shared" si="166"/>
        <v>0</v>
      </c>
      <c r="L280" s="120">
        <f t="shared" si="166"/>
        <v>0</v>
      </c>
      <c r="M280" s="120">
        <f t="shared" si="166"/>
        <v>1</v>
      </c>
      <c r="N280" s="120">
        <f t="shared" si="166"/>
        <v>0</v>
      </c>
      <c r="O280" s="120">
        <f t="shared" si="166"/>
        <v>0</v>
      </c>
      <c r="P280" s="120">
        <f t="shared" si="166"/>
        <v>0</v>
      </c>
      <c r="Q280" s="120">
        <f t="shared" ref="Q280:Y280" si="168">IF(IFERROR(FIND($A$268,Q16,1),0)=0,0,1)</f>
        <v>1</v>
      </c>
      <c r="R280" s="120">
        <f t="shared" si="168"/>
        <v>0</v>
      </c>
      <c r="S280" s="120">
        <f t="shared" si="168"/>
        <v>1</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1</v>
      </c>
      <c r="AC280" s="120">
        <f t="shared" si="169"/>
        <v>0</v>
      </c>
      <c r="AD280" s="120">
        <f t="shared" si="169"/>
        <v>0</v>
      </c>
      <c r="AE280" s="120">
        <f t="shared" si="169"/>
        <v>0</v>
      </c>
      <c r="AF280" s="120">
        <f t="shared" si="169"/>
        <v>0</v>
      </c>
      <c r="AG280" s="120">
        <f t="shared" si="169"/>
        <v>0</v>
      </c>
      <c r="AH280" s="120">
        <f t="shared" si="169"/>
        <v>0</v>
      </c>
      <c r="AI280" s="120">
        <f t="shared" si="169"/>
        <v>0</v>
      </c>
      <c r="AJ280" s="120">
        <f t="shared" si="169"/>
        <v>0</v>
      </c>
      <c r="AK280" s="120">
        <f t="shared" si="169"/>
        <v>0</v>
      </c>
      <c r="AL280" s="120">
        <f t="shared" si="169"/>
        <v>1</v>
      </c>
      <c r="AM280" s="120">
        <f t="shared" si="169"/>
        <v>0</v>
      </c>
      <c r="AN280" s="120">
        <f t="shared" si="169"/>
        <v>0</v>
      </c>
      <c r="AO280" s="120">
        <f t="shared" si="169"/>
        <v>0</v>
      </c>
      <c r="AP280" s="120">
        <f t="shared" si="167"/>
        <v>1</v>
      </c>
      <c r="AQ280" s="120">
        <f t="shared" si="167"/>
        <v>0</v>
      </c>
      <c r="AR280" s="120">
        <f t="shared" si="167"/>
        <v>1</v>
      </c>
      <c r="AS280" s="120">
        <f t="shared" si="167"/>
        <v>0</v>
      </c>
      <c r="AT280" s="120">
        <f t="shared" si="167"/>
        <v>0</v>
      </c>
      <c r="AU280" s="120">
        <f t="shared" si="167"/>
        <v>0</v>
      </c>
      <c r="AV280" s="120">
        <f t="shared" si="167"/>
        <v>0</v>
      </c>
      <c r="AW280" s="120">
        <f t="shared" si="167"/>
        <v>0</v>
      </c>
      <c r="AX280" s="120">
        <f t="shared" si="167"/>
        <v>0</v>
      </c>
      <c r="AY280" s="120">
        <f t="shared" si="165"/>
        <v>4</v>
      </c>
      <c r="AZ280" s="20" t="s">
        <v>140</v>
      </c>
    </row>
    <row r="281" spans="1:52">
      <c r="A281" s="120" t="s">
        <v>157</v>
      </c>
      <c r="B281" s="120">
        <f t="shared" ref="B281:Y291" si="170">IF(IFERROR(FIND($A$268,B17,1),0)=0,0,1)</f>
        <v>0</v>
      </c>
      <c r="C281" s="120">
        <f t="shared" si="170"/>
        <v>1</v>
      </c>
      <c r="D281" s="120">
        <f t="shared" si="170"/>
        <v>0</v>
      </c>
      <c r="E281" s="120">
        <f t="shared" si="170"/>
        <v>0</v>
      </c>
      <c r="F281" s="120">
        <f t="shared" si="170"/>
        <v>1</v>
      </c>
      <c r="G281" s="120">
        <f t="shared" si="170"/>
        <v>1</v>
      </c>
      <c r="H281" s="120">
        <f t="shared" si="170"/>
        <v>0</v>
      </c>
      <c r="I281" s="120">
        <f t="shared" si="170"/>
        <v>0</v>
      </c>
      <c r="J281" s="120">
        <f t="shared" si="170"/>
        <v>0</v>
      </c>
      <c r="K281" s="120">
        <f t="shared" si="170"/>
        <v>0</v>
      </c>
      <c r="L281" s="120">
        <f t="shared" si="170"/>
        <v>0</v>
      </c>
      <c r="M281" s="120">
        <f t="shared" si="170"/>
        <v>0</v>
      </c>
      <c r="N281" s="120">
        <f t="shared" si="170"/>
        <v>1</v>
      </c>
      <c r="O281" s="120">
        <f t="shared" si="170"/>
        <v>1</v>
      </c>
      <c r="P281" s="120">
        <f t="shared" si="170"/>
        <v>0</v>
      </c>
      <c r="Q281" s="120">
        <f t="shared" si="170"/>
        <v>0</v>
      </c>
      <c r="R281" s="120">
        <f t="shared" si="170"/>
        <v>1</v>
      </c>
      <c r="S281" s="120">
        <f t="shared" si="170"/>
        <v>1</v>
      </c>
      <c r="T281" s="120">
        <f t="shared" si="170"/>
        <v>0</v>
      </c>
      <c r="U281" s="120">
        <f t="shared" si="170"/>
        <v>0</v>
      </c>
      <c r="V281" s="120">
        <f t="shared" si="170"/>
        <v>0</v>
      </c>
      <c r="W281" s="120">
        <f t="shared" si="170"/>
        <v>1</v>
      </c>
      <c r="X281" s="120">
        <f t="shared" si="170"/>
        <v>0</v>
      </c>
      <c r="Y281" s="120">
        <f t="shared" si="170"/>
        <v>0</v>
      </c>
      <c r="AA281" s="120">
        <f t="shared" si="169"/>
        <v>0</v>
      </c>
      <c r="AB281" s="120">
        <f t="shared" si="169"/>
        <v>1</v>
      </c>
      <c r="AC281" s="120">
        <f t="shared" si="169"/>
        <v>0</v>
      </c>
      <c r="AD281" s="120">
        <f t="shared" si="169"/>
        <v>0</v>
      </c>
      <c r="AE281" s="120">
        <f t="shared" si="169"/>
        <v>0.5</v>
      </c>
      <c r="AF281" s="120">
        <f t="shared" si="169"/>
        <v>0.5</v>
      </c>
      <c r="AG281" s="120">
        <f t="shared" si="169"/>
        <v>0</v>
      </c>
      <c r="AH281" s="120">
        <f t="shared" si="169"/>
        <v>0</v>
      </c>
      <c r="AI281" s="120">
        <f t="shared" si="169"/>
        <v>0</v>
      </c>
      <c r="AJ281" s="120">
        <f t="shared" si="169"/>
        <v>0</v>
      </c>
      <c r="AK281" s="120">
        <f t="shared" si="169"/>
        <v>0</v>
      </c>
      <c r="AL281" s="120">
        <f t="shared" si="169"/>
        <v>0</v>
      </c>
      <c r="AM281" s="120">
        <f t="shared" si="169"/>
        <v>1</v>
      </c>
      <c r="AN281" s="120">
        <f t="shared" si="169"/>
        <v>0.5</v>
      </c>
      <c r="AO281" s="120">
        <f t="shared" si="169"/>
        <v>0</v>
      </c>
      <c r="AP281" s="120">
        <f t="shared" si="167"/>
        <v>0</v>
      </c>
      <c r="AQ281" s="120">
        <f t="shared" si="167"/>
        <v>1</v>
      </c>
      <c r="AR281" s="120">
        <f t="shared" si="167"/>
        <v>1</v>
      </c>
      <c r="AS281" s="120">
        <f t="shared" si="167"/>
        <v>0</v>
      </c>
      <c r="AT281" s="120">
        <f t="shared" si="167"/>
        <v>0</v>
      </c>
      <c r="AU281" s="120">
        <f t="shared" si="167"/>
        <v>0</v>
      </c>
      <c r="AV281" s="120">
        <f t="shared" si="167"/>
        <v>1</v>
      </c>
      <c r="AW281" s="120">
        <f t="shared" si="167"/>
        <v>0</v>
      </c>
      <c r="AX281" s="120">
        <f t="shared" si="167"/>
        <v>0</v>
      </c>
      <c r="AY281" s="120">
        <f t="shared" si="165"/>
        <v>6.5</v>
      </c>
      <c r="AZ281" s="20" t="s">
        <v>140</v>
      </c>
    </row>
    <row r="282" spans="1:52">
      <c r="A282" s="120" t="s">
        <v>158</v>
      </c>
      <c r="B282" s="120">
        <f t="shared" si="170"/>
        <v>0</v>
      </c>
      <c r="C282" s="120">
        <f t="shared" si="170"/>
        <v>1</v>
      </c>
      <c r="D282" s="120">
        <f t="shared" si="170"/>
        <v>0</v>
      </c>
      <c r="E282" s="120">
        <f t="shared" si="170"/>
        <v>1</v>
      </c>
      <c r="F282" s="120">
        <f t="shared" si="170"/>
        <v>1</v>
      </c>
      <c r="G282" s="120">
        <f t="shared" si="170"/>
        <v>1</v>
      </c>
      <c r="H282" s="120">
        <f t="shared" si="170"/>
        <v>0</v>
      </c>
      <c r="I282" s="120">
        <f t="shared" si="170"/>
        <v>0</v>
      </c>
      <c r="J282" s="120">
        <f t="shared" si="170"/>
        <v>0</v>
      </c>
      <c r="K282" s="120">
        <f t="shared" si="170"/>
        <v>0</v>
      </c>
      <c r="L282" s="120">
        <f t="shared" si="170"/>
        <v>1</v>
      </c>
      <c r="M282" s="120">
        <f t="shared" si="170"/>
        <v>1</v>
      </c>
      <c r="N282" s="120">
        <f t="shared" si="170"/>
        <v>0</v>
      </c>
      <c r="O282" s="120">
        <f t="shared" si="170"/>
        <v>0</v>
      </c>
      <c r="P282" s="120">
        <f t="shared" si="170"/>
        <v>0</v>
      </c>
      <c r="Q282" s="120">
        <f t="shared" si="170"/>
        <v>0</v>
      </c>
      <c r="R282" s="120">
        <f t="shared" si="170"/>
        <v>0</v>
      </c>
      <c r="S282" s="120">
        <f t="shared" si="170"/>
        <v>0</v>
      </c>
      <c r="T282" s="120">
        <f t="shared" si="170"/>
        <v>0</v>
      </c>
      <c r="U282" s="120">
        <f t="shared" si="170"/>
        <v>0</v>
      </c>
      <c r="V282" s="120">
        <f t="shared" si="170"/>
        <v>1</v>
      </c>
      <c r="W282" s="120">
        <f t="shared" si="170"/>
        <v>0</v>
      </c>
      <c r="X282" s="120">
        <f t="shared" si="170"/>
        <v>0</v>
      </c>
      <c r="Y282" s="120">
        <f t="shared" si="170"/>
        <v>0</v>
      </c>
      <c r="AA282" s="120">
        <f t="shared" si="169"/>
        <v>0</v>
      </c>
      <c r="AB282" s="120">
        <f t="shared" si="169"/>
        <v>1</v>
      </c>
      <c r="AC282" s="120">
        <f t="shared" si="169"/>
        <v>0</v>
      </c>
      <c r="AD282" s="120">
        <f t="shared" si="169"/>
        <v>1</v>
      </c>
      <c r="AE282" s="120">
        <f t="shared" si="169"/>
        <v>1</v>
      </c>
      <c r="AF282" s="120">
        <f t="shared" si="169"/>
        <v>1</v>
      </c>
      <c r="AG282" s="120">
        <f t="shared" si="169"/>
        <v>0</v>
      </c>
      <c r="AH282" s="120">
        <f t="shared" si="169"/>
        <v>0</v>
      </c>
      <c r="AI282" s="120">
        <f t="shared" si="169"/>
        <v>0</v>
      </c>
      <c r="AJ282" s="120">
        <f t="shared" si="169"/>
        <v>0</v>
      </c>
      <c r="AK282" s="120">
        <f t="shared" si="169"/>
        <v>1</v>
      </c>
      <c r="AL282" s="120">
        <f t="shared" si="169"/>
        <v>1</v>
      </c>
      <c r="AM282" s="120">
        <f t="shared" si="169"/>
        <v>0</v>
      </c>
      <c r="AN282" s="120">
        <f t="shared" si="169"/>
        <v>0</v>
      </c>
      <c r="AO282" s="120">
        <f t="shared" si="169"/>
        <v>0</v>
      </c>
      <c r="AP282" s="120">
        <f t="shared" si="167"/>
        <v>0</v>
      </c>
      <c r="AQ282" s="120">
        <f t="shared" si="167"/>
        <v>0</v>
      </c>
      <c r="AR282" s="120">
        <f t="shared" si="167"/>
        <v>0</v>
      </c>
      <c r="AS282" s="120">
        <f t="shared" si="167"/>
        <v>0</v>
      </c>
      <c r="AT282" s="120">
        <f t="shared" si="167"/>
        <v>0</v>
      </c>
      <c r="AU282" s="120">
        <f t="shared" si="167"/>
        <v>0.5</v>
      </c>
      <c r="AV282" s="120">
        <f t="shared" si="167"/>
        <v>0</v>
      </c>
      <c r="AW282" s="120">
        <f t="shared" si="167"/>
        <v>0</v>
      </c>
      <c r="AX282" s="120">
        <f t="shared" si="167"/>
        <v>0</v>
      </c>
      <c r="AY282" s="120">
        <f t="shared" si="165"/>
        <v>6.5</v>
      </c>
      <c r="AZ282" s="20" t="s">
        <v>140</v>
      </c>
    </row>
    <row r="283" spans="1:52">
      <c r="A283" s="120" t="s">
        <v>159</v>
      </c>
      <c r="B283" s="120">
        <f t="shared" si="170"/>
        <v>0</v>
      </c>
      <c r="C283" s="120">
        <f t="shared" si="170"/>
        <v>1</v>
      </c>
      <c r="D283" s="120">
        <f t="shared" si="170"/>
        <v>0</v>
      </c>
      <c r="E283" s="120">
        <f t="shared" si="170"/>
        <v>0</v>
      </c>
      <c r="F283" s="120">
        <f t="shared" si="170"/>
        <v>0</v>
      </c>
      <c r="G283" s="120">
        <f t="shared" si="170"/>
        <v>0</v>
      </c>
      <c r="H283" s="120">
        <f t="shared" si="170"/>
        <v>0</v>
      </c>
      <c r="I283" s="120">
        <f t="shared" si="170"/>
        <v>0</v>
      </c>
      <c r="J283" s="120">
        <f t="shared" si="170"/>
        <v>0</v>
      </c>
      <c r="K283" s="120">
        <f t="shared" si="170"/>
        <v>0</v>
      </c>
      <c r="L283" s="120">
        <f t="shared" si="170"/>
        <v>0</v>
      </c>
      <c r="M283" s="120">
        <f t="shared" si="170"/>
        <v>0</v>
      </c>
      <c r="N283" s="120">
        <f t="shared" si="170"/>
        <v>0</v>
      </c>
      <c r="O283" s="120">
        <f t="shared" si="170"/>
        <v>0</v>
      </c>
      <c r="P283" s="120">
        <f t="shared" si="170"/>
        <v>1</v>
      </c>
      <c r="Q283" s="120">
        <f t="shared" si="170"/>
        <v>0</v>
      </c>
      <c r="R283" s="120">
        <f t="shared" si="170"/>
        <v>0</v>
      </c>
      <c r="S283" s="120">
        <f t="shared" si="170"/>
        <v>0</v>
      </c>
      <c r="T283" s="120">
        <f t="shared" si="170"/>
        <v>0</v>
      </c>
      <c r="U283" s="120">
        <f t="shared" si="170"/>
        <v>0</v>
      </c>
      <c r="V283" s="120">
        <f t="shared" si="170"/>
        <v>0</v>
      </c>
      <c r="W283" s="120">
        <f t="shared" si="170"/>
        <v>0</v>
      </c>
      <c r="X283" s="120">
        <f t="shared" si="170"/>
        <v>0</v>
      </c>
      <c r="Y283" s="120">
        <f t="shared" si="170"/>
        <v>0</v>
      </c>
      <c r="AA283" s="120">
        <f t="shared" si="169"/>
        <v>0</v>
      </c>
      <c r="AB283" s="120">
        <f t="shared" si="169"/>
        <v>0.5</v>
      </c>
      <c r="AC283" s="120">
        <f t="shared" si="169"/>
        <v>0</v>
      </c>
      <c r="AD283" s="120">
        <f t="shared" si="169"/>
        <v>0</v>
      </c>
      <c r="AE283" s="120">
        <f t="shared" si="169"/>
        <v>0</v>
      </c>
      <c r="AF283" s="120">
        <f t="shared" si="169"/>
        <v>0</v>
      </c>
      <c r="AG283" s="120">
        <f t="shared" si="169"/>
        <v>0</v>
      </c>
      <c r="AH283" s="120">
        <f t="shared" si="169"/>
        <v>0</v>
      </c>
      <c r="AI283" s="120">
        <f t="shared" si="169"/>
        <v>0</v>
      </c>
      <c r="AJ283" s="120">
        <f t="shared" si="169"/>
        <v>0</v>
      </c>
      <c r="AK283" s="120">
        <f t="shared" si="169"/>
        <v>0</v>
      </c>
      <c r="AL283" s="120">
        <f t="shared" si="169"/>
        <v>0</v>
      </c>
      <c r="AM283" s="120">
        <f t="shared" si="169"/>
        <v>0</v>
      </c>
      <c r="AN283" s="120">
        <f t="shared" si="169"/>
        <v>0</v>
      </c>
      <c r="AO283" s="120">
        <f t="shared" si="169"/>
        <v>1</v>
      </c>
      <c r="AP283" s="120">
        <f t="shared" si="167"/>
        <v>0</v>
      </c>
      <c r="AQ283" s="120">
        <f t="shared" si="167"/>
        <v>0</v>
      </c>
      <c r="AR283" s="120">
        <f t="shared" si="167"/>
        <v>0</v>
      </c>
      <c r="AS283" s="120">
        <f t="shared" si="167"/>
        <v>0</v>
      </c>
      <c r="AT283" s="120">
        <f t="shared" si="167"/>
        <v>0</v>
      </c>
      <c r="AU283" s="120">
        <f t="shared" si="167"/>
        <v>0</v>
      </c>
      <c r="AV283" s="120">
        <f t="shared" si="167"/>
        <v>0</v>
      </c>
      <c r="AW283" s="120">
        <f t="shared" si="167"/>
        <v>0</v>
      </c>
      <c r="AX283" s="120">
        <f t="shared" si="167"/>
        <v>0</v>
      </c>
      <c r="AY283" s="120">
        <f t="shared" si="165"/>
        <v>1.5</v>
      </c>
      <c r="AZ283" s="20" t="s">
        <v>140</v>
      </c>
    </row>
    <row r="284" spans="1:52">
      <c r="A284" s="120" t="s">
        <v>160</v>
      </c>
      <c r="B284" s="120">
        <f t="shared" si="170"/>
        <v>0</v>
      </c>
      <c r="C284" s="120">
        <f t="shared" si="170"/>
        <v>0</v>
      </c>
      <c r="D284" s="120">
        <f t="shared" si="170"/>
        <v>0</v>
      </c>
      <c r="E284" s="120">
        <f t="shared" si="170"/>
        <v>0</v>
      </c>
      <c r="F284" s="120">
        <f t="shared" si="170"/>
        <v>1</v>
      </c>
      <c r="G284" s="120">
        <f t="shared" si="170"/>
        <v>1</v>
      </c>
      <c r="H284" s="120">
        <f t="shared" si="170"/>
        <v>1</v>
      </c>
      <c r="I284" s="120">
        <f t="shared" si="170"/>
        <v>0</v>
      </c>
      <c r="J284" s="120">
        <f t="shared" si="170"/>
        <v>1</v>
      </c>
      <c r="K284" s="120">
        <f t="shared" si="170"/>
        <v>1</v>
      </c>
      <c r="L284" s="120">
        <f t="shared" si="170"/>
        <v>0</v>
      </c>
      <c r="M284" s="120">
        <f t="shared" si="170"/>
        <v>1</v>
      </c>
      <c r="N284" s="120">
        <f t="shared" si="170"/>
        <v>1</v>
      </c>
      <c r="O284" s="120">
        <f t="shared" si="170"/>
        <v>1</v>
      </c>
      <c r="P284" s="120">
        <f t="shared" si="170"/>
        <v>1</v>
      </c>
      <c r="Q284" s="120">
        <f t="shared" si="170"/>
        <v>1</v>
      </c>
      <c r="R284" s="120">
        <f t="shared" si="170"/>
        <v>1</v>
      </c>
      <c r="S284" s="120">
        <f t="shared" si="170"/>
        <v>1</v>
      </c>
      <c r="T284" s="120">
        <f t="shared" si="170"/>
        <v>1</v>
      </c>
      <c r="U284" s="120">
        <f t="shared" si="170"/>
        <v>0</v>
      </c>
      <c r="V284" s="120">
        <f t="shared" si="170"/>
        <v>0</v>
      </c>
      <c r="W284" s="120">
        <f t="shared" si="170"/>
        <v>0</v>
      </c>
      <c r="X284" s="120">
        <f t="shared" si="170"/>
        <v>0</v>
      </c>
      <c r="Y284" s="120">
        <f t="shared" si="170"/>
        <v>1</v>
      </c>
      <c r="AA284" s="120">
        <f t="shared" si="169"/>
        <v>0</v>
      </c>
      <c r="AB284" s="120">
        <f t="shared" si="169"/>
        <v>0</v>
      </c>
      <c r="AC284" s="120">
        <f t="shared" si="169"/>
        <v>0</v>
      </c>
      <c r="AD284" s="120">
        <f t="shared" si="169"/>
        <v>0</v>
      </c>
      <c r="AE284" s="120">
        <f t="shared" si="169"/>
        <v>0.5</v>
      </c>
      <c r="AF284" s="120">
        <f t="shared" si="169"/>
        <v>1</v>
      </c>
      <c r="AG284" s="120">
        <f t="shared" si="169"/>
        <v>0.5</v>
      </c>
      <c r="AH284" s="120">
        <f t="shared" si="169"/>
        <v>0</v>
      </c>
      <c r="AI284" s="120">
        <f t="shared" si="169"/>
        <v>1</v>
      </c>
      <c r="AJ284" s="120">
        <f t="shared" si="169"/>
        <v>1</v>
      </c>
      <c r="AK284" s="120">
        <f t="shared" si="169"/>
        <v>0</v>
      </c>
      <c r="AL284" s="120">
        <f t="shared" si="169"/>
        <v>1</v>
      </c>
      <c r="AM284" s="120">
        <f t="shared" si="169"/>
        <v>1</v>
      </c>
      <c r="AN284" s="120">
        <f t="shared" si="169"/>
        <v>1</v>
      </c>
      <c r="AO284" s="120">
        <f t="shared" si="169"/>
        <v>1</v>
      </c>
      <c r="AP284" s="120">
        <f t="shared" si="167"/>
        <v>1</v>
      </c>
      <c r="AQ284" s="120">
        <f t="shared" si="167"/>
        <v>1</v>
      </c>
      <c r="AR284" s="120">
        <f t="shared" si="167"/>
        <v>1</v>
      </c>
      <c r="AS284" s="120">
        <f t="shared" si="167"/>
        <v>1</v>
      </c>
      <c r="AT284" s="120">
        <f t="shared" si="167"/>
        <v>0</v>
      </c>
      <c r="AU284" s="120">
        <f t="shared" si="167"/>
        <v>0</v>
      </c>
      <c r="AV284" s="120">
        <f t="shared" si="167"/>
        <v>0</v>
      </c>
      <c r="AW284" s="120">
        <f t="shared" si="167"/>
        <v>0</v>
      </c>
      <c r="AX284" s="120">
        <f t="shared" si="167"/>
        <v>1</v>
      </c>
      <c r="AY284" s="120">
        <f t="shared" si="165"/>
        <v>13</v>
      </c>
      <c r="AZ284" s="20" t="s">
        <v>140</v>
      </c>
    </row>
    <row r="285" spans="1:52">
      <c r="A285" s="120" t="s">
        <v>161</v>
      </c>
      <c r="B285" s="120">
        <f t="shared" si="170"/>
        <v>0</v>
      </c>
      <c r="C285" s="120">
        <f t="shared" si="170"/>
        <v>0</v>
      </c>
      <c r="D285" s="120">
        <f t="shared" si="170"/>
        <v>0</v>
      </c>
      <c r="E285" s="120">
        <f t="shared" si="170"/>
        <v>1</v>
      </c>
      <c r="F285" s="120">
        <f t="shared" si="170"/>
        <v>1</v>
      </c>
      <c r="G285" s="120">
        <f t="shared" si="170"/>
        <v>1</v>
      </c>
      <c r="H285" s="120">
        <f t="shared" si="170"/>
        <v>1</v>
      </c>
      <c r="I285" s="120">
        <f t="shared" si="170"/>
        <v>1</v>
      </c>
      <c r="J285" s="120">
        <f t="shared" si="170"/>
        <v>1</v>
      </c>
      <c r="K285" s="120">
        <f t="shared" si="170"/>
        <v>1</v>
      </c>
      <c r="L285" s="120">
        <f t="shared" si="170"/>
        <v>1</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1</v>
      </c>
      <c r="V285" s="120">
        <f t="shared" si="170"/>
        <v>0</v>
      </c>
      <c r="W285" s="120">
        <f t="shared" si="170"/>
        <v>0</v>
      </c>
      <c r="X285" s="120">
        <f t="shared" si="170"/>
        <v>0</v>
      </c>
      <c r="Y285" s="120">
        <f t="shared" si="170"/>
        <v>0</v>
      </c>
      <c r="AA285" s="120">
        <f t="shared" si="169"/>
        <v>0</v>
      </c>
      <c r="AB285" s="120">
        <f t="shared" si="169"/>
        <v>0</v>
      </c>
      <c r="AC285" s="120">
        <f t="shared" si="169"/>
        <v>0</v>
      </c>
      <c r="AD285" s="120">
        <f t="shared" si="169"/>
        <v>1</v>
      </c>
      <c r="AE285" s="120">
        <f t="shared" si="169"/>
        <v>1</v>
      </c>
      <c r="AF285" s="120">
        <f t="shared" si="169"/>
        <v>1</v>
      </c>
      <c r="AG285" s="120">
        <f t="shared" si="169"/>
        <v>1</v>
      </c>
      <c r="AH285" s="120">
        <f t="shared" si="169"/>
        <v>1</v>
      </c>
      <c r="AI285" s="120">
        <f t="shared" si="169"/>
        <v>1</v>
      </c>
      <c r="AJ285" s="120">
        <f t="shared" si="169"/>
        <v>1</v>
      </c>
      <c r="AK285" s="120">
        <f t="shared" si="169"/>
        <v>1</v>
      </c>
      <c r="AL285" s="120">
        <f t="shared" si="169"/>
        <v>0.5</v>
      </c>
      <c r="AM285" s="120">
        <f t="shared" si="169"/>
        <v>1</v>
      </c>
      <c r="AN285" s="120">
        <f t="shared" si="169"/>
        <v>1</v>
      </c>
      <c r="AO285" s="120">
        <f t="shared" si="169"/>
        <v>1</v>
      </c>
      <c r="AP285" s="120">
        <f t="shared" si="167"/>
        <v>1</v>
      </c>
      <c r="AQ285" s="120">
        <f t="shared" si="167"/>
        <v>1</v>
      </c>
      <c r="AR285" s="120">
        <f t="shared" si="167"/>
        <v>1</v>
      </c>
      <c r="AS285" s="120">
        <f t="shared" si="167"/>
        <v>1</v>
      </c>
      <c r="AT285" s="120">
        <f t="shared" si="167"/>
        <v>0.5</v>
      </c>
      <c r="AU285" s="120">
        <f t="shared" si="167"/>
        <v>0</v>
      </c>
      <c r="AV285" s="120">
        <f t="shared" si="167"/>
        <v>0</v>
      </c>
      <c r="AW285" s="120">
        <f t="shared" si="167"/>
        <v>0</v>
      </c>
      <c r="AX285" s="120">
        <f t="shared" si="167"/>
        <v>0</v>
      </c>
      <c r="AY285" s="120">
        <f t="shared" si="165"/>
        <v>16</v>
      </c>
      <c r="AZ285" s="20" t="s">
        <v>140</v>
      </c>
    </row>
    <row r="286" spans="1:52">
      <c r="A286" s="120" t="s">
        <v>162</v>
      </c>
      <c r="B286" s="120">
        <f t="shared" si="170"/>
        <v>1</v>
      </c>
      <c r="C286" s="120">
        <f t="shared" si="170"/>
        <v>1</v>
      </c>
      <c r="D286" s="120">
        <f t="shared" si="170"/>
        <v>1</v>
      </c>
      <c r="E286" s="120">
        <f t="shared" si="170"/>
        <v>1</v>
      </c>
      <c r="F286" s="120">
        <f t="shared" si="170"/>
        <v>1</v>
      </c>
      <c r="G286" s="120">
        <f t="shared" si="170"/>
        <v>1</v>
      </c>
      <c r="H286" s="120">
        <f t="shared" si="170"/>
        <v>0</v>
      </c>
      <c r="I286" s="120">
        <f t="shared" si="170"/>
        <v>0</v>
      </c>
      <c r="J286" s="120">
        <f t="shared" si="170"/>
        <v>0</v>
      </c>
      <c r="K286" s="120">
        <f t="shared" si="170"/>
        <v>0</v>
      </c>
      <c r="L286" s="120">
        <f t="shared" si="170"/>
        <v>0</v>
      </c>
      <c r="M286" s="120">
        <f t="shared" si="170"/>
        <v>0</v>
      </c>
      <c r="N286" s="120">
        <f t="shared" si="170"/>
        <v>0</v>
      </c>
      <c r="O286" s="120">
        <f t="shared" si="170"/>
        <v>0</v>
      </c>
      <c r="P286" s="120">
        <f t="shared" si="170"/>
        <v>1</v>
      </c>
      <c r="Q286" s="120">
        <f t="shared" si="170"/>
        <v>1</v>
      </c>
      <c r="R286" s="120">
        <f t="shared" si="170"/>
        <v>0</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1</v>
      </c>
      <c r="AB286" s="120">
        <f t="shared" si="169"/>
        <v>1</v>
      </c>
      <c r="AC286" s="120">
        <f t="shared" si="169"/>
        <v>1</v>
      </c>
      <c r="AD286" s="120">
        <f t="shared" si="169"/>
        <v>1</v>
      </c>
      <c r="AE286" s="120">
        <f t="shared" si="169"/>
        <v>1</v>
      </c>
      <c r="AF286" s="120">
        <f t="shared" si="169"/>
        <v>1</v>
      </c>
      <c r="AG286" s="120">
        <f t="shared" si="169"/>
        <v>0</v>
      </c>
      <c r="AH286" s="120">
        <f t="shared" si="169"/>
        <v>0</v>
      </c>
      <c r="AI286" s="120">
        <f t="shared" si="169"/>
        <v>0</v>
      </c>
      <c r="AJ286" s="120">
        <f t="shared" si="169"/>
        <v>0</v>
      </c>
      <c r="AK286" s="120">
        <f t="shared" si="169"/>
        <v>0</v>
      </c>
      <c r="AL286" s="120">
        <f t="shared" si="169"/>
        <v>0</v>
      </c>
      <c r="AM286" s="120">
        <f t="shared" si="169"/>
        <v>0</v>
      </c>
      <c r="AN286" s="120">
        <f t="shared" si="169"/>
        <v>0</v>
      </c>
      <c r="AO286" s="120">
        <f t="shared" si="169"/>
        <v>1</v>
      </c>
      <c r="AP286" s="120">
        <f t="shared" si="167"/>
        <v>1</v>
      </c>
      <c r="AQ286" s="120">
        <f t="shared" si="167"/>
        <v>0</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8</v>
      </c>
      <c r="AZ286" s="20" t="s">
        <v>140</v>
      </c>
    </row>
    <row r="287" spans="1:52">
      <c r="A287" s="120" t="s">
        <v>163</v>
      </c>
      <c r="B287" s="120">
        <f t="shared" si="170"/>
        <v>0</v>
      </c>
      <c r="C287" s="120">
        <f t="shared" si="170"/>
        <v>0</v>
      </c>
      <c r="D287" s="120">
        <f t="shared" si="170"/>
        <v>0</v>
      </c>
      <c r="E287" s="120">
        <f t="shared" si="170"/>
        <v>0</v>
      </c>
      <c r="F287" s="120">
        <f t="shared" si="170"/>
        <v>1</v>
      </c>
      <c r="G287" s="120">
        <f t="shared" si="170"/>
        <v>0</v>
      </c>
      <c r="H287" s="120">
        <f t="shared" si="170"/>
        <v>0</v>
      </c>
      <c r="I287" s="120">
        <f t="shared" si="170"/>
        <v>0</v>
      </c>
      <c r="J287" s="120">
        <f t="shared" si="170"/>
        <v>0</v>
      </c>
      <c r="K287" s="120">
        <f t="shared" si="170"/>
        <v>0</v>
      </c>
      <c r="L287" s="120">
        <f t="shared" si="170"/>
        <v>0</v>
      </c>
      <c r="M287" s="120">
        <f t="shared" si="170"/>
        <v>1</v>
      </c>
      <c r="N287" s="120">
        <f t="shared" si="170"/>
        <v>0</v>
      </c>
      <c r="O287" s="120">
        <f t="shared" si="170"/>
        <v>0</v>
      </c>
      <c r="P287" s="120">
        <f t="shared" si="170"/>
        <v>1</v>
      </c>
      <c r="Q287" s="120">
        <f t="shared" si="170"/>
        <v>0</v>
      </c>
      <c r="R287" s="120">
        <f t="shared" si="170"/>
        <v>0</v>
      </c>
      <c r="S287" s="120">
        <f t="shared" si="170"/>
        <v>0</v>
      </c>
      <c r="T287" s="120">
        <f t="shared" si="170"/>
        <v>0</v>
      </c>
      <c r="U287" s="120">
        <f t="shared" si="170"/>
        <v>1</v>
      </c>
      <c r="V287" s="120">
        <f t="shared" si="170"/>
        <v>1</v>
      </c>
      <c r="W287" s="120">
        <f t="shared" si="170"/>
        <v>1</v>
      </c>
      <c r="X287" s="120">
        <f t="shared" si="170"/>
        <v>0</v>
      </c>
      <c r="Y287" s="120">
        <f t="shared" si="170"/>
        <v>0</v>
      </c>
      <c r="AA287" s="120">
        <f t="shared" si="169"/>
        <v>0</v>
      </c>
      <c r="AB287" s="120">
        <f t="shared" si="169"/>
        <v>0</v>
      </c>
      <c r="AC287" s="120">
        <f t="shared" si="169"/>
        <v>0</v>
      </c>
      <c r="AD287" s="120">
        <f t="shared" si="169"/>
        <v>0</v>
      </c>
      <c r="AE287" s="120">
        <f t="shared" si="169"/>
        <v>1</v>
      </c>
      <c r="AF287" s="120">
        <f t="shared" si="169"/>
        <v>0</v>
      </c>
      <c r="AG287" s="120">
        <f t="shared" si="169"/>
        <v>0</v>
      </c>
      <c r="AH287" s="120">
        <f t="shared" si="169"/>
        <v>0</v>
      </c>
      <c r="AI287" s="120">
        <f t="shared" si="169"/>
        <v>0</v>
      </c>
      <c r="AJ287" s="120">
        <f t="shared" si="169"/>
        <v>0</v>
      </c>
      <c r="AK287" s="120">
        <f t="shared" si="169"/>
        <v>0</v>
      </c>
      <c r="AL287" s="120">
        <f t="shared" si="169"/>
        <v>0.5</v>
      </c>
      <c r="AM287" s="120">
        <f t="shared" si="169"/>
        <v>0</v>
      </c>
      <c r="AN287" s="120">
        <f t="shared" si="169"/>
        <v>0</v>
      </c>
      <c r="AO287" s="120">
        <f t="shared" si="169"/>
        <v>1</v>
      </c>
      <c r="AP287" s="120">
        <f t="shared" si="167"/>
        <v>0</v>
      </c>
      <c r="AQ287" s="120">
        <f t="shared" si="167"/>
        <v>0</v>
      </c>
      <c r="AR287" s="120">
        <f t="shared" si="167"/>
        <v>0</v>
      </c>
      <c r="AS287" s="120">
        <f t="shared" si="167"/>
        <v>0</v>
      </c>
      <c r="AT287" s="120">
        <f t="shared" si="167"/>
        <v>1</v>
      </c>
      <c r="AU287" s="120">
        <f t="shared" si="167"/>
        <v>0.5</v>
      </c>
      <c r="AV287" s="120">
        <f t="shared" si="167"/>
        <v>1</v>
      </c>
      <c r="AW287" s="120">
        <f t="shared" si="167"/>
        <v>0</v>
      </c>
      <c r="AX287" s="120">
        <f t="shared" si="167"/>
        <v>0</v>
      </c>
      <c r="AY287" s="120">
        <f t="shared" si="165"/>
        <v>5</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0</v>
      </c>
      <c r="I288" s="120">
        <f t="shared" si="170"/>
        <v>0</v>
      </c>
      <c r="J288" s="120">
        <f t="shared" si="170"/>
        <v>0</v>
      </c>
      <c r="K288" s="120">
        <f t="shared" si="170"/>
        <v>0</v>
      </c>
      <c r="L288" s="120">
        <f t="shared" si="170"/>
        <v>0</v>
      </c>
      <c r="M288" s="120">
        <f t="shared" si="170"/>
        <v>1</v>
      </c>
      <c r="N288" s="120">
        <f t="shared" si="170"/>
        <v>1</v>
      </c>
      <c r="O288" s="120">
        <f t="shared" si="170"/>
        <v>1</v>
      </c>
      <c r="P288" s="120">
        <f t="shared" si="170"/>
        <v>0</v>
      </c>
      <c r="Q288" s="120">
        <f t="shared" si="170"/>
        <v>1</v>
      </c>
      <c r="R288" s="120">
        <f t="shared" si="170"/>
        <v>1</v>
      </c>
      <c r="S288" s="120">
        <f t="shared" si="170"/>
        <v>1</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0</v>
      </c>
      <c r="AH288" s="120">
        <f t="shared" si="169"/>
        <v>0</v>
      </c>
      <c r="AI288" s="120">
        <f t="shared" si="169"/>
        <v>0</v>
      </c>
      <c r="AJ288" s="120">
        <f t="shared" si="169"/>
        <v>0</v>
      </c>
      <c r="AK288" s="120">
        <f t="shared" si="169"/>
        <v>0</v>
      </c>
      <c r="AL288" s="120">
        <f t="shared" si="169"/>
        <v>1</v>
      </c>
      <c r="AM288" s="120">
        <f t="shared" si="169"/>
        <v>1</v>
      </c>
      <c r="AN288" s="120">
        <f t="shared" si="169"/>
        <v>1</v>
      </c>
      <c r="AO288" s="120">
        <f t="shared" si="169"/>
        <v>0</v>
      </c>
      <c r="AP288" s="120">
        <f t="shared" si="167"/>
        <v>0.5</v>
      </c>
      <c r="AQ288" s="120">
        <f t="shared" si="167"/>
        <v>1</v>
      </c>
      <c r="AR288" s="120">
        <f t="shared" si="167"/>
        <v>1</v>
      </c>
      <c r="AS288" s="120">
        <f t="shared" si="167"/>
        <v>0</v>
      </c>
      <c r="AT288" s="120">
        <f t="shared" si="167"/>
        <v>0</v>
      </c>
      <c r="AU288" s="120">
        <f t="shared" si="167"/>
        <v>0</v>
      </c>
      <c r="AV288" s="120">
        <f t="shared" si="167"/>
        <v>0</v>
      </c>
      <c r="AW288" s="120">
        <f t="shared" si="167"/>
        <v>0</v>
      </c>
      <c r="AX288" s="120">
        <f t="shared" si="167"/>
        <v>0</v>
      </c>
      <c r="AY288" s="120">
        <f t="shared" si="165"/>
        <v>5.5</v>
      </c>
      <c r="AZ288" s="20" t="s">
        <v>140</v>
      </c>
    </row>
    <row r="289" spans="1:52">
      <c r="A289" s="120" t="s">
        <v>165</v>
      </c>
      <c r="B289" s="120">
        <f t="shared" si="170"/>
        <v>1</v>
      </c>
      <c r="C289" s="120">
        <f t="shared" si="170"/>
        <v>1</v>
      </c>
      <c r="D289" s="120">
        <f t="shared" si="170"/>
        <v>1</v>
      </c>
      <c r="E289" s="120">
        <f t="shared" si="170"/>
        <v>1</v>
      </c>
      <c r="F289" s="120">
        <f t="shared" si="170"/>
        <v>1</v>
      </c>
      <c r="G289" s="120">
        <f t="shared" si="170"/>
        <v>1</v>
      </c>
      <c r="H289" s="120">
        <f t="shared" si="170"/>
        <v>1</v>
      </c>
      <c r="I289" s="120">
        <f t="shared" si="170"/>
        <v>0</v>
      </c>
      <c r="J289" s="120">
        <f t="shared" si="170"/>
        <v>0</v>
      </c>
      <c r="K289" s="120">
        <f t="shared" si="170"/>
        <v>1</v>
      </c>
      <c r="L289" s="120">
        <f t="shared" si="170"/>
        <v>0</v>
      </c>
      <c r="M289" s="120">
        <f t="shared" si="170"/>
        <v>0</v>
      </c>
      <c r="N289" s="120">
        <f t="shared" si="170"/>
        <v>0</v>
      </c>
      <c r="O289" s="120">
        <f t="shared" si="170"/>
        <v>1</v>
      </c>
      <c r="P289" s="120">
        <f t="shared" si="170"/>
        <v>1</v>
      </c>
      <c r="Q289" s="120">
        <f t="shared" si="170"/>
        <v>1</v>
      </c>
      <c r="R289" s="120">
        <f t="shared" si="170"/>
        <v>0</v>
      </c>
      <c r="S289" s="120">
        <f t="shared" si="170"/>
        <v>1</v>
      </c>
      <c r="T289" s="120">
        <f t="shared" si="170"/>
        <v>1</v>
      </c>
      <c r="U289" s="120">
        <f t="shared" si="170"/>
        <v>0</v>
      </c>
      <c r="V289" s="120">
        <f t="shared" si="170"/>
        <v>1</v>
      </c>
      <c r="W289" s="120">
        <f t="shared" si="170"/>
        <v>0</v>
      </c>
      <c r="X289" s="120">
        <f t="shared" si="170"/>
        <v>0</v>
      </c>
      <c r="Y289" s="120">
        <f t="shared" si="170"/>
        <v>1</v>
      </c>
      <c r="AA289" s="120">
        <f t="shared" si="169"/>
        <v>1</v>
      </c>
      <c r="AB289" s="120">
        <f t="shared" si="169"/>
        <v>1</v>
      </c>
      <c r="AC289" s="120">
        <f t="shared" si="169"/>
        <v>1</v>
      </c>
      <c r="AD289" s="120">
        <f t="shared" si="169"/>
        <v>1</v>
      </c>
      <c r="AE289" s="120">
        <f t="shared" si="169"/>
        <v>0.5</v>
      </c>
      <c r="AF289" s="120">
        <f t="shared" si="169"/>
        <v>1</v>
      </c>
      <c r="AG289" s="120">
        <f t="shared" si="169"/>
        <v>1</v>
      </c>
      <c r="AH289" s="120">
        <f t="shared" si="169"/>
        <v>0</v>
      </c>
      <c r="AI289" s="120">
        <f t="shared" si="169"/>
        <v>0</v>
      </c>
      <c r="AJ289" s="120">
        <f t="shared" si="169"/>
        <v>1</v>
      </c>
      <c r="AK289" s="120">
        <f t="shared" si="169"/>
        <v>0</v>
      </c>
      <c r="AL289" s="120">
        <f t="shared" si="169"/>
        <v>0</v>
      </c>
      <c r="AM289" s="120">
        <f t="shared" si="169"/>
        <v>0</v>
      </c>
      <c r="AN289" s="120">
        <f t="shared" si="169"/>
        <v>1</v>
      </c>
      <c r="AO289" s="120">
        <f t="shared" si="169"/>
        <v>1</v>
      </c>
      <c r="AP289" s="120">
        <f t="shared" si="167"/>
        <v>1</v>
      </c>
      <c r="AQ289" s="120">
        <f t="shared" si="167"/>
        <v>0</v>
      </c>
      <c r="AR289" s="120">
        <f t="shared" si="167"/>
        <v>1</v>
      </c>
      <c r="AS289" s="120">
        <f t="shared" si="167"/>
        <v>1</v>
      </c>
      <c r="AT289" s="120">
        <f t="shared" si="167"/>
        <v>0</v>
      </c>
      <c r="AU289" s="120">
        <f t="shared" si="167"/>
        <v>1</v>
      </c>
      <c r="AV289" s="120">
        <f t="shared" si="167"/>
        <v>0</v>
      </c>
      <c r="AW289" s="120">
        <f t="shared" si="167"/>
        <v>0</v>
      </c>
      <c r="AX289" s="120">
        <f t="shared" si="167"/>
        <v>0.5</v>
      </c>
      <c r="AY289" s="120">
        <f t="shared" si="165"/>
        <v>14</v>
      </c>
      <c r="AZ289" s="20" t="s">
        <v>140</v>
      </c>
    </row>
    <row r="290" spans="1:52">
      <c r="A290" s="120" t="s">
        <v>166</v>
      </c>
      <c r="B290" s="120">
        <f t="shared" si="170"/>
        <v>0</v>
      </c>
      <c r="C290" s="120">
        <f t="shared" si="170"/>
        <v>1</v>
      </c>
      <c r="D290" s="120">
        <f t="shared" si="170"/>
        <v>1</v>
      </c>
      <c r="E290" s="120">
        <f t="shared" si="170"/>
        <v>0</v>
      </c>
      <c r="F290" s="120">
        <f t="shared" si="170"/>
        <v>1</v>
      </c>
      <c r="G290" s="120">
        <f t="shared" si="170"/>
        <v>1</v>
      </c>
      <c r="H290" s="120">
        <f t="shared" si="170"/>
        <v>0</v>
      </c>
      <c r="I290" s="120">
        <f t="shared" si="170"/>
        <v>0</v>
      </c>
      <c r="J290" s="120">
        <f t="shared" si="170"/>
        <v>0</v>
      </c>
      <c r="K290" s="120">
        <f t="shared" si="170"/>
        <v>0</v>
      </c>
      <c r="L290" s="120">
        <f t="shared" si="170"/>
        <v>0</v>
      </c>
      <c r="M290" s="120">
        <f t="shared" si="170"/>
        <v>1</v>
      </c>
      <c r="N290" s="120">
        <f t="shared" si="170"/>
        <v>1</v>
      </c>
      <c r="O290" s="120">
        <f t="shared" si="170"/>
        <v>1</v>
      </c>
      <c r="P290" s="120">
        <f t="shared" si="170"/>
        <v>1</v>
      </c>
      <c r="Q290" s="120">
        <f t="shared" si="170"/>
        <v>1</v>
      </c>
      <c r="R290" s="120">
        <f t="shared" si="170"/>
        <v>1</v>
      </c>
      <c r="S290" s="120">
        <f t="shared" si="170"/>
        <v>1</v>
      </c>
      <c r="T290" s="120">
        <f t="shared" si="170"/>
        <v>1</v>
      </c>
      <c r="U290" s="120">
        <f t="shared" si="170"/>
        <v>0</v>
      </c>
      <c r="V290" s="120">
        <f t="shared" si="170"/>
        <v>1</v>
      </c>
      <c r="W290" s="120">
        <f t="shared" si="170"/>
        <v>0</v>
      </c>
      <c r="X290" s="120">
        <f t="shared" si="170"/>
        <v>0</v>
      </c>
      <c r="Y290" s="120">
        <f t="shared" si="170"/>
        <v>0</v>
      </c>
      <c r="AA290" s="120">
        <f t="shared" si="169"/>
        <v>0</v>
      </c>
      <c r="AB290" s="120">
        <f t="shared" si="169"/>
        <v>0.5</v>
      </c>
      <c r="AC290" s="120">
        <f t="shared" si="169"/>
        <v>0.5</v>
      </c>
      <c r="AD290" s="120">
        <f t="shared" si="169"/>
        <v>0</v>
      </c>
      <c r="AE290" s="120">
        <f t="shared" si="169"/>
        <v>1</v>
      </c>
      <c r="AF290" s="120">
        <f t="shared" si="169"/>
        <v>1</v>
      </c>
      <c r="AG290" s="120">
        <f t="shared" si="169"/>
        <v>0</v>
      </c>
      <c r="AH290" s="120">
        <f t="shared" si="169"/>
        <v>0</v>
      </c>
      <c r="AI290" s="120">
        <f t="shared" si="169"/>
        <v>0</v>
      </c>
      <c r="AJ290" s="120">
        <f t="shared" si="169"/>
        <v>0</v>
      </c>
      <c r="AK290" s="120">
        <f t="shared" si="169"/>
        <v>0</v>
      </c>
      <c r="AL290" s="120">
        <f t="shared" si="169"/>
        <v>1</v>
      </c>
      <c r="AM290" s="120">
        <f t="shared" si="169"/>
        <v>1</v>
      </c>
      <c r="AN290" s="120">
        <f t="shared" si="169"/>
        <v>1</v>
      </c>
      <c r="AO290" s="120">
        <f t="shared" si="169"/>
        <v>1</v>
      </c>
      <c r="AP290" s="120">
        <f t="shared" si="167"/>
        <v>1</v>
      </c>
      <c r="AQ290" s="120">
        <f t="shared" si="167"/>
        <v>1</v>
      </c>
      <c r="AR290" s="120">
        <f t="shared" si="167"/>
        <v>1</v>
      </c>
      <c r="AS290" s="120">
        <f t="shared" si="167"/>
        <v>1</v>
      </c>
      <c r="AT290" s="120">
        <f t="shared" si="167"/>
        <v>0</v>
      </c>
      <c r="AU290" s="120">
        <f t="shared" si="167"/>
        <v>1</v>
      </c>
      <c r="AV290" s="120">
        <f t="shared" si="167"/>
        <v>0</v>
      </c>
      <c r="AW290" s="120">
        <f t="shared" si="167"/>
        <v>0</v>
      </c>
      <c r="AX290" s="120">
        <f t="shared" si="167"/>
        <v>0</v>
      </c>
      <c r="AY290" s="120">
        <f t="shared" si="165"/>
        <v>12</v>
      </c>
      <c r="AZ290" s="20" t="s">
        <v>140</v>
      </c>
    </row>
    <row r="291" spans="1:52">
      <c r="A291" s="120" t="s">
        <v>167</v>
      </c>
      <c r="B291" s="120">
        <f t="shared" si="170"/>
        <v>0</v>
      </c>
      <c r="C291" s="120">
        <f t="shared" si="170"/>
        <v>0</v>
      </c>
      <c r="D291" s="120">
        <f t="shared" si="170"/>
        <v>0</v>
      </c>
      <c r="E291" s="120">
        <f t="shared" si="170"/>
        <v>0</v>
      </c>
      <c r="F291" s="120">
        <f t="shared" si="170"/>
        <v>0</v>
      </c>
      <c r="G291" s="120">
        <f t="shared" si="170"/>
        <v>0</v>
      </c>
      <c r="H291" s="120">
        <f t="shared" si="170"/>
        <v>0</v>
      </c>
      <c r="I291" s="120">
        <f t="shared" si="170"/>
        <v>0</v>
      </c>
      <c r="J291" s="120">
        <f t="shared" si="170"/>
        <v>0</v>
      </c>
      <c r="K291" s="120">
        <f t="shared" si="170"/>
        <v>0</v>
      </c>
      <c r="L291" s="120">
        <f t="shared" si="170"/>
        <v>0</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0</v>
      </c>
      <c r="T291" s="120">
        <f t="shared" si="171"/>
        <v>0</v>
      </c>
      <c r="U291" s="120">
        <f t="shared" si="171"/>
        <v>0</v>
      </c>
      <c r="V291" s="120">
        <f t="shared" si="171"/>
        <v>1</v>
      </c>
      <c r="W291" s="120">
        <f t="shared" si="171"/>
        <v>0</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0</v>
      </c>
      <c r="AG291" s="120">
        <f t="shared" si="169"/>
        <v>0</v>
      </c>
      <c r="AH291" s="120">
        <f t="shared" si="169"/>
        <v>0</v>
      </c>
      <c r="AI291" s="120">
        <f t="shared" si="169"/>
        <v>0</v>
      </c>
      <c r="AJ291" s="120">
        <f t="shared" si="169"/>
        <v>0</v>
      </c>
      <c r="AK291" s="120">
        <f t="shared" si="169"/>
        <v>0</v>
      </c>
      <c r="AL291" s="120">
        <f t="shared" si="169"/>
        <v>1</v>
      </c>
      <c r="AM291" s="120">
        <f t="shared" si="169"/>
        <v>1</v>
      </c>
      <c r="AN291" s="120">
        <f t="shared" si="169"/>
        <v>1</v>
      </c>
      <c r="AO291" s="120">
        <f t="shared" si="169"/>
        <v>1</v>
      </c>
      <c r="AP291" s="120">
        <f t="shared" si="167"/>
        <v>1</v>
      </c>
      <c r="AQ291" s="120">
        <f t="shared" si="167"/>
        <v>1</v>
      </c>
      <c r="AR291" s="120">
        <f t="shared" si="167"/>
        <v>0</v>
      </c>
      <c r="AS291" s="120">
        <f t="shared" si="167"/>
        <v>0</v>
      </c>
      <c r="AT291" s="120">
        <f t="shared" si="167"/>
        <v>0</v>
      </c>
      <c r="AU291" s="120">
        <f t="shared" si="167"/>
        <v>0.5</v>
      </c>
      <c r="AV291" s="120">
        <f t="shared" si="167"/>
        <v>0</v>
      </c>
      <c r="AW291" s="120">
        <f t="shared" si="167"/>
        <v>0</v>
      </c>
      <c r="AX291" s="120">
        <f t="shared" si="167"/>
        <v>0</v>
      </c>
      <c r="AY291" s="120">
        <f t="shared" si="165"/>
        <v>6.5</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1</v>
      </c>
      <c r="K292" s="120">
        <f t="shared" si="172"/>
        <v>1</v>
      </c>
      <c r="L292" s="120">
        <f t="shared" si="172"/>
        <v>1</v>
      </c>
      <c r="M292" s="120">
        <f t="shared" si="172"/>
        <v>1</v>
      </c>
      <c r="N292" s="120">
        <f t="shared" si="172"/>
        <v>1</v>
      </c>
      <c r="O292" s="120">
        <f t="shared" si="172"/>
        <v>1</v>
      </c>
      <c r="P292" s="120">
        <f t="shared" si="172"/>
        <v>1</v>
      </c>
      <c r="Q292" s="120">
        <f t="shared" si="172"/>
        <v>1</v>
      </c>
      <c r="R292" s="120">
        <f t="shared" si="172"/>
        <v>1</v>
      </c>
      <c r="S292" s="120">
        <f t="shared" si="172"/>
        <v>1</v>
      </c>
      <c r="T292" s="120">
        <f t="shared" si="172"/>
        <v>1</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1</v>
      </c>
      <c r="AJ292" s="120">
        <f t="shared" si="169"/>
        <v>1</v>
      </c>
      <c r="AK292" s="120">
        <f t="shared" si="169"/>
        <v>1</v>
      </c>
      <c r="AL292" s="120">
        <f t="shared" si="169"/>
        <v>1</v>
      </c>
      <c r="AM292" s="120">
        <f t="shared" si="169"/>
        <v>0.33333333333333331</v>
      </c>
      <c r="AN292" s="120">
        <f t="shared" si="169"/>
        <v>0.33333333333333331</v>
      </c>
      <c r="AO292" s="120">
        <f t="shared" si="169"/>
        <v>0.33333333333333331</v>
      </c>
      <c r="AP292" s="120">
        <f t="shared" si="167"/>
        <v>0.33333333333333331</v>
      </c>
      <c r="AQ292" s="120">
        <f t="shared" si="167"/>
        <v>1</v>
      </c>
      <c r="AR292" s="120">
        <f t="shared" si="167"/>
        <v>1</v>
      </c>
      <c r="AS292" s="120">
        <f t="shared" si="167"/>
        <v>0.5</v>
      </c>
      <c r="AT292" s="120">
        <f t="shared" si="167"/>
        <v>0</v>
      </c>
      <c r="AU292" s="120">
        <f t="shared" si="167"/>
        <v>0</v>
      </c>
      <c r="AV292" s="120">
        <f t="shared" si="167"/>
        <v>0</v>
      </c>
      <c r="AW292" s="120">
        <f t="shared" si="167"/>
        <v>0</v>
      </c>
      <c r="AX292" s="120">
        <f t="shared" si="167"/>
        <v>0</v>
      </c>
      <c r="AY292" s="120">
        <f t="shared" si="165"/>
        <v>7.8333333333333321</v>
      </c>
      <c r="AZ292" s="20" t="s">
        <v>140</v>
      </c>
    </row>
    <row r="293" spans="1:52">
      <c r="A293" s="120" t="s">
        <v>169</v>
      </c>
      <c r="B293" s="120">
        <f t="shared" si="172"/>
        <v>0</v>
      </c>
      <c r="C293" s="120">
        <f t="shared" si="172"/>
        <v>0</v>
      </c>
      <c r="D293" s="120">
        <f t="shared" si="172"/>
        <v>0</v>
      </c>
      <c r="E293" s="120">
        <f t="shared" si="172"/>
        <v>0</v>
      </c>
      <c r="F293" s="120">
        <f t="shared" si="172"/>
        <v>0</v>
      </c>
      <c r="G293" s="120">
        <f t="shared" si="172"/>
        <v>0</v>
      </c>
      <c r="H293" s="120">
        <f t="shared" si="172"/>
        <v>0</v>
      </c>
      <c r="I293" s="120">
        <f t="shared" si="172"/>
        <v>0</v>
      </c>
      <c r="J293" s="120">
        <f t="shared" si="172"/>
        <v>0</v>
      </c>
      <c r="K293" s="120">
        <f t="shared" si="172"/>
        <v>0</v>
      </c>
      <c r="L293" s="120">
        <f t="shared" si="172"/>
        <v>0</v>
      </c>
      <c r="M293" s="120">
        <f t="shared" si="172"/>
        <v>1</v>
      </c>
      <c r="N293" s="120">
        <f t="shared" si="172"/>
        <v>1</v>
      </c>
      <c r="O293" s="120">
        <f t="shared" si="172"/>
        <v>1</v>
      </c>
      <c r="P293" s="120">
        <f t="shared" si="172"/>
        <v>1</v>
      </c>
      <c r="Q293" s="120">
        <f t="shared" si="172"/>
        <v>0</v>
      </c>
      <c r="R293" s="120">
        <f t="shared" si="172"/>
        <v>1</v>
      </c>
      <c r="S293" s="120">
        <f t="shared" si="172"/>
        <v>0</v>
      </c>
      <c r="T293" s="120">
        <f t="shared" si="172"/>
        <v>0</v>
      </c>
      <c r="U293" s="120">
        <f t="shared" si="172"/>
        <v>0</v>
      </c>
      <c r="V293" s="120">
        <f t="shared" si="172"/>
        <v>1</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0</v>
      </c>
      <c r="AI293" s="120">
        <f t="shared" si="169"/>
        <v>0</v>
      </c>
      <c r="AJ293" s="120">
        <f t="shared" si="169"/>
        <v>0</v>
      </c>
      <c r="AK293" s="120">
        <f t="shared" si="169"/>
        <v>0</v>
      </c>
      <c r="AL293" s="120">
        <f t="shared" si="169"/>
        <v>1</v>
      </c>
      <c r="AM293" s="120">
        <f t="shared" si="169"/>
        <v>1</v>
      </c>
      <c r="AN293" s="120">
        <f t="shared" si="169"/>
        <v>1</v>
      </c>
      <c r="AO293" s="120">
        <f t="shared" si="169"/>
        <v>1</v>
      </c>
      <c r="AP293" s="120">
        <f t="shared" si="167"/>
        <v>0</v>
      </c>
      <c r="AQ293" s="120">
        <f t="shared" si="167"/>
        <v>1</v>
      </c>
      <c r="AR293" s="120">
        <f t="shared" si="167"/>
        <v>0</v>
      </c>
      <c r="AS293" s="120">
        <f t="shared" si="167"/>
        <v>0</v>
      </c>
      <c r="AT293" s="120">
        <f t="shared" si="167"/>
        <v>0</v>
      </c>
      <c r="AU293" s="120">
        <f t="shared" si="167"/>
        <v>1</v>
      </c>
      <c r="AV293" s="120">
        <f t="shared" si="167"/>
        <v>0</v>
      </c>
      <c r="AW293" s="120">
        <f t="shared" si="167"/>
        <v>0</v>
      </c>
      <c r="AX293" s="120">
        <f t="shared" si="167"/>
        <v>0</v>
      </c>
      <c r="AY293" s="120">
        <f t="shared" si="165"/>
        <v>6</v>
      </c>
      <c r="AZ293" s="20" t="s">
        <v>140</v>
      </c>
    </row>
    <row r="294" spans="1:52">
      <c r="A294" s="120" t="s">
        <v>170</v>
      </c>
      <c r="B294" s="120">
        <f t="shared" si="172"/>
        <v>0</v>
      </c>
      <c r="C294" s="120">
        <f t="shared" si="172"/>
        <v>0</v>
      </c>
      <c r="D294" s="120">
        <f t="shared" si="172"/>
        <v>1</v>
      </c>
      <c r="E294" s="120">
        <f t="shared" si="172"/>
        <v>0</v>
      </c>
      <c r="F294" s="120">
        <f t="shared" si="172"/>
        <v>0</v>
      </c>
      <c r="G294" s="120">
        <f t="shared" si="172"/>
        <v>0</v>
      </c>
      <c r="H294" s="120">
        <f t="shared" si="172"/>
        <v>0</v>
      </c>
      <c r="I294" s="120">
        <f t="shared" si="172"/>
        <v>0</v>
      </c>
      <c r="J294" s="120">
        <f t="shared" si="172"/>
        <v>0</v>
      </c>
      <c r="K294" s="120">
        <f t="shared" si="172"/>
        <v>0</v>
      </c>
      <c r="L294" s="120">
        <f t="shared" si="172"/>
        <v>1</v>
      </c>
      <c r="M294" s="120">
        <f t="shared" si="172"/>
        <v>0</v>
      </c>
      <c r="N294" s="120">
        <f t="shared" si="172"/>
        <v>1</v>
      </c>
      <c r="O294" s="120">
        <f t="shared" si="172"/>
        <v>0</v>
      </c>
      <c r="P294" s="120">
        <f t="shared" si="172"/>
        <v>1</v>
      </c>
      <c r="Q294" s="120">
        <f t="shared" si="172"/>
        <v>1</v>
      </c>
      <c r="R294" s="120">
        <f t="shared" si="172"/>
        <v>1</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1</v>
      </c>
      <c r="AD294" s="120">
        <f t="shared" si="169"/>
        <v>0</v>
      </c>
      <c r="AE294" s="120">
        <f t="shared" si="169"/>
        <v>0</v>
      </c>
      <c r="AF294" s="120">
        <f t="shared" si="169"/>
        <v>0</v>
      </c>
      <c r="AG294" s="120">
        <f t="shared" si="169"/>
        <v>0</v>
      </c>
      <c r="AH294" s="120">
        <f t="shared" si="169"/>
        <v>0</v>
      </c>
      <c r="AI294" s="120">
        <f t="shared" si="169"/>
        <v>0</v>
      </c>
      <c r="AJ294" s="120">
        <f t="shared" si="169"/>
        <v>0</v>
      </c>
      <c r="AK294" s="120">
        <f t="shared" si="169"/>
        <v>1</v>
      </c>
      <c r="AL294" s="120">
        <f t="shared" si="169"/>
        <v>0</v>
      </c>
      <c r="AM294" s="120">
        <f t="shared" si="169"/>
        <v>1</v>
      </c>
      <c r="AN294" s="120">
        <f t="shared" si="169"/>
        <v>0</v>
      </c>
      <c r="AO294" s="120">
        <f t="shared" si="169"/>
        <v>1</v>
      </c>
      <c r="AP294" s="120">
        <f t="shared" si="167"/>
        <v>1</v>
      </c>
      <c r="AQ294" s="120">
        <f t="shared" si="167"/>
        <v>1</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6</v>
      </c>
      <c r="AZ294" s="20" t="s">
        <v>140</v>
      </c>
    </row>
    <row r="295" spans="1:52">
      <c r="A295" s="120" t="s">
        <v>171</v>
      </c>
      <c r="B295" s="120">
        <f t="shared" si="172"/>
        <v>1</v>
      </c>
      <c r="C295" s="120">
        <f t="shared" si="172"/>
        <v>0</v>
      </c>
      <c r="D295" s="120">
        <f t="shared" si="172"/>
        <v>0</v>
      </c>
      <c r="E295" s="120">
        <f t="shared" si="172"/>
        <v>0</v>
      </c>
      <c r="F295" s="120">
        <f t="shared" si="172"/>
        <v>1</v>
      </c>
      <c r="G295" s="120">
        <f t="shared" si="172"/>
        <v>1</v>
      </c>
      <c r="H295" s="120">
        <f t="shared" si="172"/>
        <v>1</v>
      </c>
      <c r="I295" s="120">
        <f t="shared" si="172"/>
        <v>0</v>
      </c>
      <c r="J295" s="120">
        <f t="shared" si="172"/>
        <v>1</v>
      </c>
      <c r="K295" s="120">
        <f t="shared" si="172"/>
        <v>0</v>
      </c>
      <c r="L295" s="120">
        <f t="shared" si="172"/>
        <v>0</v>
      </c>
      <c r="M295" s="120">
        <f t="shared" si="172"/>
        <v>0</v>
      </c>
      <c r="N295" s="120">
        <f t="shared" si="172"/>
        <v>1</v>
      </c>
      <c r="O295" s="120">
        <f t="shared" si="172"/>
        <v>0</v>
      </c>
      <c r="P295" s="120">
        <f t="shared" si="172"/>
        <v>1</v>
      </c>
      <c r="Q295" s="120">
        <f t="shared" si="172"/>
        <v>0</v>
      </c>
      <c r="R295" s="120">
        <f t="shared" si="172"/>
        <v>1</v>
      </c>
      <c r="S295" s="120">
        <f t="shared" si="172"/>
        <v>0</v>
      </c>
      <c r="T295" s="120">
        <f t="shared" si="172"/>
        <v>1</v>
      </c>
      <c r="U295" s="120">
        <f t="shared" si="172"/>
        <v>0</v>
      </c>
      <c r="V295" s="120">
        <f t="shared" si="172"/>
        <v>1</v>
      </c>
      <c r="W295" s="120">
        <f t="shared" si="172"/>
        <v>0</v>
      </c>
      <c r="X295" s="120">
        <f t="shared" si="172"/>
        <v>0</v>
      </c>
      <c r="Y295" s="120">
        <f t="shared" si="172"/>
        <v>0</v>
      </c>
      <c r="AA295" s="120">
        <f t="shared" si="169"/>
        <v>1</v>
      </c>
      <c r="AB295" s="120">
        <f t="shared" si="169"/>
        <v>0</v>
      </c>
      <c r="AC295" s="120">
        <f t="shared" si="169"/>
        <v>0</v>
      </c>
      <c r="AD295" s="120">
        <f t="shared" si="169"/>
        <v>0</v>
      </c>
      <c r="AE295" s="120">
        <f t="shared" si="169"/>
        <v>1</v>
      </c>
      <c r="AF295" s="120">
        <f t="shared" si="169"/>
        <v>1</v>
      </c>
      <c r="AG295" s="120">
        <f t="shared" si="169"/>
        <v>1</v>
      </c>
      <c r="AH295" s="120">
        <f t="shared" si="169"/>
        <v>0</v>
      </c>
      <c r="AI295" s="120">
        <f t="shared" si="169"/>
        <v>0.33333333333333331</v>
      </c>
      <c r="AJ295" s="120">
        <f t="shared" si="169"/>
        <v>0</v>
      </c>
      <c r="AK295" s="120">
        <f t="shared" si="169"/>
        <v>0</v>
      </c>
      <c r="AL295" s="120">
        <f t="shared" si="169"/>
        <v>0</v>
      </c>
      <c r="AM295" s="120">
        <f t="shared" si="169"/>
        <v>1</v>
      </c>
      <c r="AN295" s="120">
        <f t="shared" si="169"/>
        <v>0</v>
      </c>
      <c r="AO295" s="120">
        <f t="shared" si="169"/>
        <v>1</v>
      </c>
      <c r="AP295" s="120">
        <f t="shared" si="169"/>
        <v>0</v>
      </c>
      <c r="AQ295" s="120">
        <f t="shared" ref="AQ295:AX299" si="173">IF(R295=0,0,R295/AQ31)</f>
        <v>1</v>
      </c>
      <c r="AR295" s="120">
        <f t="shared" si="173"/>
        <v>0</v>
      </c>
      <c r="AS295" s="120">
        <f t="shared" si="173"/>
        <v>1</v>
      </c>
      <c r="AT295" s="120">
        <f t="shared" si="173"/>
        <v>0</v>
      </c>
      <c r="AU295" s="120">
        <f t="shared" si="173"/>
        <v>1</v>
      </c>
      <c r="AV295" s="120">
        <f t="shared" si="173"/>
        <v>0</v>
      </c>
      <c r="AW295" s="120">
        <f t="shared" si="173"/>
        <v>0</v>
      </c>
      <c r="AX295" s="120">
        <f t="shared" si="173"/>
        <v>0</v>
      </c>
      <c r="AY295" s="120">
        <f t="shared" si="165"/>
        <v>9.3333333333333321</v>
      </c>
      <c r="AZ295" s="20" t="s">
        <v>140</v>
      </c>
    </row>
    <row r="296" spans="1:52">
      <c r="A296" s="120" t="s">
        <v>172</v>
      </c>
      <c r="B296" s="120">
        <f t="shared" si="172"/>
        <v>0</v>
      </c>
      <c r="C296" s="120">
        <f t="shared" si="172"/>
        <v>0</v>
      </c>
      <c r="D296" s="120">
        <f t="shared" si="172"/>
        <v>0</v>
      </c>
      <c r="E296" s="120">
        <f t="shared" si="172"/>
        <v>0</v>
      </c>
      <c r="F296" s="120">
        <f t="shared" si="172"/>
        <v>0</v>
      </c>
      <c r="G296" s="120">
        <f t="shared" si="172"/>
        <v>0</v>
      </c>
      <c r="H296" s="120">
        <f t="shared" si="172"/>
        <v>0</v>
      </c>
      <c r="I296" s="120">
        <f t="shared" si="172"/>
        <v>1</v>
      </c>
      <c r="J296" s="120">
        <f t="shared" si="172"/>
        <v>0</v>
      </c>
      <c r="K296" s="120">
        <f t="shared" si="172"/>
        <v>0</v>
      </c>
      <c r="L296" s="120">
        <f t="shared" si="172"/>
        <v>1</v>
      </c>
      <c r="M296" s="120">
        <f t="shared" si="172"/>
        <v>0</v>
      </c>
      <c r="N296" s="120">
        <f t="shared" si="172"/>
        <v>0</v>
      </c>
      <c r="O296" s="120">
        <f t="shared" si="172"/>
        <v>0</v>
      </c>
      <c r="P296" s="120">
        <f t="shared" si="172"/>
        <v>0</v>
      </c>
      <c r="Q296" s="120">
        <f t="shared" si="172"/>
        <v>0</v>
      </c>
      <c r="R296" s="120">
        <f t="shared" si="172"/>
        <v>1</v>
      </c>
      <c r="S296" s="120">
        <f t="shared" si="172"/>
        <v>0</v>
      </c>
      <c r="T296" s="120">
        <f t="shared" si="172"/>
        <v>0</v>
      </c>
      <c r="U296" s="120">
        <f t="shared" si="172"/>
        <v>0</v>
      </c>
      <c r="V296" s="120">
        <f t="shared" si="172"/>
        <v>0</v>
      </c>
      <c r="W296" s="120">
        <f t="shared" si="172"/>
        <v>0</v>
      </c>
      <c r="X296" s="120">
        <f t="shared" si="172"/>
        <v>0</v>
      </c>
      <c r="Y296" s="120">
        <f t="shared" si="172"/>
        <v>0</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0</v>
      </c>
      <c r="AH296" s="120">
        <f t="shared" si="174"/>
        <v>0.33333333333333331</v>
      </c>
      <c r="AI296" s="120">
        <f t="shared" si="174"/>
        <v>0</v>
      </c>
      <c r="AJ296" s="120">
        <f t="shared" si="174"/>
        <v>0</v>
      </c>
      <c r="AK296" s="120">
        <f t="shared" si="174"/>
        <v>1</v>
      </c>
      <c r="AL296" s="120">
        <f t="shared" si="174"/>
        <v>0</v>
      </c>
      <c r="AM296" s="120">
        <f t="shared" si="174"/>
        <v>0</v>
      </c>
      <c r="AN296" s="120">
        <f t="shared" si="174"/>
        <v>0</v>
      </c>
      <c r="AO296" s="120">
        <f t="shared" si="174"/>
        <v>0</v>
      </c>
      <c r="AP296" s="120">
        <f t="shared" si="174"/>
        <v>0</v>
      </c>
      <c r="AQ296" s="120">
        <f t="shared" si="173"/>
        <v>1</v>
      </c>
      <c r="AR296" s="120">
        <f t="shared" si="173"/>
        <v>0</v>
      </c>
      <c r="AS296" s="120">
        <f t="shared" si="173"/>
        <v>0</v>
      </c>
      <c r="AT296" s="120">
        <f t="shared" si="173"/>
        <v>0</v>
      </c>
      <c r="AU296" s="120">
        <f t="shared" si="173"/>
        <v>0</v>
      </c>
      <c r="AV296" s="120">
        <f t="shared" si="173"/>
        <v>0</v>
      </c>
      <c r="AW296" s="120">
        <f t="shared" si="173"/>
        <v>0</v>
      </c>
      <c r="AX296" s="120">
        <f t="shared" si="173"/>
        <v>0</v>
      </c>
      <c r="AY296" s="120">
        <f t="shared" si="165"/>
        <v>2.333333333333333</v>
      </c>
      <c r="AZ296" s="20" t="s">
        <v>140</v>
      </c>
    </row>
    <row r="297" spans="1:52">
      <c r="A297" s="120" t="s">
        <v>173</v>
      </c>
      <c r="B297" s="120">
        <f t="shared" si="172"/>
        <v>0</v>
      </c>
      <c r="C297" s="120">
        <f t="shared" si="172"/>
        <v>0</v>
      </c>
      <c r="D297" s="120">
        <f t="shared" si="172"/>
        <v>0</v>
      </c>
      <c r="E297" s="120">
        <f t="shared" si="172"/>
        <v>0</v>
      </c>
      <c r="F297" s="120">
        <f t="shared" si="172"/>
        <v>0</v>
      </c>
      <c r="G297" s="120">
        <f t="shared" si="172"/>
        <v>1</v>
      </c>
      <c r="H297" s="120">
        <f t="shared" si="172"/>
        <v>0</v>
      </c>
      <c r="I297" s="120">
        <f t="shared" si="172"/>
        <v>0</v>
      </c>
      <c r="J297" s="120">
        <f t="shared" si="172"/>
        <v>0</v>
      </c>
      <c r="K297" s="120">
        <f t="shared" si="172"/>
        <v>0</v>
      </c>
      <c r="L297" s="120">
        <f t="shared" si="172"/>
        <v>0</v>
      </c>
      <c r="M297" s="120">
        <f t="shared" si="172"/>
        <v>0</v>
      </c>
      <c r="N297" s="120">
        <f t="shared" si="172"/>
        <v>1</v>
      </c>
      <c r="O297" s="120">
        <f t="shared" si="172"/>
        <v>1</v>
      </c>
      <c r="P297" s="120">
        <f t="shared" si="172"/>
        <v>0</v>
      </c>
      <c r="Q297" s="120">
        <f t="shared" si="172"/>
        <v>0</v>
      </c>
      <c r="R297" s="120">
        <f t="shared" si="172"/>
        <v>0</v>
      </c>
      <c r="S297" s="120">
        <f t="shared" si="172"/>
        <v>1</v>
      </c>
      <c r="T297" s="120">
        <f t="shared" si="172"/>
        <v>0</v>
      </c>
      <c r="U297" s="120">
        <f t="shared" si="172"/>
        <v>1</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1</v>
      </c>
      <c r="AG297" s="120">
        <f t="shared" si="174"/>
        <v>0</v>
      </c>
      <c r="AH297" s="120">
        <f t="shared" si="174"/>
        <v>0</v>
      </c>
      <c r="AI297" s="120">
        <f t="shared" si="174"/>
        <v>0</v>
      </c>
      <c r="AJ297" s="120">
        <f t="shared" si="174"/>
        <v>0</v>
      </c>
      <c r="AK297" s="120">
        <f t="shared" si="174"/>
        <v>0</v>
      </c>
      <c r="AL297" s="120">
        <f t="shared" si="174"/>
        <v>0</v>
      </c>
      <c r="AM297" s="120">
        <f t="shared" si="174"/>
        <v>1</v>
      </c>
      <c r="AN297" s="120">
        <f t="shared" si="174"/>
        <v>1</v>
      </c>
      <c r="AO297" s="120">
        <f t="shared" si="174"/>
        <v>0</v>
      </c>
      <c r="AP297" s="120">
        <f t="shared" si="174"/>
        <v>0</v>
      </c>
      <c r="AQ297" s="120">
        <f t="shared" si="173"/>
        <v>0</v>
      </c>
      <c r="AR297" s="120">
        <f t="shared" si="173"/>
        <v>0.5</v>
      </c>
      <c r="AS297" s="120">
        <f t="shared" si="173"/>
        <v>0</v>
      </c>
      <c r="AT297" s="120">
        <f t="shared" si="173"/>
        <v>1</v>
      </c>
      <c r="AU297" s="120">
        <f t="shared" si="173"/>
        <v>0</v>
      </c>
      <c r="AV297" s="120">
        <f t="shared" si="173"/>
        <v>0</v>
      </c>
      <c r="AW297" s="120">
        <f t="shared" si="173"/>
        <v>0</v>
      </c>
      <c r="AX297" s="120">
        <f t="shared" si="173"/>
        <v>0</v>
      </c>
      <c r="AY297" s="120">
        <f t="shared" si="165"/>
        <v>4.5</v>
      </c>
      <c r="AZ297" s="20" t="s">
        <v>140</v>
      </c>
    </row>
    <row r="298" spans="1:52">
      <c r="A298" s="120" t="s">
        <v>174</v>
      </c>
      <c r="B298" s="120">
        <f t="shared" si="172"/>
        <v>0</v>
      </c>
      <c r="C298" s="120">
        <f t="shared" si="172"/>
        <v>0</v>
      </c>
      <c r="D298" s="120">
        <f t="shared" si="172"/>
        <v>1</v>
      </c>
      <c r="E298" s="120">
        <f t="shared" si="172"/>
        <v>0</v>
      </c>
      <c r="F298" s="120">
        <f t="shared" si="172"/>
        <v>0</v>
      </c>
      <c r="G298" s="120">
        <f t="shared" si="172"/>
        <v>0</v>
      </c>
      <c r="H298" s="120">
        <f t="shared" si="172"/>
        <v>0</v>
      </c>
      <c r="I298" s="120">
        <f t="shared" si="172"/>
        <v>1</v>
      </c>
      <c r="J298" s="120">
        <f t="shared" si="172"/>
        <v>0</v>
      </c>
      <c r="K298" s="120">
        <f t="shared" si="172"/>
        <v>1</v>
      </c>
      <c r="L298" s="120">
        <f t="shared" si="172"/>
        <v>0</v>
      </c>
      <c r="M298" s="120">
        <f t="shared" si="172"/>
        <v>1</v>
      </c>
      <c r="N298" s="120">
        <f t="shared" si="172"/>
        <v>1</v>
      </c>
      <c r="O298" s="120">
        <f t="shared" si="172"/>
        <v>1</v>
      </c>
      <c r="P298" s="120">
        <f t="shared" si="172"/>
        <v>0</v>
      </c>
      <c r="Q298" s="120">
        <f t="shared" si="172"/>
        <v>0</v>
      </c>
      <c r="R298" s="120">
        <f t="shared" si="172"/>
        <v>1</v>
      </c>
      <c r="S298" s="120">
        <f t="shared" si="172"/>
        <v>1</v>
      </c>
      <c r="T298" s="120">
        <f t="shared" si="172"/>
        <v>0</v>
      </c>
      <c r="U298" s="120">
        <f t="shared" si="172"/>
        <v>0</v>
      </c>
      <c r="V298" s="120">
        <f t="shared" si="172"/>
        <v>0</v>
      </c>
      <c r="W298" s="120">
        <f t="shared" si="172"/>
        <v>0</v>
      </c>
      <c r="X298" s="120">
        <f t="shared" si="172"/>
        <v>0</v>
      </c>
      <c r="Y298" s="120">
        <f t="shared" si="172"/>
        <v>0</v>
      </c>
      <c r="AA298" s="120">
        <f t="shared" si="174"/>
        <v>0</v>
      </c>
      <c r="AB298" s="120">
        <f t="shared" si="174"/>
        <v>0</v>
      </c>
      <c r="AC298" s="120">
        <f t="shared" si="174"/>
        <v>1</v>
      </c>
      <c r="AD298" s="120">
        <f t="shared" si="174"/>
        <v>0</v>
      </c>
      <c r="AE298" s="120">
        <f t="shared" si="174"/>
        <v>0</v>
      </c>
      <c r="AF298" s="120">
        <f t="shared" si="174"/>
        <v>0</v>
      </c>
      <c r="AG298" s="120">
        <f t="shared" si="174"/>
        <v>0</v>
      </c>
      <c r="AH298" s="120">
        <f t="shared" si="174"/>
        <v>1</v>
      </c>
      <c r="AI298" s="120">
        <f t="shared" si="174"/>
        <v>0</v>
      </c>
      <c r="AJ298" s="120">
        <f t="shared" si="174"/>
        <v>1</v>
      </c>
      <c r="AK298" s="120">
        <f t="shared" si="174"/>
        <v>0</v>
      </c>
      <c r="AL298" s="120">
        <f t="shared" si="174"/>
        <v>1</v>
      </c>
      <c r="AM298" s="120">
        <f t="shared" si="174"/>
        <v>1</v>
      </c>
      <c r="AN298" s="120">
        <f t="shared" si="174"/>
        <v>1</v>
      </c>
      <c r="AO298" s="120">
        <f t="shared" si="174"/>
        <v>0</v>
      </c>
      <c r="AP298" s="120">
        <f t="shared" si="174"/>
        <v>0</v>
      </c>
      <c r="AQ298" s="120">
        <f t="shared" si="173"/>
        <v>1</v>
      </c>
      <c r="AR298" s="120">
        <f t="shared" si="173"/>
        <v>1</v>
      </c>
      <c r="AS298" s="120">
        <f t="shared" si="173"/>
        <v>0</v>
      </c>
      <c r="AT298" s="120">
        <f t="shared" si="173"/>
        <v>0</v>
      </c>
      <c r="AU298" s="120">
        <f t="shared" si="173"/>
        <v>0</v>
      </c>
      <c r="AV298" s="120">
        <f t="shared" si="173"/>
        <v>0</v>
      </c>
      <c r="AW298" s="120">
        <f t="shared" si="173"/>
        <v>0</v>
      </c>
      <c r="AX298" s="120">
        <f t="shared" si="173"/>
        <v>0</v>
      </c>
      <c r="AY298" s="120">
        <f t="shared" si="165"/>
        <v>8</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0</v>
      </c>
      <c r="D302" s="120">
        <f t="shared" si="175"/>
        <v>1</v>
      </c>
      <c r="E302" s="120">
        <f t="shared" ref="E302:Y302" si="176">IF(IFERROR(FIND($A$301,E5,1),0)=0,0,1)</f>
        <v>1</v>
      </c>
      <c r="F302" s="120">
        <f t="shared" si="176"/>
        <v>0</v>
      </c>
      <c r="G302" s="120">
        <f t="shared" si="176"/>
        <v>1</v>
      </c>
      <c r="H302" s="120">
        <f t="shared" si="176"/>
        <v>1</v>
      </c>
      <c r="I302" s="120">
        <f t="shared" si="176"/>
        <v>0</v>
      </c>
      <c r="J302" s="120">
        <f t="shared" si="176"/>
        <v>0</v>
      </c>
      <c r="K302" s="120">
        <f t="shared" si="176"/>
        <v>1</v>
      </c>
      <c r="L302" s="120">
        <f t="shared" si="176"/>
        <v>0</v>
      </c>
      <c r="M302" s="120">
        <f t="shared" si="176"/>
        <v>0</v>
      </c>
      <c r="N302" s="120">
        <f t="shared" si="176"/>
        <v>1</v>
      </c>
      <c r="O302" s="120">
        <f t="shared" si="176"/>
        <v>0</v>
      </c>
      <c r="P302" s="120">
        <f t="shared" si="176"/>
        <v>1</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1</v>
      </c>
      <c r="AD302" s="120">
        <f t="shared" si="177"/>
        <v>1</v>
      </c>
      <c r="AE302" s="120">
        <f t="shared" si="177"/>
        <v>0</v>
      </c>
      <c r="AF302" s="120">
        <f t="shared" si="177"/>
        <v>1</v>
      </c>
      <c r="AG302" s="120">
        <f t="shared" si="177"/>
        <v>1</v>
      </c>
      <c r="AH302" s="120">
        <f t="shared" si="177"/>
        <v>0</v>
      </c>
      <c r="AI302" s="120">
        <f t="shared" si="177"/>
        <v>0</v>
      </c>
      <c r="AJ302" s="120">
        <f t="shared" si="177"/>
        <v>1</v>
      </c>
      <c r="AK302" s="120">
        <f t="shared" si="177"/>
        <v>0</v>
      </c>
      <c r="AL302" s="120">
        <f t="shared" si="177"/>
        <v>0</v>
      </c>
      <c r="AM302" s="120">
        <f t="shared" si="177"/>
        <v>1</v>
      </c>
      <c r="AN302" s="120">
        <f t="shared" si="177"/>
        <v>0</v>
      </c>
      <c r="AO302" s="120">
        <f t="shared" si="177"/>
        <v>1</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7</v>
      </c>
      <c r="AZ302" s="20" t="s">
        <v>141</v>
      </c>
    </row>
    <row r="303" spans="1:52">
      <c r="A303" s="120" t="s">
        <v>146</v>
      </c>
      <c r="B303" s="120">
        <f t="shared" ref="B303:Y313" si="179">IF(IFERROR(FIND($A$301,B6,1),0)=0,0,1)</f>
        <v>1</v>
      </c>
      <c r="C303" s="120">
        <f t="shared" si="179"/>
        <v>0</v>
      </c>
      <c r="D303" s="120">
        <f t="shared" si="179"/>
        <v>0</v>
      </c>
      <c r="E303" s="120">
        <f t="shared" si="179"/>
        <v>1</v>
      </c>
      <c r="F303" s="120">
        <f t="shared" si="179"/>
        <v>1</v>
      </c>
      <c r="G303" s="120">
        <f t="shared" si="179"/>
        <v>0</v>
      </c>
      <c r="H303" s="120">
        <f t="shared" si="179"/>
        <v>1</v>
      </c>
      <c r="I303" s="120">
        <f t="shared" si="179"/>
        <v>0</v>
      </c>
      <c r="J303" s="120">
        <f t="shared" si="179"/>
        <v>0</v>
      </c>
      <c r="K303" s="120">
        <f t="shared" si="179"/>
        <v>0</v>
      </c>
      <c r="L303" s="120">
        <f t="shared" si="179"/>
        <v>0</v>
      </c>
      <c r="M303" s="120">
        <f t="shared" si="179"/>
        <v>1</v>
      </c>
      <c r="N303" s="120">
        <f t="shared" si="179"/>
        <v>1</v>
      </c>
      <c r="O303" s="120">
        <f t="shared" si="179"/>
        <v>1</v>
      </c>
      <c r="P303" s="120">
        <f t="shared" si="179"/>
        <v>1</v>
      </c>
      <c r="Q303" s="120">
        <f t="shared" si="179"/>
        <v>0</v>
      </c>
      <c r="R303" s="120">
        <f t="shared" si="179"/>
        <v>0</v>
      </c>
      <c r="S303" s="120">
        <f t="shared" si="179"/>
        <v>1</v>
      </c>
      <c r="T303" s="120">
        <f t="shared" si="179"/>
        <v>0</v>
      </c>
      <c r="U303" s="120">
        <f t="shared" si="179"/>
        <v>0</v>
      </c>
      <c r="V303" s="120">
        <f t="shared" si="179"/>
        <v>0</v>
      </c>
      <c r="W303" s="120">
        <f t="shared" si="179"/>
        <v>0</v>
      </c>
      <c r="X303" s="120">
        <f t="shared" si="179"/>
        <v>1</v>
      </c>
      <c r="Y303" s="120">
        <f t="shared" si="179"/>
        <v>0</v>
      </c>
      <c r="AA303" s="120">
        <f t="shared" si="177"/>
        <v>1</v>
      </c>
      <c r="AB303" s="120">
        <f t="shared" si="177"/>
        <v>0</v>
      </c>
      <c r="AC303" s="120">
        <f t="shared" si="177"/>
        <v>0</v>
      </c>
      <c r="AD303" s="120">
        <f t="shared" si="177"/>
        <v>1</v>
      </c>
      <c r="AE303" s="120">
        <f t="shared" si="177"/>
        <v>1</v>
      </c>
      <c r="AF303" s="120">
        <f t="shared" si="177"/>
        <v>0</v>
      </c>
      <c r="AG303" s="120">
        <f t="shared" si="177"/>
        <v>1</v>
      </c>
      <c r="AH303" s="120">
        <f t="shared" si="177"/>
        <v>0</v>
      </c>
      <c r="AI303" s="120">
        <f t="shared" si="177"/>
        <v>0</v>
      </c>
      <c r="AJ303" s="120">
        <f t="shared" si="177"/>
        <v>0</v>
      </c>
      <c r="AK303" s="120">
        <f t="shared" si="177"/>
        <v>0</v>
      </c>
      <c r="AL303" s="120">
        <f t="shared" si="177"/>
        <v>1</v>
      </c>
      <c r="AM303" s="120">
        <f t="shared" si="177"/>
        <v>1</v>
      </c>
      <c r="AN303" s="120">
        <f t="shared" si="177"/>
        <v>1</v>
      </c>
      <c r="AO303" s="120">
        <f t="shared" si="177"/>
        <v>1</v>
      </c>
      <c r="AP303" s="120">
        <f t="shared" si="177"/>
        <v>0</v>
      </c>
      <c r="AQ303" s="120">
        <f t="shared" si="177"/>
        <v>0</v>
      </c>
      <c r="AR303" s="120">
        <f t="shared" si="177"/>
        <v>1</v>
      </c>
      <c r="AS303" s="120">
        <f t="shared" si="177"/>
        <v>0</v>
      </c>
      <c r="AT303" s="120">
        <f t="shared" si="177"/>
        <v>0</v>
      </c>
      <c r="AU303" s="120">
        <f t="shared" si="177"/>
        <v>0</v>
      </c>
      <c r="AV303" s="120">
        <f t="shared" si="177"/>
        <v>0</v>
      </c>
      <c r="AW303" s="120">
        <f t="shared" si="177"/>
        <v>1</v>
      </c>
      <c r="AX303" s="120">
        <f t="shared" si="177"/>
        <v>0</v>
      </c>
      <c r="AY303" s="120">
        <f t="shared" si="178"/>
        <v>10</v>
      </c>
      <c r="AZ303" s="20" t="s">
        <v>141</v>
      </c>
    </row>
    <row r="304" spans="1:52">
      <c r="A304" s="120" t="s">
        <v>147</v>
      </c>
      <c r="B304" s="120">
        <f t="shared" si="179"/>
        <v>0</v>
      </c>
      <c r="C304" s="120">
        <f t="shared" si="179"/>
        <v>1</v>
      </c>
      <c r="D304" s="120">
        <f t="shared" si="179"/>
        <v>1</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1</v>
      </c>
      <c r="W304" s="120">
        <f t="shared" si="179"/>
        <v>0</v>
      </c>
      <c r="X304" s="120">
        <f t="shared" si="179"/>
        <v>0</v>
      </c>
      <c r="Y304" s="120">
        <f t="shared" si="179"/>
        <v>0</v>
      </c>
      <c r="AA304" s="120">
        <f t="shared" si="177"/>
        <v>0</v>
      </c>
      <c r="AB304" s="120">
        <f t="shared" si="177"/>
        <v>0.5</v>
      </c>
      <c r="AC304" s="120">
        <f t="shared" si="177"/>
        <v>1</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1</v>
      </c>
      <c r="AV304" s="120">
        <f t="shared" si="177"/>
        <v>0</v>
      </c>
      <c r="AW304" s="120">
        <f t="shared" si="177"/>
        <v>0</v>
      </c>
      <c r="AX304" s="120">
        <f t="shared" si="177"/>
        <v>0</v>
      </c>
      <c r="AY304" s="120">
        <f t="shared" si="178"/>
        <v>2.5</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1</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1</v>
      </c>
      <c r="AT305" s="120">
        <f t="shared" si="177"/>
        <v>0</v>
      </c>
      <c r="AU305" s="120">
        <f t="shared" si="177"/>
        <v>0</v>
      </c>
      <c r="AV305" s="120">
        <f t="shared" si="177"/>
        <v>0</v>
      </c>
      <c r="AW305" s="120">
        <f t="shared" si="177"/>
        <v>0</v>
      </c>
      <c r="AX305" s="120">
        <f t="shared" si="177"/>
        <v>0</v>
      </c>
      <c r="AY305" s="120">
        <f t="shared" si="178"/>
        <v>1</v>
      </c>
      <c r="AZ305" s="20" t="s">
        <v>141</v>
      </c>
    </row>
    <row r="306" spans="1:52">
      <c r="A306" s="120" t="s">
        <v>149</v>
      </c>
      <c r="B306" s="120">
        <f t="shared" si="179"/>
        <v>1</v>
      </c>
      <c r="C306" s="120">
        <f t="shared" si="179"/>
        <v>0</v>
      </c>
      <c r="D306" s="120">
        <f t="shared" si="179"/>
        <v>1</v>
      </c>
      <c r="E306" s="120">
        <f t="shared" si="179"/>
        <v>1</v>
      </c>
      <c r="F306" s="120">
        <f t="shared" si="179"/>
        <v>1</v>
      </c>
      <c r="G306" s="120">
        <f t="shared" si="179"/>
        <v>1</v>
      </c>
      <c r="H306" s="120">
        <f t="shared" si="179"/>
        <v>0</v>
      </c>
      <c r="I306" s="120">
        <f t="shared" si="179"/>
        <v>0</v>
      </c>
      <c r="J306" s="120">
        <f t="shared" si="179"/>
        <v>0</v>
      </c>
      <c r="K306" s="120">
        <f t="shared" si="179"/>
        <v>0</v>
      </c>
      <c r="L306" s="120">
        <f t="shared" si="179"/>
        <v>1</v>
      </c>
      <c r="M306" s="120">
        <f t="shared" si="179"/>
        <v>1</v>
      </c>
      <c r="N306" s="120">
        <f t="shared" si="179"/>
        <v>0</v>
      </c>
      <c r="O306" s="120">
        <f t="shared" si="179"/>
        <v>0</v>
      </c>
      <c r="P306" s="120">
        <f t="shared" si="179"/>
        <v>0</v>
      </c>
      <c r="Q306" s="120">
        <f t="shared" si="179"/>
        <v>1</v>
      </c>
      <c r="R306" s="120">
        <f t="shared" si="179"/>
        <v>0</v>
      </c>
      <c r="S306" s="120">
        <f t="shared" si="179"/>
        <v>1</v>
      </c>
      <c r="T306" s="120">
        <f t="shared" si="179"/>
        <v>1</v>
      </c>
      <c r="U306" s="120">
        <f t="shared" si="179"/>
        <v>0</v>
      </c>
      <c r="V306" s="120">
        <f t="shared" si="179"/>
        <v>0</v>
      </c>
      <c r="W306" s="120">
        <f t="shared" si="179"/>
        <v>0</v>
      </c>
      <c r="X306" s="120">
        <f t="shared" si="179"/>
        <v>0</v>
      </c>
      <c r="Y306" s="120">
        <f t="shared" si="179"/>
        <v>0</v>
      </c>
      <c r="AA306" s="120">
        <f t="shared" si="177"/>
        <v>1</v>
      </c>
      <c r="AB306" s="120">
        <f t="shared" si="177"/>
        <v>0</v>
      </c>
      <c r="AC306" s="120">
        <f t="shared" si="177"/>
        <v>1</v>
      </c>
      <c r="AD306" s="120">
        <f t="shared" si="177"/>
        <v>1</v>
      </c>
      <c r="AE306" s="120">
        <f t="shared" si="177"/>
        <v>1</v>
      </c>
      <c r="AF306" s="120">
        <f t="shared" si="177"/>
        <v>1</v>
      </c>
      <c r="AG306" s="120">
        <f t="shared" si="177"/>
        <v>0</v>
      </c>
      <c r="AH306" s="120">
        <f t="shared" si="177"/>
        <v>0</v>
      </c>
      <c r="AI306" s="120">
        <f t="shared" si="177"/>
        <v>0</v>
      </c>
      <c r="AJ306" s="120">
        <f t="shared" si="177"/>
        <v>0</v>
      </c>
      <c r="AK306" s="120">
        <f t="shared" si="177"/>
        <v>1</v>
      </c>
      <c r="AL306" s="120">
        <f t="shared" si="177"/>
        <v>1</v>
      </c>
      <c r="AM306" s="120">
        <f t="shared" si="177"/>
        <v>0</v>
      </c>
      <c r="AN306" s="120">
        <f t="shared" si="177"/>
        <v>0</v>
      </c>
      <c r="AO306" s="120">
        <f t="shared" si="177"/>
        <v>0</v>
      </c>
      <c r="AP306" s="120">
        <f t="shared" si="177"/>
        <v>0.5</v>
      </c>
      <c r="AQ306" s="120">
        <f t="shared" si="177"/>
        <v>0</v>
      </c>
      <c r="AR306" s="120">
        <f t="shared" si="177"/>
        <v>1</v>
      </c>
      <c r="AS306" s="120">
        <f t="shared" si="177"/>
        <v>1</v>
      </c>
      <c r="AT306" s="120">
        <f t="shared" si="177"/>
        <v>0</v>
      </c>
      <c r="AU306" s="120">
        <f t="shared" si="177"/>
        <v>0</v>
      </c>
      <c r="AV306" s="120">
        <f t="shared" si="177"/>
        <v>0</v>
      </c>
      <c r="AW306" s="120">
        <f t="shared" si="177"/>
        <v>0</v>
      </c>
      <c r="AX306" s="120">
        <f t="shared" si="177"/>
        <v>0</v>
      </c>
      <c r="AY306" s="120">
        <f t="shared" si="178"/>
        <v>9.5</v>
      </c>
      <c r="AZ306" s="20" t="s">
        <v>141</v>
      </c>
    </row>
    <row r="307" spans="1:52">
      <c r="A307" s="120" t="s">
        <v>150</v>
      </c>
      <c r="B307" s="120">
        <f t="shared" si="179"/>
        <v>1</v>
      </c>
      <c r="C307" s="120">
        <f t="shared" si="179"/>
        <v>0</v>
      </c>
      <c r="D307" s="120">
        <f t="shared" si="179"/>
        <v>0</v>
      </c>
      <c r="E307" s="120">
        <f t="shared" si="179"/>
        <v>1</v>
      </c>
      <c r="F307" s="120">
        <f t="shared" si="179"/>
        <v>1</v>
      </c>
      <c r="G307" s="120">
        <f t="shared" si="179"/>
        <v>1</v>
      </c>
      <c r="H307" s="120">
        <f t="shared" si="179"/>
        <v>0</v>
      </c>
      <c r="I307" s="120">
        <f t="shared" si="179"/>
        <v>0</v>
      </c>
      <c r="J307" s="120">
        <f t="shared" si="179"/>
        <v>1</v>
      </c>
      <c r="K307" s="120">
        <f t="shared" si="179"/>
        <v>0</v>
      </c>
      <c r="L307" s="120">
        <f t="shared" si="179"/>
        <v>1</v>
      </c>
      <c r="M307" s="120">
        <f t="shared" si="179"/>
        <v>0</v>
      </c>
      <c r="N307" s="120">
        <f t="shared" si="179"/>
        <v>1</v>
      </c>
      <c r="O307" s="120">
        <f t="shared" si="179"/>
        <v>1</v>
      </c>
      <c r="P307" s="120">
        <f t="shared" si="179"/>
        <v>0</v>
      </c>
      <c r="Q307" s="120">
        <f t="shared" si="179"/>
        <v>0</v>
      </c>
      <c r="R307" s="120">
        <f t="shared" si="179"/>
        <v>1</v>
      </c>
      <c r="S307" s="120">
        <f t="shared" si="179"/>
        <v>0</v>
      </c>
      <c r="T307" s="120">
        <f t="shared" si="179"/>
        <v>0</v>
      </c>
      <c r="U307" s="120">
        <f t="shared" si="179"/>
        <v>0</v>
      </c>
      <c r="V307" s="120">
        <f t="shared" si="179"/>
        <v>0</v>
      </c>
      <c r="W307" s="120">
        <f t="shared" si="179"/>
        <v>0</v>
      </c>
      <c r="X307" s="120">
        <f t="shared" si="179"/>
        <v>0</v>
      </c>
      <c r="Y307" s="120">
        <f t="shared" si="179"/>
        <v>1</v>
      </c>
      <c r="AA307" s="120">
        <f t="shared" si="177"/>
        <v>1</v>
      </c>
      <c r="AB307" s="120">
        <f t="shared" si="177"/>
        <v>0</v>
      </c>
      <c r="AC307" s="120">
        <f t="shared" si="177"/>
        <v>0</v>
      </c>
      <c r="AD307" s="120">
        <f t="shared" si="177"/>
        <v>1</v>
      </c>
      <c r="AE307" s="120">
        <f t="shared" si="177"/>
        <v>1</v>
      </c>
      <c r="AF307" s="120">
        <f t="shared" si="177"/>
        <v>1</v>
      </c>
      <c r="AG307" s="120">
        <f t="shared" si="177"/>
        <v>0</v>
      </c>
      <c r="AH307" s="120">
        <f t="shared" si="177"/>
        <v>0</v>
      </c>
      <c r="AI307" s="120">
        <f t="shared" si="177"/>
        <v>1</v>
      </c>
      <c r="AJ307" s="120">
        <f t="shared" si="177"/>
        <v>0</v>
      </c>
      <c r="AK307" s="120">
        <f t="shared" si="177"/>
        <v>1</v>
      </c>
      <c r="AL307" s="120">
        <f t="shared" si="177"/>
        <v>0</v>
      </c>
      <c r="AM307" s="120">
        <f t="shared" si="177"/>
        <v>1</v>
      </c>
      <c r="AN307" s="120">
        <f t="shared" si="177"/>
        <v>1</v>
      </c>
      <c r="AO307" s="120">
        <f t="shared" si="177"/>
        <v>0</v>
      </c>
      <c r="AP307" s="120">
        <f t="shared" si="177"/>
        <v>0</v>
      </c>
      <c r="AQ307" s="120">
        <f t="shared" si="177"/>
        <v>1</v>
      </c>
      <c r="AR307" s="120">
        <f t="shared" si="177"/>
        <v>0</v>
      </c>
      <c r="AS307" s="120">
        <f t="shared" si="177"/>
        <v>0</v>
      </c>
      <c r="AT307" s="120">
        <f t="shared" si="177"/>
        <v>0</v>
      </c>
      <c r="AU307" s="120">
        <f t="shared" si="177"/>
        <v>0</v>
      </c>
      <c r="AV307" s="120">
        <f t="shared" si="177"/>
        <v>0</v>
      </c>
      <c r="AW307" s="120">
        <f t="shared" si="177"/>
        <v>0</v>
      </c>
      <c r="AX307" s="120">
        <f t="shared" si="177"/>
        <v>1</v>
      </c>
      <c r="AY307" s="120">
        <f t="shared" si="178"/>
        <v>10</v>
      </c>
      <c r="AZ307" s="20" t="s">
        <v>141</v>
      </c>
    </row>
    <row r="308" spans="1:52">
      <c r="A308" s="120" t="s">
        <v>151</v>
      </c>
      <c r="B308" s="120">
        <f t="shared" si="179"/>
        <v>0</v>
      </c>
      <c r="C308" s="120">
        <f t="shared" si="179"/>
        <v>0</v>
      </c>
      <c r="D308" s="120">
        <f t="shared" si="179"/>
        <v>1</v>
      </c>
      <c r="E308" s="120">
        <f t="shared" si="179"/>
        <v>1</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1</v>
      </c>
      <c r="P308" s="120">
        <f t="shared" si="179"/>
        <v>1</v>
      </c>
      <c r="Q308" s="120">
        <f t="shared" si="179"/>
        <v>0</v>
      </c>
      <c r="R308" s="120">
        <f t="shared" si="179"/>
        <v>1</v>
      </c>
      <c r="S308" s="120">
        <f t="shared" si="179"/>
        <v>0</v>
      </c>
      <c r="T308" s="120">
        <f t="shared" si="179"/>
        <v>1</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1</v>
      </c>
      <c r="AD308" s="120">
        <f t="shared" si="177"/>
        <v>1</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1</v>
      </c>
      <c r="AO308" s="120">
        <f t="shared" si="177"/>
        <v>1</v>
      </c>
      <c r="AP308" s="120">
        <f t="shared" si="177"/>
        <v>0</v>
      </c>
      <c r="AQ308" s="120">
        <f t="shared" si="177"/>
        <v>1</v>
      </c>
      <c r="AR308" s="120">
        <f t="shared" si="177"/>
        <v>0</v>
      </c>
      <c r="AS308" s="120">
        <f t="shared" si="177"/>
        <v>1</v>
      </c>
      <c r="AT308" s="120">
        <f t="shared" si="177"/>
        <v>0</v>
      </c>
      <c r="AU308" s="120">
        <f t="shared" si="177"/>
        <v>0</v>
      </c>
      <c r="AV308" s="120">
        <f t="shared" si="177"/>
        <v>0</v>
      </c>
      <c r="AW308" s="120">
        <f t="shared" si="177"/>
        <v>0</v>
      </c>
      <c r="AX308" s="120">
        <f t="shared" si="177"/>
        <v>0</v>
      </c>
      <c r="AY308" s="120">
        <f t="shared" si="178"/>
        <v>6</v>
      </c>
      <c r="AZ308" s="20" t="s">
        <v>141</v>
      </c>
    </row>
    <row r="309" spans="1:52">
      <c r="A309" s="120" t="s">
        <v>152</v>
      </c>
      <c r="B309" s="120">
        <f t="shared" si="179"/>
        <v>0</v>
      </c>
      <c r="C309" s="120">
        <f t="shared" si="179"/>
        <v>1</v>
      </c>
      <c r="D309" s="120">
        <f t="shared" si="179"/>
        <v>0</v>
      </c>
      <c r="E309" s="120">
        <f t="shared" si="179"/>
        <v>1</v>
      </c>
      <c r="F309" s="120">
        <f t="shared" si="179"/>
        <v>1</v>
      </c>
      <c r="G309" s="120">
        <f t="shared" si="179"/>
        <v>1</v>
      </c>
      <c r="H309" s="120">
        <f t="shared" si="179"/>
        <v>0</v>
      </c>
      <c r="I309" s="120">
        <f t="shared" si="179"/>
        <v>0</v>
      </c>
      <c r="J309" s="120">
        <f t="shared" si="179"/>
        <v>0</v>
      </c>
      <c r="K309" s="120">
        <f t="shared" si="179"/>
        <v>0</v>
      </c>
      <c r="L309" s="120">
        <f t="shared" si="179"/>
        <v>0</v>
      </c>
      <c r="M309" s="120">
        <f t="shared" si="179"/>
        <v>1</v>
      </c>
      <c r="N309" s="120">
        <f t="shared" si="179"/>
        <v>1</v>
      </c>
      <c r="O309" s="120">
        <f t="shared" si="179"/>
        <v>1</v>
      </c>
      <c r="P309" s="120">
        <f t="shared" si="179"/>
        <v>0</v>
      </c>
      <c r="Q309" s="120">
        <f t="shared" si="179"/>
        <v>1</v>
      </c>
      <c r="R309" s="120">
        <f t="shared" si="179"/>
        <v>0</v>
      </c>
      <c r="S309" s="120">
        <f t="shared" si="179"/>
        <v>1</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1</v>
      </c>
      <c r="AC309" s="120">
        <f t="shared" si="177"/>
        <v>0</v>
      </c>
      <c r="AD309" s="120">
        <f t="shared" si="177"/>
        <v>1</v>
      </c>
      <c r="AE309" s="120">
        <f t="shared" si="177"/>
        <v>1</v>
      </c>
      <c r="AF309" s="120">
        <f t="shared" si="177"/>
        <v>1</v>
      </c>
      <c r="AG309" s="120">
        <f t="shared" si="177"/>
        <v>0</v>
      </c>
      <c r="AH309" s="120">
        <f t="shared" si="177"/>
        <v>0</v>
      </c>
      <c r="AI309" s="120">
        <f t="shared" si="177"/>
        <v>0</v>
      </c>
      <c r="AJ309" s="120">
        <f t="shared" si="177"/>
        <v>0</v>
      </c>
      <c r="AK309" s="120">
        <f t="shared" si="177"/>
        <v>0</v>
      </c>
      <c r="AL309" s="120">
        <f t="shared" si="177"/>
        <v>0.5</v>
      </c>
      <c r="AM309" s="120">
        <f t="shared" si="177"/>
        <v>1</v>
      </c>
      <c r="AN309" s="120">
        <f t="shared" si="177"/>
        <v>1</v>
      </c>
      <c r="AO309" s="120">
        <f t="shared" si="177"/>
        <v>0</v>
      </c>
      <c r="AP309" s="120">
        <f t="shared" si="177"/>
        <v>1</v>
      </c>
      <c r="AQ309" s="120">
        <f t="shared" si="177"/>
        <v>0</v>
      </c>
      <c r="AR309" s="120">
        <f t="shared" si="177"/>
        <v>1</v>
      </c>
      <c r="AS309" s="120">
        <f t="shared" si="177"/>
        <v>0</v>
      </c>
      <c r="AT309" s="120">
        <f t="shared" si="177"/>
        <v>0</v>
      </c>
      <c r="AU309" s="120">
        <f t="shared" si="177"/>
        <v>0</v>
      </c>
      <c r="AV309" s="120">
        <f t="shared" si="177"/>
        <v>0</v>
      </c>
      <c r="AW309" s="120">
        <f t="shared" si="177"/>
        <v>0</v>
      </c>
      <c r="AX309" s="120">
        <f t="shared" si="177"/>
        <v>0</v>
      </c>
      <c r="AY309" s="120">
        <f t="shared" si="178"/>
        <v>8.5</v>
      </c>
      <c r="AZ309" s="20" t="s">
        <v>141</v>
      </c>
    </row>
    <row r="310" spans="1:52">
      <c r="A310" s="120" t="s">
        <v>153</v>
      </c>
      <c r="B310" s="120">
        <f t="shared" si="179"/>
        <v>0</v>
      </c>
      <c r="C310" s="120">
        <f t="shared" si="179"/>
        <v>0</v>
      </c>
      <c r="D310" s="120">
        <f t="shared" si="179"/>
        <v>0</v>
      </c>
      <c r="E310" s="120">
        <f t="shared" si="179"/>
        <v>1</v>
      </c>
      <c r="F310" s="120">
        <f t="shared" si="179"/>
        <v>1</v>
      </c>
      <c r="G310" s="120">
        <f t="shared" si="179"/>
        <v>1</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1</v>
      </c>
      <c r="AE310" s="120">
        <f t="shared" si="177"/>
        <v>1</v>
      </c>
      <c r="AF310" s="120">
        <f t="shared" si="177"/>
        <v>1</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3</v>
      </c>
      <c r="AZ310" s="20" t="s">
        <v>141</v>
      </c>
    </row>
    <row r="311" spans="1:52">
      <c r="A311" s="120" t="s">
        <v>154</v>
      </c>
      <c r="B311" s="120">
        <f t="shared" si="179"/>
        <v>0</v>
      </c>
      <c r="C311" s="120">
        <f t="shared" si="179"/>
        <v>1</v>
      </c>
      <c r="D311" s="120">
        <f t="shared" si="179"/>
        <v>1</v>
      </c>
      <c r="E311" s="120">
        <f t="shared" si="179"/>
        <v>1</v>
      </c>
      <c r="F311" s="120">
        <f t="shared" si="179"/>
        <v>0</v>
      </c>
      <c r="G311" s="120">
        <f t="shared" si="179"/>
        <v>1</v>
      </c>
      <c r="H311" s="120">
        <f t="shared" si="179"/>
        <v>0</v>
      </c>
      <c r="I311" s="120">
        <f t="shared" si="179"/>
        <v>0</v>
      </c>
      <c r="J311" s="120">
        <f t="shared" si="179"/>
        <v>1</v>
      </c>
      <c r="K311" s="120">
        <f t="shared" si="179"/>
        <v>1</v>
      </c>
      <c r="L311" s="120">
        <f t="shared" si="179"/>
        <v>0</v>
      </c>
      <c r="M311" s="120">
        <f t="shared" si="179"/>
        <v>0</v>
      </c>
      <c r="N311" s="120">
        <f t="shared" si="179"/>
        <v>0</v>
      </c>
      <c r="O311" s="120">
        <f t="shared" si="179"/>
        <v>0</v>
      </c>
      <c r="P311" s="120">
        <f t="shared" si="179"/>
        <v>0</v>
      </c>
      <c r="Q311" s="120">
        <f t="shared" si="179"/>
        <v>0</v>
      </c>
      <c r="R311" s="120">
        <f t="shared" si="179"/>
        <v>0</v>
      </c>
      <c r="S311" s="120">
        <f t="shared" si="179"/>
        <v>1</v>
      </c>
      <c r="T311" s="120">
        <f t="shared" si="179"/>
        <v>1</v>
      </c>
      <c r="U311" s="120">
        <f t="shared" si="179"/>
        <v>0</v>
      </c>
      <c r="V311" s="120">
        <f t="shared" si="179"/>
        <v>0</v>
      </c>
      <c r="W311" s="120">
        <f t="shared" si="179"/>
        <v>0</v>
      </c>
      <c r="X311" s="120">
        <f t="shared" si="179"/>
        <v>0</v>
      </c>
      <c r="Y311" s="120">
        <f t="shared" si="179"/>
        <v>1</v>
      </c>
      <c r="AA311" s="120">
        <f t="shared" si="177"/>
        <v>0</v>
      </c>
      <c r="AB311" s="120">
        <f t="shared" si="177"/>
        <v>1</v>
      </c>
      <c r="AC311" s="120">
        <f t="shared" si="177"/>
        <v>1</v>
      </c>
      <c r="AD311" s="120">
        <f t="shared" si="177"/>
        <v>1</v>
      </c>
      <c r="AE311" s="120">
        <f t="shared" si="177"/>
        <v>0</v>
      </c>
      <c r="AF311" s="120">
        <f t="shared" si="177"/>
        <v>1</v>
      </c>
      <c r="AG311" s="120">
        <f t="shared" si="177"/>
        <v>0</v>
      </c>
      <c r="AH311" s="120">
        <f t="shared" si="177"/>
        <v>0</v>
      </c>
      <c r="AI311" s="120">
        <f t="shared" si="177"/>
        <v>1</v>
      </c>
      <c r="AJ311" s="120">
        <f t="shared" si="177"/>
        <v>1</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1</v>
      </c>
      <c r="AS311" s="120">
        <f t="shared" si="177"/>
        <v>1</v>
      </c>
      <c r="AT311" s="120">
        <f t="shared" si="177"/>
        <v>0</v>
      </c>
      <c r="AU311" s="120">
        <f t="shared" si="177"/>
        <v>0</v>
      </c>
      <c r="AV311" s="120">
        <f t="shared" si="177"/>
        <v>0</v>
      </c>
      <c r="AW311" s="120">
        <f t="shared" si="177"/>
        <v>0</v>
      </c>
      <c r="AX311" s="120">
        <f t="shared" si="177"/>
        <v>1</v>
      </c>
      <c r="AY311" s="120">
        <f t="shared" si="178"/>
        <v>9</v>
      </c>
      <c r="AZ311" s="20" t="s">
        <v>141</v>
      </c>
    </row>
    <row r="312" spans="1:52">
      <c r="A312" s="120" t="s">
        <v>155</v>
      </c>
      <c r="B312" s="120">
        <f t="shared" si="179"/>
        <v>0</v>
      </c>
      <c r="C312" s="120">
        <f t="shared" si="179"/>
        <v>1</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1</v>
      </c>
      <c r="M312" s="120">
        <f t="shared" si="179"/>
        <v>1</v>
      </c>
      <c r="N312" s="120">
        <f t="shared" si="179"/>
        <v>1</v>
      </c>
      <c r="O312" s="120">
        <f t="shared" si="179"/>
        <v>0</v>
      </c>
      <c r="P312" s="120">
        <f t="shared" si="179"/>
        <v>0</v>
      </c>
      <c r="Q312" s="120">
        <f t="shared" si="179"/>
        <v>0</v>
      </c>
      <c r="R312" s="120">
        <f t="shared" si="179"/>
        <v>1</v>
      </c>
      <c r="S312" s="120">
        <f t="shared" si="179"/>
        <v>1</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1</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1</v>
      </c>
      <c r="AL312" s="120">
        <f t="shared" si="177"/>
        <v>1</v>
      </c>
      <c r="AM312" s="120">
        <f t="shared" si="177"/>
        <v>1</v>
      </c>
      <c r="AN312" s="120">
        <f t="shared" si="177"/>
        <v>0</v>
      </c>
      <c r="AO312" s="120">
        <f t="shared" si="177"/>
        <v>0</v>
      </c>
      <c r="AP312" s="120">
        <f t="shared" ref="AP312:AX327" si="180">IF(Q312=0,0,Q312/AP15)</f>
        <v>0</v>
      </c>
      <c r="AQ312" s="120">
        <f t="shared" si="180"/>
        <v>1</v>
      </c>
      <c r="AR312" s="120">
        <f t="shared" si="180"/>
        <v>1</v>
      </c>
      <c r="AS312" s="120">
        <f t="shared" si="180"/>
        <v>0</v>
      </c>
      <c r="AT312" s="120">
        <f t="shared" si="180"/>
        <v>0</v>
      </c>
      <c r="AU312" s="120">
        <f t="shared" si="180"/>
        <v>0</v>
      </c>
      <c r="AV312" s="120">
        <f t="shared" si="180"/>
        <v>0</v>
      </c>
      <c r="AW312" s="120">
        <f t="shared" si="180"/>
        <v>0</v>
      </c>
      <c r="AX312" s="120">
        <f t="shared" si="180"/>
        <v>0</v>
      </c>
      <c r="AY312" s="120">
        <f t="shared" si="178"/>
        <v>6</v>
      </c>
      <c r="AZ312" s="20" t="s">
        <v>141</v>
      </c>
    </row>
    <row r="313" spans="1:52">
      <c r="A313" s="120" t="s">
        <v>156</v>
      </c>
      <c r="B313" s="120">
        <f t="shared" si="179"/>
        <v>1</v>
      </c>
      <c r="C313" s="120">
        <f t="shared" si="179"/>
        <v>0</v>
      </c>
      <c r="D313" s="120">
        <f t="shared" si="179"/>
        <v>1</v>
      </c>
      <c r="E313" s="120">
        <f t="shared" si="179"/>
        <v>1</v>
      </c>
      <c r="F313" s="120">
        <f t="shared" si="179"/>
        <v>1</v>
      </c>
      <c r="G313" s="120">
        <f t="shared" si="179"/>
        <v>1</v>
      </c>
      <c r="H313" s="120">
        <f t="shared" si="179"/>
        <v>1</v>
      </c>
      <c r="I313" s="120">
        <f t="shared" si="179"/>
        <v>0</v>
      </c>
      <c r="J313" s="120">
        <f t="shared" si="179"/>
        <v>0</v>
      </c>
      <c r="K313" s="120">
        <f t="shared" si="179"/>
        <v>0</v>
      </c>
      <c r="L313" s="120">
        <f t="shared" si="179"/>
        <v>0</v>
      </c>
      <c r="M313" s="120">
        <f t="shared" si="179"/>
        <v>0</v>
      </c>
      <c r="N313" s="120">
        <f t="shared" si="179"/>
        <v>1</v>
      </c>
      <c r="O313" s="120">
        <f t="shared" si="179"/>
        <v>1</v>
      </c>
      <c r="P313" s="120">
        <f t="shared" si="179"/>
        <v>1</v>
      </c>
      <c r="Q313" s="120">
        <f t="shared" ref="Q313:Y313" si="181">IF(IFERROR(FIND($A$301,Q16,1),0)=0,0,1)</f>
        <v>0</v>
      </c>
      <c r="R313" s="120">
        <f t="shared" si="181"/>
        <v>1</v>
      </c>
      <c r="S313" s="120">
        <f t="shared" si="181"/>
        <v>0</v>
      </c>
      <c r="T313" s="120">
        <f t="shared" si="181"/>
        <v>1</v>
      </c>
      <c r="U313" s="120">
        <f t="shared" si="181"/>
        <v>0</v>
      </c>
      <c r="V313" s="120">
        <f t="shared" si="181"/>
        <v>0</v>
      </c>
      <c r="W313" s="120">
        <f t="shared" si="181"/>
        <v>0</v>
      </c>
      <c r="X313" s="120">
        <f t="shared" si="181"/>
        <v>1</v>
      </c>
      <c r="Y313" s="120">
        <f t="shared" si="181"/>
        <v>0</v>
      </c>
      <c r="AA313" s="120">
        <f t="shared" ref="AA313:AP328" si="182">IF(B313=0,0,B313/AA16)</f>
        <v>1</v>
      </c>
      <c r="AB313" s="120">
        <f t="shared" si="182"/>
        <v>0</v>
      </c>
      <c r="AC313" s="120">
        <f t="shared" si="182"/>
        <v>1</v>
      </c>
      <c r="AD313" s="120">
        <f t="shared" si="182"/>
        <v>1</v>
      </c>
      <c r="AE313" s="120">
        <f t="shared" si="182"/>
        <v>1</v>
      </c>
      <c r="AF313" s="120">
        <f t="shared" si="182"/>
        <v>1</v>
      </c>
      <c r="AG313" s="120">
        <f t="shared" si="182"/>
        <v>1</v>
      </c>
      <c r="AH313" s="120">
        <f t="shared" si="182"/>
        <v>0</v>
      </c>
      <c r="AI313" s="120">
        <f t="shared" si="182"/>
        <v>0</v>
      </c>
      <c r="AJ313" s="120">
        <f t="shared" si="182"/>
        <v>0</v>
      </c>
      <c r="AK313" s="120">
        <f t="shared" si="182"/>
        <v>0</v>
      </c>
      <c r="AL313" s="120">
        <f t="shared" si="182"/>
        <v>0</v>
      </c>
      <c r="AM313" s="120">
        <f t="shared" si="182"/>
        <v>1</v>
      </c>
      <c r="AN313" s="120">
        <f t="shared" si="182"/>
        <v>1</v>
      </c>
      <c r="AO313" s="120">
        <f t="shared" si="182"/>
        <v>1</v>
      </c>
      <c r="AP313" s="120">
        <f t="shared" si="180"/>
        <v>0</v>
      </c>
      <c r="AQ313" s="120">
        <f t="shared" si="180"/>
        <v>1</v>
      </c>
      <c r="AR313" s="120">
        <f t="shared" si="180"/>
        <v>0</v>
      </c>
      <c r="AS313" s="120">
        <f t="shared" si="180"/>
        <v>1</v>
      </c>
      <c r="AT313" s="120">
        <f t="shared" si="180"/>
        <v>0</v>
      </c>
      <c r="AU313" s="120">
        <f t="shared" si="180"/>
        <v>0</v>
      </c>
      <c r="AV313" s="120">
        <f t="shared" si="180"/>
        <v>0</v>
      </c>
      <c r="AW313" s="120">
        <f t="shared" si="180"/>
        <v>1</v>
      </c>
      <c r="AX313" s="120">
        <f t="shared" si="180"/>
        <v>0</v>
      </c>
      <c r="AY313" s="120">
        <f t="shared" si="178"/>
        <v>12</v>
      </c>
      <c r="AZ313" s="20" t="s">
        <v>141</v>
      </c>
    </row>
    <row r="314" spans="1:52">
      <c r="A314" s="120" t="s">
        <v>157</v>
      </c>
      <c r="B314" s="120">
        <f t="shared" ref="B314:Y324" si="183">IF(IFERROR(FIND($A$301,B17,1),0)=0,0,1)</f>
        <v>0</v>
      </c>
      <c r="C314" s="120">
        <f t="shared" si="183"/>
        <v>0</v>
      </c>
      <c r="D314" s="120">
        <f t="shared" si="183"/>
        <v>0</v>
      </c>
      <c r="E314" s="120">
        <f t="shared" si="183"/>
        <v>1</v>
      </c>
      <c r="F314" s="120">
        <f t="shared" si="183"/>
        <v>1</v>
      </c>
      <c r="G314" s="120">
        <f t="shared" si="183"/>
        <v>1</v>
      </c>
      <c r="H314" s="120">
        <f t="shared" si="183"/>
        <v>1</v>
      </c>
      <c r="I314" s="120">
        <f t="shared" si="183"/>
        <v>0</v>
      </c>
      <c r="J314" s="120">
        <f t="shared" si="183"/>
        <v>0</v>
      </c>
      <c r="K314" s="120">
        <f t="shared" si="183"/>
        <v>0</v>
      </c>
      <c r="L314" s="120">
        <f t="shared" si="183"/>
        <v>1</v>
      </c>
      <c r="M314" s="120">
        <f t="shared" si="183"/>
        <v>1</v>
      </c>
      <c r="N314" s="120">
        <f t="shared" si="183"/>
        <v>0</v>
      </c>
      <c r="O314" s="120">
        <f t="shared" si="183"/>
        <v>1</v>
      </c>
      <c r="P314" s="120">
        <f t="shared" si="183"/>
        <v>1</v>
      </c>
      <c r="Q314" s="120">
        <f t="shared" si="183"/>
        <v>1</v>
      </c>
      <c r="R314" s="120">
        <f t="shared" si="183"/>
        <v>0</v>
      </c>
      <c r="S314" s="120">
        <f t="shared" si="183"/>
        <v>0</v>
      </c>
      <c r="T314" s="120">
        <f t="shared" si="183"/>
        <v>1</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1</v>
      </c>
      <c r="AE314" s="120">
        <f t="shared" si="182"/>
        <v>0.5</v>
      </c>
      <c r="AF314" s="120">
        <f t="shared" si="182"/>
        <v>0.5</v>
      </c>
      <c r="AG314" s="120">
        <f t="shared" si="182"/>
        <v>1</v>
      </c>
      <c r="AH314" s="120">
        <f t="shared" si="182"/>
        <v>0</v>
      </c>
      <c r="AI314" s="120">
        <f t="shared" si="182"/>
        <v>0</v>
      </c>
      <c r="AJ314" s="120">
        <f t="shared" si="182"/>
        <v>0</v>
      </c>
      <c r="AK314" s="120">
        <f t="shared" si="182"/>
        <v>1</v>
      </c>
      <c r="AL314" s="120">
        <f t="shared" si="182"/>
        <v>1</v>
      </c>
      <c r="AM314" s="120">
        <f t="shared" si="182"/>
        <v>0</v>
      </c>
      <c r="AN314" s="120">
        <f t="shared" si="182"/>
        <v>0.5</v>
      </c>
      <c r="AO314" s="120">
        <f t="shared" si="182"/>
        <v>1</v>
      </c>
      <c r="AP314" s="120">
        <f t="shared" si="180"/>
        <v>1</v>
      </c>
      <c r="AQ314" s="120">
        <f t="shared" si="180"/>
        <v>0</v>
      </c>
      <c r="AR314" s="120">
        <f t="shared" si="180"/>
        <v>0</v>
      </c>
      <c r="AS314" s="120">
        <f t="shared" si="180"/>
        <v>1</v>
      </c>
      <c r="AT314" s="120">
        <f t="shared" si="180"/>
        <v>0</v>
      </c>
      <c r="AU314" s="120">
        <f t="shared" si="180"/>
        <v>0</v>
      </c>
      <c r="AV314" s="120">
        <f t="shared" si="180"/>
        <v>0</v>
      </c>
      <c r="AW314" s="120">
        <f t="shared" si="180"/>
        <v>0</v>
      </c>
      <c r="AX314" s="120">
        <f t="shared" si="180"/>
        <v>0</v>
      </c>
      <c r="AY314" s="120">
        <f t="shared" si="178"/>
        <v>8.5</v>
      </c>
      <c r="AZ314" s="20" t="s">
        <v>141</v>
      </c>
    </row>
    <row r="315" spans="1:52">
      <c r="A315" s="120" t="s">
        <v>158</v>
      </c>
      <c r="B315" s="120">
        <f t="shared" si="183"/>
        <v>1</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1</v>
      </c>
      <c r="L315" s="120">
        <f t="shared" si="183"/>
        <v>0</v>
      </c>
      <c r="M315" s="120">
        <f t="shared" si="183"/>
        <v>0</v>
      </c>
      <c r="N315" s="120">
        <f t="shared" si="183"/>
        <v>1</v>
      </c>
      <c r="O315" s="120">
        <f t="shared" si="183"/>
        <v>1</v>
      </c>
      <c r="P315" s="120">
        <f t="shared" si="183"/>
        <v>0</v>
      </c>
      <c r="Q315" s="120">
        <f t="shared" si="183"/>
        <v>0</v>
      </c>
      <c r="R315" s="120">
        <f t="shared" si="183"/>
        <v>1</v>
      </c>
      <c r="S315" s="120">
        <f t="shared" si="183"/>
        <v>1</v>
      </c>
      <c r="T315" s="120">
        <f t="shared" si="183"/>
        <v>1</v>
      </c>
      <c r="U315" s="120">
        <f t="shared" si="183"/>
        <v>0</v>
      </c>
      <c r="V315" s="120">
        <f t="shared" si="183"/>
        <v>0</v>
      </c>
      <c r="W315" s="120">
        <f t="shared" si="183"/>
        <v>0</v>
      </c>
      <c r="X315" s="120">
        <f t="shared" si="183"/>
        <v>0</v>
      </c>
      <c r="Y315" s="120">
        <f t="shared" si="183"/>
        <v>0</v>
      </c>
      <c r="AA315" s="120">
        <f t="shared" si="182"/>
        <v>1</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1</v>
      </c>
      <c r="AK315" s="120">
        <f t="shared" si="182"/>
        <v>0</v>
      </c>
      <c r="AL315" s="120">
        <f t="shared" si="182"/>
        <v>0</v>
      </c>
      <c r="AM315" s="120">
        <f t="shared" si="182"/>
        <v>1</v>
      </c>
      <c r="AN315" s="120">
        <f t="shared" si="182"/>
        <v>1</v>
      </c>
      <c r="AO315" s="120">
        <f t="shared" si="182"/>
        <v>0</v>
      </c>
      <c r="AP315" s="120">
        <f t="shared" si="180"/>
        <v>0</v>
      </c>
      <c r="AQ315" s="120">
        <f t="shared" si="180"/>
        <v>1</v>
      </c>
      <c r="AR315" s="120">
        <f t="shared" si="180"/>
        <v>1</v>
      </c>
      <c r="AS315" s="120">
        <f t="shared" si="180"/>
        <v>1</v>
      </c>
      <c r="AT315" s="120">
        <f t="shared" si="180"/>
        <v>0</v>
      </c>
      <c r="AU315" s="120">
        <f t="shared" si="180"/>
        <v>0</v>
      </c>
      <c r="AV315" s="120">
        <f t="shared" si="180"/>
        <v>0</v>
      </c>
      <c r="AW315" s="120">
        <f t="shared" si="180"/>
        <v>0</v>
      </c>
      <c r="AX315" s="120">
        <f t="shared" si="180"/>
        <v>0</v>
      </c>
      <c r="AY315" s="120">
        <f t="shared" si="178"/>
        <v>7</v>
      </c>
      <c r="AZ315" s="20" t="s">
        <v>141</v>
      </c>
    </row>
    <row r="316" spans="1:52">
      <c r="A316" s="120" t="s">
        <v>159</v>
      </c>
      <c r="B316" s="120">
        <f t="shared" si="183"/>
        <v>1</v>
      </c>
      <c r="C316" s="120">
        <f t="shared" si="183"/>
        <v>0</v>
      </c>
      <c r="D316" s="120">
        <f t="shared" si="183"/>
        <v>1</v>
      </c>
      <c r="E316" s="120">
        <f t="shared" si="183"/>
        <v>1</v>
      </c>
      <c r="F316" s="120">
        <f t="shared" si="183"/>
        <v>1</v>
      </c>
      <c r="G316" s="120">
        <f t="shared" si="183"/>
        <v>0</v>
      </c>
      <c r="H316" s="120">
        <f t="shared" si="183"/>
        <v>0</v>
      </c>
      <c r="I316" s="120">
        <f t="shared" si="183"/>
        <v>0</v>
      </c>
      <c r="J316" s="120">
        <f t="shared" si="183"/>
        <v>0</v>
      </c>
      <c r="K316" s="120">
        <f t="shared" si="183"/>
        <v>0</v>
      </c>
      <c r="L316" s="120">
        <f t="shared" si="183"/>
        <v>0</v>
      </c>
      <c r="M316" s="120">
        <f t="shared" si="183"/>
        <v>0</v>
      </c>
      <c r="N316" s="120">
        <f t="shared" si="183"/>
        <v>1</v>
      </c>
      <c r="O316" s="120">
        <f t="shared" si="183"/>
        <v>1</v>
      </c>
      <c r="P316" s="120">
        <f t="shared" si="183"/>
        <v>0</v>
      </c>
      <c r="Q316" s="120">
        <f t="shared" si="183"/>
        <v>1</v>
      </c>
      <c r="R316" s="120">
        <f t="shared" si="183"/>
        <v>1</v>
      </c>
      <c r="S316" s="120">
        <f t="shared" si="183"/>
        <v>1</v>
      </c>
      <c r="T316" s="120">
        <f t="shared" si="183"/>
        <v>0</v>
      </c>
      <c r="U316" s="120">
        <f t="shared" si="183"/>
        <v>0</v>
      </c>
      <c r="V316" s="120">
        <f t="shared" si="183"/>
        <v>0</v>
      </c>
      <c r="W316" s="120">
        <f t="shared" si="183"/>
        <v>0</v>
      </c>
      <c r="X316" s="120">
        <f t="shared" si="183"/>
        <v>0</v>
      </c>
      <c r="Y316" s="120">
        <f t="shared" si="183"/>
        <v>0</v>
      </c>
      <c r="AA316" s="120">
        <f t="shared" si="182"/>
        <v>1</v>
      </c>
      <c r="AB316" s="120">
        <f t="shared" si="182"/>
        <v>0</v>
      </c>
      <c r="AC316" s="120">
        <f t="shared" si="182"/>
        <v>1</v>
      </c>
      <c r="AD316" s="120">
        <f t="shared" si="182"/>
        <v>1</v>
      </c>
      <c r="AE316" s="120">
        <f t="shared" si="182"/>
        <v>1</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1</v>
      </c>
      <c r="AN316" s="120">
        <f t="shared" si="182"/>
        <v>1</v>
      </c>
      <c r="AO316" s="120">
        <f t="shared" si="182"/>
        <v>0</v>
      </c>
      <c r="AP316" s="120">
        <f t="shared" si="180"/>
        <v>1</v>
      </c>
      <c r="AQ316" s="120">
        <f t="shared" si="180"/>
        <v>1</v>
      </c>
      <c r="AR316" s="120">
        <f t="shared" si="180"/>
        <v>1</v>
      </c>
      <c r="AS316" s="120">
        <f t="shared" si="180"/>
        <v>0</v>
      </c>
      <c r="AT316" s="120">
        <f t="shared" si="180"/>
        <v>0</v>
      </c>
      <c r="AU316" s="120">
        <f t="shared" si="180"/>
        <v>0</v>
      </c>
      <c r="AV316" s="120">
        <f t="shared" si="180"/>
        <v>0</v>
      </c>
      <c r="AW316" s="120">
        <f t="shared" si="180"/>
        <v>0</v>
      </c>
      <c r="AX316" s="120">
        <f t="shared" si="180"/>
        <v>0</v>
      </c>
      <c r="AY316" s="120">
        <f t="shared" si="178"/>
        <v>9</v>
      </c>
      <c r="AZ316" s="20" t="s">
        <v>141</v>
      </c>
    </row>
    <row r="317" spans="1:52">
      <c r="A317" s="120" t="s">
        <v>160</v>
      </c>
      <c r="B317" s="120">
        <f t="shared" si="183"/>
        <v>0</v>
      </c>
      <c r="C317" s="120">
        <f t="shared" si="183"/>
        <v>0</v>
      </c>
      <c r="D317" s="120">
        <f t="shared" si="183"/>
        <v>1</v>
      </c>
      <c r="E317" s="120">
        <f t="shared" si="183"/>
        <v>1</v>
      </c>
      <c r="F317" s="120">
        <f t="shared" si="183"/>
        <v>0</v>
      </c>
      <c r="G317" s="120">
        <f t="shared" si="183"/>
        <v>0</v>
      </c>
      <c r="H317" s="120">
        <f t="shared" si="183"/>
        <v>0</v>
      </c>
      <c r="I317" s="120">
        <f t="shared" si="183"/>
        <v>1</v>
      </c>
      <c r="J317" s="120">
        <f t="shared" si="183"/>
        <v>0</v>
      </c>
      <c r="K317" s="120">
        <f t="shared" si="183"/>
        <v>0</v>
      </c>
      <c r="L317" s="120">
        <f t="shared" si="183"/>
        <v>1</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1</v>
      </c>
      <c r="AD317" s="120">
        <f t="shared" si="182"/>
        <v>1</v>
      </c>
      <c r="AE317" s="120">
        <f t="shared" si="182"/>
        <v>0</v>
      </c>
      <c r="AF317" s="120">
        <f t="shared" si="182"/>
        <v>0</v>
      </c>
      <c r="AG317" s="120">
        <f t="shared" si="182"/>
        <v>0</v>
      </c>
      <c r="AH317" s="120">
        <f t="shared" si="182"/>
        <v>1</v>
      </c>
      <c r="AI317" s="120">
        <f t="shared" si="182"/>
        <v>0</v>
      </c>
      <c r="AJ317" s="120">
        <f t="shared" si="182"/>
        <v>0</v>
      </c>
      <c r="AK317" s="120">
        <f t="shared" si="182"/>
        <v>1</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4</v>
      </c>
      <c r="AZ317" s="20" t="s">
        <v>141</v>
      </c>
    </row>
    <row r="318" spans="1:52">
      <c r="A318" s="120" t="s">
        <v>161</v>
      </c>
      <c r="B318" s="120">
        <f t="shared" si="183"/>
        <v>0</v>
      </c>
      <c r="C318" s="120">
        <f t="shared" si="183"/>
        <v>0</v>
      </c>
      <c r="D318" s="120">
        <f t="shared" si="183"/>
        <v>1</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1</v>
      </c>
      <c r="AA318" s="120">
        <f t="shared" si="182"/>
        <v>0</v>
      </c>
      <c r="AB318" s="120">
        <f t="shared" si="182"/>
        <v>0</v>
      </c>
      <c r="AC318" s="120">
        <f t="shared" si="182"/>
        <v>1</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1</v>
      </c>
      <c r="AY318" s="120">
        <f t="shared" si="178"/>
        <v>2</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1</v>
      </c>
      <c r="I319" s="120">
        <f t="shared" si="183"/>
        <v>0</v>
      </c>
      <c r="J319" s="120">
        <f t="shared" si="183"/>
        <v>0</v>
      </c>
      <c r="K319" s="120">
        <f t="shared" si="183"/>
        <v>0</v>
      </c>
      <c r="L319" s="120">
        <f t="shared" si="183"/>
        <v>1</v>
      </c>
      <c r="M319" s="120">
        <f t="shared" si="183"/>
        <v>1</v>
      </c>
      <c r="N319" s="120">
        <f t="shared" si="183"/>
        <v>1</v>
      </c>
      <c r="O319" s="120">
        <f t="shared" si="183"/>
        <v>1</v>
      </c>
      <c r="P319" s="120">
        <f t="shared" si="183"/>
        <v>0</v>
      </c>
      <c r="Q319" s="120">
        <f t="shared" si="183"/>
        <v>0</v>
      </c>
      <c r="R319" s="120">
        <f t="shared" si="183"/>
        <v>1</v>
      </c>
      <c r="S319" s="120">
        <f t="shared" si="183"/>
        <v>1</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1</v>
      </c>
      <c r="AH319" s="120">
        <f t="shared" si="182"/>
        <v>0</v>
      </c>
      <c r="AI319" s="120">
        <f t="shared" si="182"/>
        <v>0</v>
      </c>
      <c r="AJ319" s="120">
        <f t="shared" si="182"/>
        <v>0</v>
      </c>
      <c r="AK319" s="120">
        <f t="shared" si="182"/>
        <v>1</v>
      </c>
      <c r="AL319" s="120">
        <f t="shared" si="182"/>
        <v>1</v>
      </c>
      <c r="AM319" s="120">
        <f t="shared" si="182"/>
        <v>1</v>
      </c>
      <c r="AN319" s="120">
        <f t="shared" si="182"/>
        <v>1</v>
      </c>
      <c r="AO319" s="120">
        <f t="shared" si="182"/>
        <v>0</v>
      </c>
      <c r="AP319" s="120">
        <f t="shared" si="180"/>
        <v>0</v>
      </c>
      <c r="AQ319" s="120">
        <f t="shared" si="180"/>
        <v>1</v>
      </c>
      <c r="AR319" s="120">
        <f t="shared" si="180"/>
        <v>1</v>
      </c>
      <c r="AS319" s="120">
        <f t="shared" si="180"/>
        <v>0</v>
      </c>
      <c r="AT319" s="120">
        <f t="shared" si="180"/>
        <v>0</v>
      </c>
      <c r="AU319" s="120">
        <f t="shared" si="180"/>
        <v>0</v>
      </c>
      <c r="AV319" s="120">
        <f t="shared" si="180"/>
        <v>0</v>
      </c>
      <c r="AW319" s="120">
        <f t="shared" si="180"/>
        <v>0</v>
      </c>
      <c r="AX319" s="120">
        <f t="shared" si="180"/>
        <v>0</v>
      </c>
      <c r="AY319" s="120">
        <f t="shared" si="178"/>
        <v>7</v>
      </c>
      <c r="AZ319" s="20" t="s">
        <v>141</v>
      </c>
    </row>
    <row r="320" spans="1:52">
      <c r="A320" s="120" t="s">
        <v>163</v>
      </c>
      <c r="B320" s="120">
        <f t="shared" si="183"/>
        <v>0</v>
      </c>
      <c r="C320" s="120">
        <f t="shared" si="183"/>
        <v>0</v>
      </c>
      <c r="D320" s="120">
        <f t="shared" si="183"/>
        <v>1</v>
      </c>
      <c r="E320" s="120">
        <f t="shared" si="183"/>
        <v>1</v>
      </c>
      <c r="F320" s="120">
        <f t="shared" si="183"/>
        <v>0</v>
      </c>
      <c r="G320" s="120">
        <f t="shared" si="183"/>
        <v>1</v>
      </c>
      <c r="H320" s="120">
        <f t="shared" si="183"/>
        <v>1</v>
      </c>
      <c r="I320" s="120">
        <f t="shared" si="183"/>
        <v>0</v>
      </c>
      <c r="J320" s="120">
        <f t="shared" si="183"/>
        <v>0</v>
      </c>
      <c r="K320" s="120">
        <f t="shared" si="183"/>
        <v>1</v>
      </c>
      <c r="L320" s="120">
        <f t="shared" si="183"/>
        <v>1</v>
      </c>
      <c r="M320" s="120">
        <f t="shared" si="183"/>
        <v>1</v>
      </c>
      <c r="N320" s="120">
        <f t="shared" si="183"/>
        <v>1</v>
      </c>
      <c r="O320" s="120">
        <f t="shared" si="183"/>
        <v>1</v>
      </c>
      <c r="P320" s="120">
        <f t="shared" si="183"/>
        <v>0</v>
      </c>
      <c r="Q320" s="120">
        <f t="shared" si="183"/>
        <v>1</v>
      </c>
      <c r="R320" s="120">
        <f t="shared" si="183"/>
        <v>1</v>
      </c>
      <c r="S320" s="120">
        <f t="shared" si="183"/>
        <v>1</v>
      </c>
      <c r="T320" s="120">
        <f t="shared" si="183"/>
        <v>0</v>
      </c>
      <c r="U320" s="120">
        <f t="shared" si="183"/>
        <v>0</v>
      </c>
      <c r="V320" s="120">
        <f t="shared" si="183"/>
        <v>0</v>
      </c>
      <c r="W320" s="120">
        <f t="shared" si="183"/>
        <v>0</v>
      </c>
      <c r="X320" s="120">
        <f t="shared" si="183"/>
        <v>0</v>
      </c>
      <c r="Y320" s="120">
        <f t="shared" si="183"/>
        <v>1</v>
      </c>
      <c r="AA320" s="120">
        <f t="shared" si="182"/>
        <v>0</v>
      </c>
      <c r="AB320" s="120">
        <f t="shared" si="182"/>
        <v>0</v>
      </c>
      <c r="AC320" s="120">
        <f t="shared" si="182"/>
        <v>1</v>
      </c>
      <c r="AD320" s="120">
        <f t="shared" si="182"/>
        <v>1</v>
      </c>
      <c r="AE320" s="120">
        <f t="shared" si="182"/>
        <v>0</v>
      </c>
      <c r="AF320" s="120">
        <f t="shared" si="182"/>
        <v>1</v>
      </c>
      <c r="AG320" s="120">
        <f t="shared" si="182"/>
        <v>1</v>
      </c>
      <c r="AH320" s="120">
        <f t="shared" si="182"/>
        <v>0</v>
      </c>
      <c r="AI320" s="120">
        <f t="shared" si="182"/>
        <v>0</v>
      </c>
      <c r="AJ320" s="120">
        <f t="shared" si="182"/>
        <v>1</v>
      </c>
      <c r="AK320" s="120">
        <f t="shared" si="182"/>
        <v>1</v>
      </c>
      <c r="AL320" s="120">
        <f t="shared" si="182"/>
        <v>0.5</v>
      </c>
      <c r="AM320" s="120">
        <f t="shared" si="182"/>
        <v>1</v>
      </c>
      <c r="AN320" s="120">
        <f t="shared" si="182"/>
        <v>0.5</v>
      </c>
      <c r="AO320" s="120">
        <f t="shared" si="182"/>
        <v>0</v>
      </c>
      <c r="AP320" s="120">
        <f t="shared" si="180"/>
        <v>1</v>
      </c>
      <c r="AQ320" s="120">
        <f t="shared" si="180"/>
        <v>1</v>
      </c>
      <c r="AR320" s="120">
        <f t="shared" si="180"/>
        <v>1</v>
      </c>
      <c r="AS320" s="120">
        <f t="shared" si="180"/>
        <v>0</v>
      </c>
      <c r="AT320" s="120">
        <f t="shared" si="180"/>
        <v>0</v>
      </c>
      <c r="AU320" s="120">
        <f t="shared" si="180"/>
        <v>0</v>
      </c>
      <c r="AV320" s="120">
        <f t="shared" si="180"/>
        <v>0</v>
      </c>
      <c r="AW320" s="120">
        <f t="shared" si="180"/>
        <v>0</v>
      </c>
      <c r="AX320" s="120">
        <f t="shared" si="180"/>
        <v>1</v>
      </c>
      <c r="AY320" s="120">
        <f t="shared" si="178"/>
        <v>12</v>
      </c>
      <c r="AZ320" s="20" t="s">
        <v>141</v>
      </c>
    </row>
    <row r="321" spans="1:52">
      <c r="A321" s="120" t="s">
        <v>164</v>
      </c>
      <c r="B321" s="120">
        <f t="shared" si="183"/>
        <v>0</v>
      </c>
      <c r="C321" s="120">
        <f t="shared" si="183"/>
        <v>1</v>
      </c>
      <c r="D321" s="120">
        <f t="shared" si="183"/>
        <v>0</v>
      </c>
      <c r="E321" s="120">
        <f t="shared" si="183"/>
        <v>1</v>
      </c>
      <c r="F321" s="120">
        <f t="shared" si="183"/>
        <v>1</v>
      </c>
      <c r="G321" s="120">
        <f t="shared" si="183"/>
        <v>0</v>
      </c>
      <c r="H321" s="120">
        <f t="shared" si="183"/>
        <v>0</v>
      </c>
      <c r="I321" s="120">
        <f t="shared" si="183"/>
        <v>1</v>
      </c>
      <c r="J321" s="120">
        <f t="shared" si="183"/>
        <v>1</v>
      </c>
      <c r="K321" s="120">
        <f t="shared" si="183"/>
        <v>1</v>
      </c>
      <c r="L321" s="120">
        <f t="shared" si="183"/>
        <v>1</v>
      </c>
      <c r="M321" s="120">
        <f t="shared" si="183"/>
        <v>0</v>
      </c>
      <c r="N321" s="120">
        <f t="shared" si="183"/>
        <v>0</v>
      </c>
      <c r="O321" s="120">
        <f t="shared" si="183"/>
        <v>0</v>
      </c>
      <c r="P321" s="120">
        <f t="shared" si="183"/>
        <v>0</v>
      </c>
      <c r="Q321" s="120">
        <f t="shared" si="183"/>
        <v>1</v>
      </c>
      <c r="R321" s="120">
        <f t="shared" si="183"/>
        <v>0</v>
      </c>
      <c r="S321" s="120">
        <f t="shared" si="183"/>
        <v>0</v>
      </c>
      <c r="T321" s="120">
        <f t="shared" si="183"/>
        <v>1</v>
      </c>
      <c r="U321" s="120">
        <f t="shared" si="183"/>
        <v>0</v>
      </c>
      <c r="V321" s="120">
        <f t="shared" si="183"/>
        <v>1</v>
      </c>
      <c r="W321" s="120">
        <f t="shared" si="183"/>
        <v>1</v>
      </c>
      <c r="X321" s="120">
        <f t="shared" si="183"/>
        <v>0</v>
      </c>
      <c r="Y321" s="120">
        <f t="shared" si="183"/>
        <v>0</v>
      </c>
      <c r="AA321" s="120">
        <f t="shared" si="182"/>
        <v>0</v>
      </c>
      <c r="AB321" s="120">
        <f t="shared" si="182"/>
        <v>1</v>
      </c>
      <c r="AC321" s="120">
        <f t="shared" si="182"/>
        <v>0</v>
      </c>
      <c r="AD321" s="120">
        <f t="shared" si="182"/>
        <v>1</v>
      </c>
      <c r="AE321" s="120">
        <f t="shared" si="182"/>
        <v>1</v>
      </c>
      <c r="AF321" s="120">
        <f t="shared" si="182"/>
        <v>0</v>
      </c>
      <c r="AG321" s="120">
        <f t="shared" si="182"/>
        <v>0</v>
      </c>
      <c r="AH321" s="120">
        <f t="shared" si="182"/>
        <v>1</v>
      </c>
      <c r="AI321" s="120">
        <f t="shared" si="182"/>
        <v>1</v>
      </c>
      <c r="AJ321" s="120">
        <f t="shared" si="182"/>
        <v>1</v>
      </c>
      <c r="AK321" s="120">
        <f t="shared" si="182"/>
        <v>1</v>
      </c>
      <c r="AL321" s="120">
        <f t="shared" si="182"/>
        <v>0</v>
      </c>
      <c r="AM321" s="120">
        <f t="shared" si="182"/>
        <v>0</v>
      </c>
      <c r="AN321" s="120">
        <f t="shared" si="182"/>
        <v>0</v>
      </c>
      <c r="AO321" s="120">
        <f t="shared" si="182"/>
        <v>0</v>
      </c>
      <c r="AP321" s="120">
        <f t="shared" si="180"/>
        <v>0.5</v>
      </c>
      <c r="AQ321" s="120">
        <f t="shared" si="180"/>
        <v>0</v>
      </c>
      <c r="AR321" s="120">
        <f t="shared" si="180"/>
        <v>0</v>
      </c>
      <c r="AS321" s="120">
        <f t="shared" si="180"/>
        <v>1</v>
      </c>
      <c r="AT321" s="120">
        <f t="shared" si="180"/>
        <v>0</v>
      </c>
      <c r="AU321" s="120">
        <f t="shared" si="180"/>
        <v>1</v>
      </c>
      <c r="AV321" s="120">
        <f t="shared" si="180"/>
        <v>1</v>
      </c>
      <c r="AW321" s="120">
        <f t="shared" si="180"/>
        <v>0</v>
      </c>
      <c r="AX321" s="120">
        <f t="shared" si="180"/>
        <v>0</v>
      </c>
      <c r="AY321" s="120">
        <f t="shared" si="178"/>
        <v>10.5</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1</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1</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1</v>
      </c>
      <c r="AZ322" s="20" t="s">
        <v>141</v>
      </c>
    </row>
    <row r="323" spans="1:52">
      <c r="A323" s="120" t="s">
        <v>166</v>
      </c>
      <c r="B323" s="120">
        <f t="shared" si="183"/>
        <v>1</v>
      </c>
      <c r="C323" s="120">
        <f t="shared" si="183"/>
        <v>1</v>
      </c>
      <c r="D323" s="120">
        <f t="shared" si="183"/>
        <v>1</v>
      </c>
      <c r="E323" s="120">
        <f t="shared" si="183"/>
        <v>0</v>
      </c>
      <c r="F323" s="120">
        <f t="shared" si="183"/>
        <v>0</v>
      </c>
      <c r="G323" s="120">
        <f t="shared" si="183"/>
        <v>0</v>
      </c>
      <c r="H323" s="120">
        <f t="shared" si="183"/>
        <v>0</v>
      </c>
      <c r="I323" s="120">
        <f t="shared" si="183"/>
        <v>0</v>
      </c>
      <c r="J323" s="120">
        <f t="shared" si="183"/>
        <v>0</v>
      </c>
      <c r="K323" s="120">
        <f t="shared" si="183"/>
        <v>1</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1</v>
      </c>
      <c r="AB323" s="120">
        <f t="shared" si="182"/>
        <v>0.5</v>
      </c>
      <c r="AC323" s="120">
        <f t="shared" si="182"/>
        <v>0.5</v>
      </c>
      <c r="AD323" s="120">
        <f t="shared" si="182"/>
        <v>0</v>
      </c>
      <c r="AE323" s="120">
        <f t="shared" si="182"/>
        <v>0</v>
      </c>
      <c r="AF323" s="120">
        <f t="shared" si="182"/>
        <v>0</v>
      </c>
      <c r="AG323" s="120">
        <f t="shared" si="182"/>
        <v>0</v>
      </c>
      <c r="AH323" s="120">
        <f t="shared" si="182"/>
        <v>0</v>
      </c>
      <c r="AI323" s="120">
        <f t="shared" si="182"/>
        <v>0</v>
      </c>
      <c r="AJ323" s="120">
        <f t="shared" si="182"/>
        <v>1</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3</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1</v>
      </c>
      <c r="F325" s="120">
        <f t="shared" si="185"/>
        <v>1</v>
      </c>
      <c r="G325" s="120">
        <f t="shared" si="185"/>
        <v>1</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1</v>
      </c>
      <c r="AE325" s="120">
        <f t="shared" si="182"/>
        <v>1</v>
      </c>
      <c r="AF325" s="120">
        <f t="shared" si="182"/>
        <v>1</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3</v>
      </c>
      <c r="AZ325" s="20" t="s">
        <v>141</v>
      </c>
    </row>
    <row r="326" spans="1:52">
      <c r="A326" s="120" t="s">
        <v>169</v>
      </c>
      <c r="B326" s="120">
        <f t="shared" si="185"/>
        <v>0</v>
      </c>
      <c r="C326" s="120">
        <f t="shared" si="185"/>
        <v>0</v>
      </c>
      <c r="D326" s="120">
        <f t="shared" si="185"/>
        <v>1</v>
      </c>
      <c r="E326" s="120">
        <f t="shared" si="185"/>
        <v>1</v>
      </c>
      <c r="F326" s="120">
        <f t="shared" si="185"/>
        <v>1</v>
      </c>
      <c r="G326" s="120">
        <f t="shared" si="185"/>
        <v>1</v>
      </c>
      <c r="H326" s="120">
        <f t="shared" si="185"/>
        <v>1</v>
      </c>
      <c r="I326" s="120">
        <f t="shared" si="185"/>
        <v>0</v>
      </c>
      <c r="J326" s="120">
        <f t="shared" si="185"/>
        <v>0</v>
      </c>
      <c r="K326" s="120">
        <f t="shared" si="185"/>
        <v>0</v>
      </c>
      <c r="L326" s="120">
        <f t="shared" si="185"/>
        <v>1</v>
      </c>
      <c r="M326" s="120">
        <f t="shared" si="185"/>
        <v>0</v>
      </c>
      <c r="N326" s="120">
        <f t="shared" si="185"/>
        <v>0</v>
      </c>
      <c r="O326" s="120">
        <f t="shared" si="185"/>
        <v>0</v>
      </c>
      <c r="P326" s="120">
        <f t="shared" si="185"/>
        <v>0</v>
      </c>
      <c r="Q326" s="120">
        <f t="shared" si="185"/>
        <v>1</v>
      </c>
      <c r="R326" s="120">
        <f t="shared" si="185"/>
        <v>0</v>
      </c>
      <c r="S326" s="120">
        <f t="shared" si="185"/>
        <v>1</v>
      </c>
      <c r="T326" s="120">
        <f t="shared" si="185"/>
        <v>0</v>
      </c>
      <c r="U326" s="120">
        <f t="shared" si="185"/>
        <v>0</v>
      </c>
      <c r="V326" s="120">
        <f t="shared" si="185"/>
        <v>0</v>
      </c>
      <c r="W326" s="120">
        <f t="shared" si="185"/>
        <v>0</v>
      </c>
      <c r="X326" s="120">
        <f t="shared" si="185"/>
        <v>1</v>
      </c>
      <c r="Y326" s="120">
        <f t="shared" si="185"/>
        <v>0</v>
      </c>
      <c r="AA326" s="120">
        <f t="shared" si="182"/>
        <v>0</v>
      </c>
      <c r="AB326" s="120">
        <f t="shared" si="182"/>
        <v>0</v>
      </c>
      <c r="AC326" s="120">
        <f t="shared" si="182"/>
        <v>1</v>
      </c>
      <c r="AD326" s="120">
        <f t="shared" si="182"/>
        <v>1</v>
      </c>
      <c r="AE326" s="120">
        <f t="shared" si="182"/>
        <v>1</v>
      </c>
      <c r="AF326" s="120">
        <f t="shared" si="182"/>
        <v>1</v>
      </c>
      <c r="AG326" s="120">
        <f t="shared" si="182"/>
        <v>0.5</v>
      </c>
      <c r="AH326" s="120">
        <f t="shared" si="182"/>
        <v>0</v>
      </c>
      <c r="AI326" s="120">
        <f t="shared" si="182"/>
        <v>0</v>
      </c>
      <c r="AJ326" s="120">
        <f t="shared" si="182"/>
        <v>0</v>
      </c>
      <c r="AK326" s="120">
        <f t="shared" si="182"/>
        <v>1</v>
      </c>
      <c r="AL326" s="120">
        <f t="shared" si="182"/>
        <v>0</v>
      </c>
      <c r="AM326" s="120">
        <f t="shared" si="182"/>
        <v>0</v>
      </c>
      <c r="AN326" s="120">
        <f t="shared" si="182"/>
        <v>0</v>
      </c>
      <c r="AO326" s="120">
        <f t="shared" si="182"/>
        <v>0</v>
      </c>
      <c r="AP326" s="120">
        <f t="shared" si="180"/>
        <v>1</v>
      </c>
      <c r="AQ326" s="120">
        <f t="shared" si="180"/>
        <v>0</v>
      </c>
      <c r="AR326" s="120">
        <f t="shared" si="180"/>
        <v>1</v>
      </c>
      <c r="AS326" s="120">
        <f t="shared" si="180"/>
        <v>0</v>
      </c>
      <c r="AT326" s="120">
        <f t="shared" si="180"/>
        <v>0</v>
      </c>
      <c r="AU326" s="120">
        <f t="shared" si="180"/>
        <v>0</v>
      </c>
      <c r="AV326" s="120">
        <f t="shared" si="180"/>
        <v>0</v>
      </c>
      <c r="AW326" s="120">
        <f t="shared" si="180"/>
        <v>1</v>
      </c>
      <c r="AX326" s="120">
        <f t="shared" si="180"/>
        <v>0</v>
      </c>
      <c r="AY326" s="120">
        <f t="shared" si="178"/>
        <v>8.5</v>
      </c>
      <c r="AZ326" s="20" t="s">
        <v>141</v>
      </c>
    </row>
    <row r="327" spans="1:52">
      <c r="A327" s="120" t="s">
        <v>170</v>
      </c>
      <c r="B327" s="120">
        <f t="shared" si="185"/>
        <v>1</v>
      </c>
      <c r="C327" s="120">
        <f t="shared" si="185"/>
        <v>0</v>
      </c>
      <c r="D327" s="120">
        <f t="shared" si="185"/>
        <v>0</v>
      </c>
      <c r="E327" s="120">
        <f t="shared" si="185"/>
        <v>1</v>
      </c>
      <c r="F327" s="120">
        <f t="shared" si="185"/>
        <v>1</v>
      </c>
      <c r="G327" s="120">
        <f t="shared" si="185"/>
        <v>1</v>
      </c>
      <c r="H327" s="120">
        <f t="shared" si="185"/>
        <v>1</v>
      </c>
      <c r="I327" s="120">
        <f t="shared" si="185"/>
        <v>0</v>
      </c>
      <c r="J327" s="120">
        <f t="shared" si="185"/>
        <v>0</v>
      </c>
      <c r="K327" s="120">
        <f t="shared" si="185"/>
        <v>1</v>
      </c>
      <c r="L327" s="120">
        <f t="shared" si="185"/>
        <v>0</v>
      </c>
      <c r="M327" s="120">
        <f t="shared" si="185"/>
        <v>1</v>
      </c>
      <c r="N327" s="120">
        <f t="shared" si="185"/>
        <v>0</v>
      </c>
      <c r="O327" s="120">
        <f t="shared" si="185"/>
        <v>1</v>
      </c>
      <c r="P327" s="120">
        <f t="shared" si="185"/>
        <v>0</v>
      </c>
      <c r="Q327" s="120">
        <f t="shared" si="185"/>
        <v>0</v>
      </c>
      <c r="R327" s="120">
        <f t="shared" si="185"/>
        <v>0</v>
      </c>
      <c r="S327" s="120">
        <f t="shared" si="185"/>
        <v>1</v>
      </c>
      <c r="T327" s="120">
        <f t="shared" si="185"/>
        <v>0</v>
      </c>
      <c r="U327" s="120">
        <f t="shared" si="185"/>
        <v>0</v>
      </c>
      <c r="V327" s="120">
        <f t="shared" si="185"/>
        <v>0</v>
      </c>
      <c r="W327" s="120">
        <f t="shared" si="185"/>
        <v>0</v>
      </c>
      <c r="X327" s="120">
        <f t="shared" si="185"/>
        <v>0</v>
      </c>
      <c r="Y327" s="120">
        <f t="shared" si="185"/>
        <v>0</v>
      </c>
      <c r="AA327" s="120">
        <f t="shared" si="182"/>
        <v>1</v>
      </c>
      <c r="AB327" s="120">
        <f t="shared" si="182"/>
        <v>0</v>
      </c>
      <c r="AC327" s="120">
        <f t="shared" si="182"/>
        <v>0</v>
      </c>
      <c r="AD327" s="120">
        <f t="shared" si="182"/>
        <v>1</v>
      </c>
      <c r="AE327" s="120">
        <f t="shared" si="182"/>
        <v>1</v>
      </c>
      <c r="AF327" s="120">
        <f t="shared" si="182"/>
        <v>1</v>
      </c>
      <c r="AG327" s="120">
        <f t="shared" si="182"/>
        <v>1</v>
      </c>
      <c r="AH327" s="120">
        <f t="shared" si="182"/>
        <v>0</v>
      </c>
      <c r="AI327" s="120">
        <f t="shared" si="182"/>
        <v>0</v>
      </c>
      <c r="AJ327" s="120">
        <f t="shared" si="182"/>
        <v>1</v>
      </c>
      <c r="AK327" s="120">
        <f t="shared" si="182"/>
        <v>0</v>
      </c>
      <c r="AL327" s="120">
        <f t="shared" si="182"/>
        <v>1</v>
      </c>
      <c r="AM327" s="120">
        <f t="shared" si="182"/>
        <v>0</v>
      </c>
      <c r="AN327" s="120">
        <f t="shared" si="182"/>
        <v>1</v>
      </c>
      <c r="AO327" s="120">
        <f t="shared" si="182"/>
        <v>0</v>
      </c>
      <c r="AP327" s="120">
        <f t="shared" si="180"/>
        <v>0</v>
      </c>
      <c r="AQ327" s="120">
        <f t="shared" si="180"/>
        <v>0</v>
      </c>
      <c r="AR327" s="120">
        <f t="shared" si="180"/>
        <v>1</v>
      </c>
      <c r="AS327" s="120">
        <f t="shared" si="180"/>
        <v>0</v>
      </c>
      <c r="AT327" s="120">
        <f t="shared" si="180"/>
        <v>0</v>
      </c>
      <c r="AU327" s="120">
        <f t="shared" si="180"/>
        <v>0</v>
      </c>
      <c r="AV327" s="120">
        <f t="shared" si="180"/>
        <v>0</v>
      </c>
      <c r="AW327" s="120">
        <f t="shared" si="180"/>
        <v>0</v>
      </c>
      <c r="AX327" s="120">
        <f t="shared" si="180"/>
        <v>0</v>
      </c>
      <c r="AY327" s="120">
        <f t="shared" si="178"/>
        <v>9</v>
      </c>
      <c r="AZ327" s="20" t="s">
        <v>141</v>
      </c>
    </row>
    <row r="328" spans="1:52">
      <c r="A328" s="120" t="s">
        <v>171</v>
      </c>
      <c r="B328" s="120">
        <f t="shared" si="185"/>
        <v>0</v>
      </c>
      <c r="C328" s="120">
        <f t="shared" si="185"/>
        <v>1</v>
      </c>
      <c r="D328" s="120">
        <f t="shared" si="185"/>
        <v>1</v>
      </c>
      <c r="E328" s="120">
        <f t="shared" si="185"/>
        <v>1</v>
      </c>
      <c r="F328" s="120">
        <f t="shared" si="185"/>
        <v>0</v>
      </c>
      <c r="G328" s="120">
        <f t="shared" si="185"/>
        <v>0</v>
      </c>
      <c r="H328" s="120">
        <f t="shared" si="185"/>
        <v>0</v>
      </c>
      <c r="I328" s="120">
        <f t="shared" si="185"/>
        <v>1</v>
      </c>
      <c r="J328" s="120">
        <f t="shared" si="185"/>
        <v>0</v>
      </c>
      <c r="K328" s="120">
        <f t="shared" si="185"/>
        <v>0</v>
      </c>
      <c r="L328" s="120">
        <f t="shared" si="185"/>
        <v>1</v>
      </c>
      <c r="M328" s="120">
        <f t="shared" si="185"/>
        <v>0</v>
      </c>
      <c r="N328" s="120">
        <f t="shared" si="185"/>
        <v>0</v>
      </c>
      <c r="O328" s="120">
        <f t="shared" si="185"/>
        <v>1</v>
      </c>
      <c r="P328" s="120">
        <f t="shared" si="185"/>
        <v>0</v>
      </c>
      <c r="Q328" s="120">
        <f t="shared" si="185"/>
        <v>0</v>
      </c>
      <c r="R328" s="120">
        <f t="shared" si="185"/>
        <v>0</v>
      </c>
      <c r="S328" s="120">
        <f t="shared" si="185"/>
        <v>1</v>
      </c>
      <c r="T328" s="120">
        <f t="shared" si="185"/>
        <v>0</v>
      </c>
      <c r="U328" s="120">
        <f t="shared" si="185"/>
        <v>0</v>
      </c>
      <c r="V328" s="120">
        <f t="shared" si="185"/>
        <v>0</v>
      </c>
      <c r="W328" s="120">
        <f t="shared" si="185"/>
        <v>0</v>
      </c>
      <c r="X328" s="120">
        <f t="shared" si="185"/>
        <v>0</v>
      </c>
      <c r="Y328" s="120">
        <f t="shared" si="185"/>
        <v>1</v>
      </c>
      <c r="AA328" s="120">
        <f t="shared" si="182"/>
        <v>0</v>
      </c>
      <c r="AB328" s="120">
        <f t="shared" si="182"/>
        <v>1</v>
      </c>
      <c r="AC328" s="120">
        <f t="shared" si="182"/>
        <v>1</v>
      </c>
      <c r="AD328" s="120">
        <f t="shared" si="182"/>
        <v>1</v>
      </c>
      <c r="AE328" s="120">
        <f t="shared" si="182"/>
        <v>0</v>
      </c>
      <c r="AF328" s="120">
        <f t="shared" si="182"/>
        <v>0</v>
      </c>
      <c r="AG328" s="120">
        <f t="shared" si="182"/>
        <v>0</v>
      </c>
      <c r="AH328" s="120">
        <f t="shared" si="182"/>
        <v>1</v>
      </c>
      <c r="AI328" s="120">
        <f t="shared" si="182"/>
        <v>0</v>
      </c>
      <c r="AJ328" s="120">
        <f t="shared" si="182"/>
        <v>0</v>
      </c>
      <c r="AK328" s="120">
        <f t="shared" si="182"/>
        <v>1</v>
      </c>
      <c r="AL328" s="120">
        <f t="shared" si="182"/>
        <v>0</v>
      </c>
      <c r="AM328" s="120">
        <f t="shared" si="182"/>
        <v>0</v>
      </c>
      <c r="AN328" s="120">
        <f t="shared" si="182"/>
        <v>1</v>
      </c>
      <c r="AO328" s="120">
        <f t="shared" si="182"/>
        <v>0</v>
      </c>
      <c r="AP328" s="120">
        <f t="shared" si="182"/>
        <v>0</v>
      </c>
      <c r="AQ328" s="120">
        <f t="shared" ref="AQ328:AX332" si="186">IF(R328=0,0,R328/AQ31)</f>
        <v>0</v>
      </c>
      <c r="AR328" s="120">
        <f t="shared" si="186"/>
        <v>1</v>
      </c>
      <c r="AS328" s="120">
        <f t="shared" si="186"/>
        <v>0</v>
      </c>
      <c r="AT328" s="120">
        <f t="shared" si="186"/>
        <v>0</v>
      </c>
      <c r="AU328" s="120">
        <f t="shared" si="186"/>
        <v>0</v>
      </c>
      <c r="AV328" s="120">
        <f t="shared" si="186"/>
        <v>0</v>
      </c>
      <c r="AW328" s="120">
        <f t="shared" si="186"/>
        <v>0</v>
      </c>
      <c r="AX328" s="120">
        <f t="shared" si="186"/>
        <v>1</v>
      </c>
      <c r="AY328" s="120">
        <f t="shared" si="178"/>
        <v>8</v>
      </c>
      <c r="AZ328" s="20" t="s">
        <v>141</v>
      </c>
    </row>
    <row r="329" spans="1:52">
      <c r="A329" s="120" t="s">
        <v>172</v>
      </c>
      <c r="B329" s="120">
        <f t="shared" si="185"/>
        <v>1</v>
      </c>
      <c r="C329" s="120">
        <f t="shared" si="185"/>
        <v>1</v>
      </c>
      <c r="D329" s="120">
        <f t="shared" si="185"/>
        <v>1</v>
      </c>
      <c r="E329" s="120">
        <f t="shared" si="185"/>
        <v>0</v>
      </c>
      <c r="F329" s="120">
        <f t="shared" si="185"/>
        <v>1</v>
      </c>
      <c r="G329" s="120">
        <f t="shared" si="185"/>
        <v>1</v>
      </c>
      <c r="H329" s="120">
        <f t="shared" si="185"/>
        <v>1</v>
      </c>
      <c r="I329" s="120">
        <f t="shared" si="185"/>
        <v>0</v>
      </c>
      <c r="J329" s="120">
        <f t="shared" si="185"/>
        <v>0</v>
      </c>
      <c r="K329" s="120">
        <f t="shared" si="185"/>
        <v>0</v>
      </c>
      <c r="L329" s="120">
        <f t="shared" si="185"/>
        <v>0</v>
      </c>
      <c r="M329" s="120">
        <f t="shared" si="185"/>
        <v>1</v>
      </c>
      <c r="N329" s="120">
        <f t="shared" si="185"/>
        <v>1</v>
      </c>
      <c r="O329" s="120">
        <f t="shared" si="185"/>
        <v>1</v>
      </c>
      <c r="P329" s="120">
        <f t="shared" si="185"/>
        <v>1</v>
      </c>
      <c r="Q329" s="120">
        <f t="shared" si="185"/>
        <v>1</v>
      </c>
      <c r="R329" s="120">
        <f t="shared" si="185"/>
        <v>0</v>
      </c>
      <c r="S329" s="120">
        <f t="shared" si="185"/>
        <v>0</v>
      </c>
      <c r="T329" s="120">
        <f t="shared" si="185"/>
        <v>1</v>
      </c>
      <c r="U329" s="120">
        <f t="shared" si="185"/>
        <v>0</v>
      </c>
      <c r="V329" s="120">
        <f t="shared" si="185"/>
        <v>0</v>
      </c>
      <c r="W329" s="120">
        <f t="shared" si="185"/>
        <v>0</v>
      </c>
      <c r="X329" s="120">
        <f t="shared" si="185"/>
        <v>0</v>
      </c>
      <c r="Y329" s="120">
        <f t="shared" si="185"/>
        <v>0</v>
      </c>
      <c r="AA329" s="120">
        <f t="shared" ref="AA329:AP332" si="187">IF(B329=0,0,B329/AA32)</f>
        <v>1</v>
      </c>
      <c r="AB329" s="120">
        <f t="shared" si="187"/>
        <v>1</v>
      </c>
      <c r="AC329" s="120">
        <f t="shared" si="187"/>
        <v>1</v>
      </c>
      <c r="AD329" s="120">
        <f t="shared" si="187"/>
        <v>0</v>
      </c>
      <c r="AE329" s="120">
        <f t="shared" si="187"/>
        <v>1</v>
      </c>
      <c r="AF329" s="120">
        <f t="shared" si="187"/>
        <v>1</v>
      </c>
      <c r="AG329" s="120">
        <f t="shared" si="187"/>
        <v>1</v>
      </c>
      <c r="AH329" s="120">
        <f t="shared" si="187"/>
        <v>0</v>
      </c>
      <c r="AI329" s="120">
        <f t="shared" si="187"/>
        <v>0</v>
      </c>
      <c r="AJ329" s="120">
        <f t="shared" si="187"/>
        <v>0</v>
      </c>
      <c r="AK329" s="120">
        <f t="shared" si="187"/>
        <v>0</v>
      </c>
      <c r="AL329" s="120">
        <f t="shared" si="187"/>
        <v>1</v>
      </c>
      <c r="AM329" s="120">
        <f t="shared" si="187"/>
        <v>1</v>
      </c>
      <c r="AN329" s="120">
        <f t="shared" si="187"/>
        <v>1</v>
      </c>
      <c r="AO329" s="120">
        <f t="shared" si="187"/>
        <v>1</v>
      </c>
      <c r="AP329" s="120">
        <f t="shared" si="187"/>
        <v>1</v>
      </c>
      <c r="AQ329" s="120">
        <f t="shared" si="186"/>
        <v>0</v>
      </c>
      <c r="AR329" s="120">
        <f t="shared" si="186"/>
        <v>0</v>
      </c>
      <c r="AS329" s="120">
        <f t="shared" si="186"/>
        <v>1</v>
      </c>
      <c r="AT329" s="120">
        <f t="shared" si="186"/>
        <v>0</v>
      </c>
      <c r="AU329" s="120">
        <f t="shared" si="186"/>
        <v>0</v>
      </c>
      <c r="AV329" s="120">
        <f t="shared" si="186"/>
        <v>0</v>
      </c>
      <c r="AW329" s="120">
        <f t="shared" si="186"/>
        <v>0</v>
      </c>
      <c r="AX329" s="120">
        <f t="shared" si="186"/>
        <v>0</v>
      </c>
      <c r="AY329" s="120">
        <f t="shared" si="178"/>
        <v>12</v>
      </c>
      <c r="AZ329" s="20" t="s">
        <v>141</v>
      </c>
    </row>
    <row r="330" spans="1:52">
      <c r="A330" s="120" t="s">
        <v>173</v>
      </c>
      <c r="B330" s="120">
        <f t="shared" si="185"/>
        <v>1</v>
      </c>
      <c r="C330" s="120">
        <f t="shared" si="185"/>
        <v>1</v>
      </c>
      <c r="D330" s="120">
        <f t="shared" si="185"/>
        <v>1</v>
      </c>
      <c r="E330" s="120">
        <f t="shared" si="185"/>
        <v>1</v>
      </c>
      <c r="F330" s="120">
        <f t="shared" si="185"/>
        <v>1</v>
      </c>
      <c r="G330" s="120">
        <f t="shared" si="185"/>
        <v>0</v>
      </c>
      <c r="H330" s="120">
        <f t="shared" si="185"/>
        <v>0</v>
      </c>
      <c r="I330" s="120">
        <f t="shared" si="185"/>
        <v>0</v>
      </c>
      <c r="J330" s="120">
        <f t="shared" si="185"/>
        <v>0</v>
      </c>
      <c r="K330" s="120">
        <f t="shared" si="185"/>
        <v>1</v>
      </c>
      <c r="L330" s="120">
        <f t="shared" si="185"/>
        <v>0</v>
      </c>
      <c r="M330" s="120">
        <f t="shared" si="185"/>
        <v>1</v>
      </c>
      <c r="N330" s="120">
        <f t="shared" si="185"/>
        <v>0</v>
      </c>
      <c r="O330" s="120">
        <f t="shared" si="185"/>
        <v>0</v>
      </c>
      <c r="P330" s="120">
        <f t="shared" si="185"/>
        <v>1</v>
      </c>
      <c r="Q330" s="120">
        <f t="shared" si="185"/>
        <v>1</v>
      </c>
      <c r="R330" s="120">
        <f t="shared" si="185"/>
        <v>1</v>
      </c>
      <c r="S330" s="120">
        <f t="shared" si="185"/>
        <v>1</v>
      </c>
      <c r="T330" s="120">
        <f t="shared" si="185"/>
        <v>1</v>
      </c>
      <c r="U330" s="120">
        <f t="shared" si="185"/>
        <v>0</v>
      </c>
      <c r="V330" s="120">
        <f t="shared" si="185"/>
        <v>0</v>
      </c>
      <c r="W330" s="120">
        <f t="shared" si="185"/>
        <v>0</v>
      </c>
      <c r="X330" s="120">
        <f t="shared" si="185"/>
        <v>1</v>
      </c>
      <c r="Y330" s="120">
        <f t="shared" si="185"/>
        <v>1</v>
      </c>
      <c r="AA330" s="120">
        <f t="shared" si="187"/>
        <v>1</v>
      </c>
      <c r="AB330" s="120">
        <f t="shared" si="187"/>
        <v>1</v>
      </c>
      <c r="AC330" s="120">
        <f t="shared" si="187"/>
        <v>1</v>
      </c>
      <c r="AD330" s="120">
        <f t="shared" si="187"/>
        <v>1</v>
      </c>
      <c r="AE330" s="120">
        <f t="shared" si="187"/>
        <v>1</v>
      </c>
      <c r="AF330" s="120">
        <f t="shared" si="187"/>
        <v>0</v>
      </c>
      <c r="AG330" s="120">
        <f t="shared" si="187"/>
        <v>0</v>
      </c>
      <c r="AH330" s="120">
        <f t="shared" si="187"/>
        <v>0</v>
      </c>
      <c r="AI330" s="120">
        <f t="shared" si="187"/>
        <v>0</v>
      </c>
      <c r="AJ330" s="120">
        <f t="shared" si="187"/>
        <v>1</v>
      </c>
      <c r="AK330" s="120">
        <f t="shared" si="187"/>
        <v>0</v>
      </c>
      <c r="AL330" s="120">
        <f t="shared" si="187"/>
        <v>1</v>
      </c>
      <c r="AM330" s="120">
        <f t="shared" si="187"/>
        <v>0</v>
      </c>
      <c r="AN330" s="120">
        <f t="shared" si="187"/>
        <v>0</v>
      </c>
      <c r="AO330" s="120">
        <f t="shared" si="187"/>
        <v>1</v>
      </c>
      <c r="AP330" s="120">
        <f t="shared" si="187"/>
        <v>1</v>
      </c>
      <c r="AQ330" s="120">
        <f t="shared" si="186"/>
        <v>1</v>
      </c>
      <c r="AR330" s="120">
        <f t="shared" si="186"/>
        <v>0.5</v>
      </c>
      <c r="AS330" s="120">
        <f t="shared" si="186"/>
        <v>1</v>
      </c>
      <c r="AT330" s="120">
        <f t="shared" si="186"/>
        <v>0</v>
      </c>
      <c r="AU330" s="120">
        <f t="shared" si="186"/>
        <v>0</v>
      </c>
      <c r="AV330" s="120">
        <f t="shared" si="186"/>
        <v>0</v>
      </c>
      <c r="AW330" s="120">
        <f t="shared" si="186"/>
        <v>1</v>
      </c>
      <c r="AX330" s="120">
        <f t="shared" si="186"/>
        <v>1</v>
      </c>
      <c r="AY330" s="120">
        <f t="shared" si="178"/>
        <v>13.5</v>
      </c>
      <c r="AZ330" s="20" t="s">
        <v>141</v>
      </c>
    </row>
    <row r="331" spans="1:52">
      <c r="A331" s="120" t="s">
        <v>174</v>
      </c>
      <c r="B331" s="120">
        <f t="shared" si="185"/>
        <v>0</v>
      </c>
      <c r="C331" s="120">
        <f t="shared" si="185"/>
        <v>0</v>
      </c>
      <c r="D331" s="120">
        <f t="shared" si="185"/>
        <v>0</v>
      </c>
      <c r="E331" s="120">
        <f t="shared" si="185"/>
        <v>1</v>
      </c>
      <c r="F331" s="120">
        <f t="shared" si="185"/>
        <v>1</v>
      </c>
      <c r="G331" s="120">
        <f t="shared" si="185"/>
        <v>0</v>
      </c>
      <c r="H331" s="120">
        <f t="shared" si="185"/>
        <v>1</v>
      </c>
      <c r="I331" s="120">
        <f t="shared" si="185"/>
        <v>0</v>
      </c>
      <c r="J331" s="120">
        <f t="shared" si="185"/>
        <v>1</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1</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1</v>
      </c>
      <c r="AE331" s="120">
        <f t="shared" si="187"/>
        <v>1</v>
      </c>
      <c r="AF331" s="120">
        <f t="shared" si="187"/>
        <v>0</v>
      </c>
      <c r="AG331" s="120">
        <f t="shared" si="187"/>
        <v>0.5</v>
      </c>
      <c r="AH331" s="120">
        <f t="shared" si="187"/>
        <v>0</v>
      </c>
      <c r="AI331" s="120">
        <f t="shared" si="187"/>
        <v>0.5</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0.5</v>
      </c>
      <c r="AT331" s="120">
        <f t="shared" si="186"/>
        <v>0</v>
      </c>
      <c r="AU331" s="120">
        <f t="shared" si="186"/>
        <v>0</v>
      </c>
      <c r="AV331" s="120">
        <f t="shared" si="186"/>
        <v>0</v>
      </c>
      <c r="AW331" s="120">
        <f t="shared" si="186"/>
        <v>0</v>
      </c>
      <c r="AX331" s="120">
        <f t="shared" si="186"/>
        <v>0</v>
      </c>
      <c r="AY331" s="120">
        <f t="shared" si="178"/>
        <v>3.5</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1</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1</v>
      </c>
      <c r="AW352" s="120">
        <f t="shared" si="193"/>
        <v>0</v>
      </c>
      <c r="AX352" s="120">
        <f t="shared" si="193"/>
        <v>0</v>
      </c>
      <c r="AY352" s="120">
        <f t="shared" si="191"/>
        <v>1</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1</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1</v>
      </c>
      <c r="AW361" s="120">
        <f t="shared" si="199"/>
        <v>0</v>
      </c>
      <c r="AX361" s="120">
        <f t="shared" si="199"/>
        <v>0</v>
      </c>
      <c r="AY361" s="120">
        <f t="shared" si="191"/>
        <v>1</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258</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30">
        <f>IF(B369=0,0,B369/AA5)</f>
        <v>0</v>
      </c>
      <c r="AB369" s="230">
        <f t="shared" ref="AB369:AX380" si="202">IF(C369=0,0,C369/AB5)</f>
        <v>0</v>
      </c>
      <c r="AC369" s="230">
        <f t="shared" si="202"/>
        <v>0</v>
      </c>
      <c r="AD369" s="230">
        <f t="shared" si="202"/>
        <v>0</v>
      </c>
      <c r="AE369" s="230">
        <f t="shared" si="202"/>
        <v>0</v>
      </c>
      <c r="AF369" s="230">
        <f t="shared" si="202"/>
        <v>0</v>
      </c>
      <c r="AG369" s="230">
        <f t="shared" si="202"/>
        <v>0</v>
      </c>
      <c r="AH369" s="230">
        <f t="shared" si="202"/>
        <v>0</v>
      </c>
      <c r="AI369" s="230">
        <f t="shared" si="202"/>
        <v>0</v>
      </c>
      <c r="AJ369" s="230">
        <f t="shared" si="202"/>
        <v>0</v>
      </c>
      <c r="AK369" s="230">
        <f t="shared" si="202"/>
        <v>0</v>
      </c>
      <c r="AL369" s="230">
        <f t="shared" si="202"/>
        <v>0</v>
      </c>
      <c r="AM369" s="230">
        <f t="shared" si="202"/>
        <v>0</v>
      </c>
      <c r="AN369" s="230">
        <f t="shared" si="202"/>
        <v>0</v>
      </c>
      <c r="AO369" s="230">
        <f t="shared" si="202"/>
        <v>0</v>
      </c>
      <c r="AP369" s="230">
        <f t="shared" si="202"/>
        <v>0</v>
      </c>
      <c r="AQ369" s="230">
        <f t="shared" si="202"/>
        <v>0</v>
      </c>
      <c r="AR369" s="230">
        <f t="shared" si="202"/>
        <v>0</v>
      </c>
      <c r="AS369" s="230">
        <f t="shared" si="202"/>
        <v>0</v>
      </c>
      <c r="AT369" s="230">
        <f t="shared" si="202"/>
        <v>0</v>
      </c>
      <c r="AU369" s="230">
        <f t="shared" si="202"/>
        <v>0</v>
      </c>
      <c r="AV369" s="230">
        <f t="shared" si="202"/>
        <v>0</v>
      </c>
      <c r="AW369" s="230">
        <f t="shared" si="202"/>
        <v>0</v>
      </c>
      <c r="AX369" s="230">
        <f t="shared" si="202"/>
        <v>0</v>
      </c>
      <c r="AY369" s="120">
        <f t="shared" ref="AY369:AY399" si="203">SUM(AA369:AX369)</f>
        <v>0</v>
      </c>
      <c r="AZ369" s="20" t="s">
        <v>258</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30">
        <f t="shared" ref="AA370:AC385" si="205">IF(B370=0,0,B370/AA6)</f>
        <v>0</v>
      </c>
      <c r="AB370" s="230">
        <f t="shared" si="202"/>
        <v>0</v>
      </c>
      <c r="AC370" s="230">
        <f t="shared" si="202"/>
        <v>0</v>
      </c>
      <c r="AD370" s="230">
        <f t="shared" si="202"/>
        <v>0</v>
      </c>
      <c r="AE370" s="230">
        <f t="shared" si="202"/>
        <v>0</v>
      </c>
      <c r="AF370" s="230">
        <f t="shared" si="202"/>
        <v>0</v>
      </c>
      <c r="AG370" s="230">
        <f t="shared" si="202"/>
        <v>0</v>
      </c>
      <c r="AH370" s="230">
        <f t="shared" si="202"/>
        <v>0</v>
      </c>
      <c r="AI370" s="230">
        <f t="shared" si="202"/>
        <v>0</v>
      </c>
      <c r="AJ370" s="230">
        <f t="shared" si="202"/>
        <v>0</v>
      </c>
      <c r="AK370" s="230">
        <f t="shared" si="202"/>
        <v>0</v>
      </c>
      <c r="AL370" s="230">
        <f t="shared" si="202"/>
        <v>0</v>
      </c>
      <c r="AM370" s="230">
        <f t="shared" si="202"/>
        <v>0</v>
      </c>
      <c r="AN370" s="230">
        <f t="shared" si="202"/>
        <v>0</v>
      </c>
      <c r="AO370" s="230">
        <f t="shared" si="202"/>
        <v>0</v>
      </c>
      <c r="AP370" s="230">
        <f t="shared" si="202"/>
        <v>0</v>
      </c>
      <c r="AQ370" s="230">
        <f t="shared" si="202"/>
        <v>0</v>
      </c>
      <c r="AR370" s="230">
        <f t="shared" si="202"/>
        <v>0</v>
      </c>
      <c r="AS370" s="230">
        <f t="shared" si="202"/>
        <v>0</v>
      </c>
      <c r="AT370" s="230">
        <f t="shared" si="202"/>
        <v>0</v>
      </c>
      <c r="AU370" s="230">
        <f t="shared" si="202"/>
        <v>0</v>
      </c>
      <c r="AV370" s="230">
        <f t="shared" si="202"/>
        <v>0</v>
      </c>
      <c r="AW370" s="230">
        <f t="shared" si="202"/>
        <v>0</v>
      </c>
      <c r="AX370" s="230">
        <f t="shared" si="202"/>
        <v>0</v>
      </c>
      <c r="AY370" s="120">
        <f t="shared" si="203"/>
        <v>0</v>
      </c>
      <c r="AZ370" s="20" t="s">
        <v>258</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30">
        <f t="shared" si="205"/>
        <v>0</v>
      </c>
      <c r="AB371" s="230">
        <f t="shared" si="202"/>
        <v>0</v>
      </c>
      <c r="AC371" s="230">
        <f t="shared" si="202"/>
        <v>0</v>
      </c>
      <c r="AD371" s="230">
        <f t="shared" si="202"/>
        <v>0</v>
      </c>
      <c r="AE371" s="230">
        <f t="shared" si="202"/>
        <v>0</v>
      </c>
      <c r="AF371" s="230">
        <f t="shared" si="202"/>
        <v>0</v>
      </c>
      <c r="AG371" s="230">
        <f t="shared" si="202"/>
        <v>0</v>
      </c>
      <c r="AH371" s="230">
        <f t="shared" si="202"/>
        <v>0</v>
      </c>
      <c r="AI371" s="230">
        <f t="shared" si="202"/>
        <v>0</v>
      </c>
      <c r="AJ371" s="230">
        <f t="shared" si="202"/>
        <v>0</v>
      </c>
      <c r="AK371" s="230">
        <f t="shared" si="202"/>
        <v>0</v>
      </c>
      <c r="AL371" s="230">
        <f t="shared" si="202"/>
        <v>0</v>
      </c>
      <c r="AM371" s="230">
        <f t="shared" si="202"/>
        <v>0</v>
      </c>
      <c r="AN371" s="230">
        <f t="shared" si="202"/>
        <v>0</v>
      </c>
      <c r="AO371" s="230">
        <f t="shared" si="202"/>
        <v>0</v>
      </c>
      <c r="AP371" s="230">
        <f t="shared" si="202"/>
        <v>0</v>
      </c>
      <c r="AQ371" s="230">
        <f t="shared" si="202"/>
        <v>0</v>
      </c>
      <c r="AR371" s="230">
        <f t="shared" si="202"/>
        <v>0</v>
      </c>
      <c r="AS371" s="230">
        <f t="shared" si="202"/>
        <v>0</v>
      </c>
      <c r="AT371" s="230">
        <f t="shared" si="202"/>
        <v>0</v>
      </c>
      <c r="AU371" s="230">
        <f t="shared" si="202"/>
        <v>0</v>
      </c>
      <c r="AV371" s="230">
        <f t="shared" si="202"/>
        <v>0</v>
      </c>
      <c r="AW371" s="230">
        <f t="shared" si="202"/>
        <v>0</v>
      </c>
      <c r="AX371" s="230">
        <f t="shared" si="202"/>
        <v>0</v>
      </c>
      <c r="AY371" s="120">
        <f t="shared" si="203"/>
        <v>0</v>
      </c>
      <c r="AZ371" s="20" t="s">
        <v>258</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30">
        <f t="shared" si="205"/>
        <v>0</v>
      </c>
      <c r="AB372" s="230">
        <f t="shared" si="202"/>
        <v>0</v>
      </c>
      <c r="AC372" s="230">
        <f t="shared" si="202"/>
        <v>0</v>
      </c>
      <c r="AD372" s="230">
        <f t="shared" si="202"/>
        <v>0</v>
      </c>
      <c r="AE372" s="230">
        <f t="shared" si="202"/>
        <v>0</v>
      </c>
      <c r="AF372" s="230">
        <f t="shared" si="202"/>
        <v>0</v>
      </c>
      <c r="AG372" s="230">
        <f t="shared" si="202"/>
        <v>0</v>
      </c>
      <c r="AH372" s="230">
        <f t="shared" si="202"/>
        <v>0</v>
      </c>
      <c r="AI372" s="230">
        <f t="shared" si="202"/>
        <v>0</v>
      </c>
      <c r="AJ372" s="230">
        <f t="shared" si="202"/>
        <v>0</v>
      </c>
      <c r="AK372" s="230">
        <f t="shared" si="202"/>
        <v>0</v>
      </c>
      <c r="AL372" s="230">
        <f t="shared" si="202"/>
        <v>0</v>
      </c>
      <c r="AM372" s="230">
        <f t="shared" si="202"/>
        <v>0</v>
      </c>
      <c r="AN372" s="230">
        <f t="shared" si="202"/>
        <v>0</v>
      </c>
      <c r="AO372" s="230">
        <f t="shared" si="202"/>
        <v>0</v>
      </c>
      <c r="AP372" s="230">
        <f t="shared" si="202"/>
        <v>0</v>
      </c>
      <c r="AQ372" s="230">
        <f t="shared" si="202"/>
        <v>0</v>
      </c>
      <c r="AR372" s="230">
        <f t="shared" si="202"/>
        <v>0</v>
      </c>
      <c r="AS372" s="230">
        <f t="shared" si="202"/>
        <v>0</v>
      </c>
      <c r="AT372" s="230">
        <f t="shared" si="202"/>
        <v>0</v>
      </c>
      <c r="AU372" s="230">
        <f t="shared" si="202"/>
        <v>0</v>
      </c>
      <c r="AV372" s="230">
        <f t="shared" si="202"/>
        <v>0</v>
      </c>
      <c r="AW372" s="230">
        <f t="shared" si="202"/>
        <v>0</v>
      </c>
      <c r="AX372" s="230">
        <f t="shared" si="202"/>
        <v>0</v>
      </c>
      <c r="AY372" s="120">
        <f t="shared" si="203"/>
        <v>0</v>
      </c>
      <c r="AZ372" s="20" t="s">
        <v>258</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30">
        <f t="shared" si="205"/>
        <v>0</v>
      </c>
      <c r="AB373" s="230">
        <f t="shared" si="202"/>
        <v>0</v>
      </c>
      <c r="AC373" s="230">
        <f t="shared" si="202"/>
        <v>0</v>
      </c>
      <c r="AD373" s="230">
        <f t="shared" si="202"/>
        <v>0</v>
      </c>
      <c r="AE373" s="230">
        <f t="shared" si="202"/>
        <v>0</v>
      </c>
      <c r="AF373" s="230">
        <f t="shared" si="202"/>
        <v>0</v>
      </c>
      <c r="AG373" s="230">
        <f t="shared" si="202"/>
        <v>0</v>
      </c>
      <c r="AH373" s="230">
        <f t="shared" si="202"/>
        <v>0</v>
      </c>
      <c r="AI373" s="230">
        <f t="shared" si="202"/>
        <v>0</v>
      </c>
      <c r="AJ373" s="230">
        <f t="shared" si="202"/>
        <v>0</v>
      </c>
      <c r="AK373" s="230">
        <f t="shared" si="202"/>
        <v>0</v>
      </c>
      <c r="AL373" s="230">
        <f t="shared" si="202"/>
        <v>0</v>
      </c>
      <c r="AM373" s="230">
        <f t="shared" si="202"/>
        <v>0</v>
      </c>
      <c r="AN373" s="230">
        <f t="shared" si="202"/>
        <v>0</v>
      </c>
      <c r="AO373" s="230">
        <f t="shared" si="202"/>
        <v>0</v>
      </c>
      <c r="AP373" s="230">
        <f t="shared" si="202"/>
        <v>0</v>
      </c>
      <c r="AQ373" s="230">
        <f t="shared" si="202"/>
        <v>0</v>
      </c>
      <c r="AR373" s="230">
        <f t="shared" si="202"/>
        <v>0</v>
      </c>
      <c r="AS373" s="230">
        <f t="shared" si="202"/>
        <v>0</v>
      </c>
      <c r="AT373" s="230">
        <f t="shared" si="202"/>
        <v>0</v>
      </c>
      <c r="AU373" s="230">
        <f t="shared" si="202"/>
        <v>0</v>
      </c>
      <c r="AV373" s="230">
        <f t="shared" si="202"/>
        <v>0</v>
      </c>
      <c r="AW373" s="230">
        <f t="shared" si="202"/>
        <v>0</v>
      </c>
      <c r="AX373" s="230">
        <f t="shared" si="202"/>
        <v>0</v>
      </c>
      <c r="AY373" s="120">
        <f t="shared" si="203"/>
        <v>0</v>
      </c>
      <c r="AZ373" s="20" t="s">
        <v>258</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30">
        <f t="shared" si="205"/>
        <v>0</v>
      </c>
      <c r="AB374" s="230">
        <f t="shared" si="202"/>
        <v>0</v>
      </c>
      <c r="AC374" s="230">
        <f t="shared" si="202"/>
        <v>0</v>
      </c>
      <c r="AD374" s="230">
        <f t="shared" si="202"/>
        <v>0</v>
      </c>
      <c r="AE374" s="230">
        <f t="shared" si="202"/>
        <v>0</v>
      </c>
      <c r="AF374" s="230">
        <f t="shared" si="202"/>
        <v>0</v>
      </c>
      <c r="AG374" s="230">
        <f t="shared" si="202"/>
        <v>0</v>
      </c>
      <c r="AH374" s="230">
        <f t="shared" si="202"/>
        <v>0</v>
      </c>
      <c r="AI374" s="230">
        <f t="shared" si="202"/>
        <v>0</v>
      </c>
      <c r="AJ374" s="230">
        <f t="shared" si="202"/>
        <v>0</v>
      </c>
      <c r="AK374" s="230">
        <f t="shared" si="202"/>
        <v>0</v>
      </c>
      <c r="AL374" s="230">
        <f t="shared" si="202"/>
        <v>0</v>
      </c>
      <c r="AM374" s="230">
        <f t="shared" si="202"/>
        <v>0</v>
      </c>
      <c r="AN374" s="230">
        <f t="shared" si="202"/>
        <v>0</v>
      </c>
      <c r="AO374" s="230">
        <f t="shared" si="202"/>
        <v>0</v>
      </c>
      <c r="AP374" s="230">
        <f t="shared" si="202"/>
        <v>0</v>
      </c>
      <c r="AQ374" s="230">
        <f t="shared" si="202"/>
        <v>0</v>
      </c>
      <c r="AR374" s="230">
        <f t="shared" si="202"/>
        <v>0</v>
      </c>
      <c r="AS374" s="230">
        <f t="shared" si="202"/>
        <v>0</v>
      </c>
      <c r="AT374" s="230">
        <f t="shared" si="202"/>
        <v>0</v>
      </c>
      <c r="AU374" s="230">
        <f t="shared" si="202"/>
        <v>0</v>
      </c>
      <c r="AV374" s="230">
        <f t="shared" si="202"/>
        <v>0</v>
      </c>
      <c r="AW374" s="230">
        <f t="shared" si="202"/>
        <v>0</v>
      </c>
      <c r="AX374" s="230">
        <f t="shared" si="202"/>
        <v>0</v>
      </c>
      <c r="AY374" s="120">
        <f t="shared" si="203"/>
        <v>0</v>
      </c>
      <c r="AZ374" s="20" t="s">
        <v>258</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30">
        <f t="shared" si="205"/>
        <v>0</v>
      </c>
      <c r="AB375" s="230">
        <f t="shared" si="202"/>
        <v>0</v>
      </c>
      <c r="AC375" s="230">
        <f t="shared" si="202"/>
        <v>0</v>
      </c>
      <c r="AD375" s="230">
        <f t="shared" si="202"/>
        <v>0</v>
      </c>
      <c r="AE375" s="230">
        <f t="shared" si="202"/>
        <v>0</v>
      </c>
      <c r="AF375" s="230">
        <f t="shared" si="202"/>
        <v>0</v>
      </c>
      <c r="AG375" s="230">
        <f t="shared" si="202"/>
        <v>0</v>
      </c>
      <c r="AH375" s="230">
        <f t="shared" si="202"/>
        <v>0</v>
      </c>
      <c r="AI375" s="230">
        <f t="shared" si="202"/>
        <v>0</v>
      </c>
      <c r="AJ375" s="230">
        <f t="shared" si="202"/>
        <v>0</v>
      </c>
      <c r="AK375" s="230">
        <f t="shared" si="202"/>
        <v>0</v>
      </c>
      <c r="AL375" s="230">
        <f t="shared" si="202"/>
        <v>0</v>
      </c>
      <c r="AM375" s="230">
        <f t="shared" si="202"/>
        <v>0</v>
      </c>
      <c r="AN375" s="230">
        <f t="shared" si="202"/>
        <v>0</v>
      </c>
      <c r="AO375" s="230">
        <f t="shared" si="202"/>
        <v>0</v>
      </c>
      <c r="AP375" s="230">
        <f t="shared" si="202"/>
        <v>0</v>
      </c>
      <c r="AQ375" s="230">
        <f t="shared" si="202"/>
        <v>0</v>
      </c>
      <c r="AR375" s="230">
        <f t="shared" si="202"/>
        <v>0</v>
      </c>
      <c r="AS375" s="230">
        <f t="shared" si="202"/>
        <v>0</v>
      </c>
      <c r="AT375" s="230">
        <f t="shared" si="202"/>
        <v>0</v>
      </c>
      <c r="AU375" s="230">
        <f t="shared" si="202"/>
        <v>0</v>
      </c>
      <c r="AV375" s="230">
        <f t="shared" si="202"/>
        <v>0</v>
      </c>
      <c r="AW375" s="230">
        <f t="shared" si="202"/>
        <v>0</v>
      </c>
      <c r="AX375" s="230">
        <f t="shared" si="202"/>
        <v>0</v>
      </c>
      <c r="AY375" s="120">
        <f t="shared" si="203"/>
        <v>0</v>
      </c>
      <c r="AZ375" s="20" t="s">
        <v>258</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30">
        <f t="shared" si="205"/>
        <v>0</v>
      </c>
      <c r="AB376" s="230">
        <f t="shared" si="202"/>
        <v>0</v>
      </c>
      <c r="AC376" s="230">
        <f t="shared" si="202"/>
        <v>0</v>
      </c>
      <c r="AD376" s="230">
        <f t="shared" si="202"/>
        <v>0</v>
      </c>
      <c r="AE376" s="230">
        <f t="shared" si="202"/>
        <v>0</v>
      </c>
      <c r="AF376" s="230">
        <f t="shared" si="202"/>
        <v>0</v>
      </c>
      <c r="AG376" s="230">
        <f t="shared" si="202"/>
        <v>0</v>
      </c>
      <c r="AH376" s="230">
        <f t="shared" si="202"/>
        <v>0</v>
      </c>
      <c r="AI376" s="230">
        <f t="shared" si="202"/>
        <v>0</v>
      </c>
      <c r="AJ376" s="230">
        <f t="shared" si="202"/>
        <v>0</v>
      </c>
      <c r="AK376" s="230">
        <f t="shared" si="202"/>
        <v>0</v>
      </c>
      <c r="AL376" s="230">
        <f t="shared" si="202"/>
        <v>0</v>
      </c>
      <c r="AM376" s="230">
        <f t="shared" si="202"/>
        <v>0</v>
      </c>
      <c r="AN376" s="230">
        <f t="shared" si="202"/>
        <v>0</v>
      </c>
      <c r="AO376" s="230">
        <f t="shared" si="202"/>
        <v>0</v>
      </c>
      <c r="AP376" s="230">
        <f t="shared" si="202"/>
        <v>0</v>
      </c>
      <c r="AQ376" s="230">
        <f t="shared" si="202"/>
        <v>0</v>
      </c>
      <c r="AR376" s="230">
        <f t="shared" si="202"/>
        <v>0</v>
      </c>
      <c r="AS376" s="230">
        <f t="shared" si="202"/>
        <v>0</v>
      </c>
      <c r="AT376" s="230">
        <f t="shared" si="202"/>
        <v>0</v>
      </c>
      <c r="AU376" s="230">
        <f t="shared" si="202"/>
        <v>0</v>
      </c>
      <c r="AV376" s="230">
        <f t="shared" si="202"/>
        <v>0</v>
      </c>
      <c r="AW376" s="230">
        <f t="shared" si="202"/>
        <v>0</v>
      </c>
      <c r="AX376" s="230">
        <f t="shared" si="202"/>
        <v>0</v>
      </c>
      <c r="AY376" s="120">
        <f t="shared" si="203"/>
        <v>0</v>
      </c>
      <c r="AZ376" s="20" t="s">
        <v>258</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30">
        <f t="shared" si="205"/>
        <v>0</v>
      </c>
      <c r="AB377" s="230">
        <f t="shared" si="202"/>
        <v>0</v>
      </c>
      <c r="AC377" s="230">
        <f t="shared" si="202"/>
        <v>0</v>
      </c>
      <c r="AD377" s="230">
        <f t="shared" si="202"/>
        <v>0</v>
      </c>
      <c r="AE377" s="230">
        <f t="shared" si="202"/>
        <v>0</v>
      </c>
      <c r="AF377" s="230">
        <f t="shared" si="202"/>
        <v>0</v>
      </c>
      <c r="AG377" s="230">
        <f t="shared" si="202"/>
        <v>0</v>
      </c>
      <c r="AH377" s="230">
        <f t="shared" si="202"/>
        <v>0</v>
      </c>
      <c r="AI377" s="230">
        <f t="shared" si="202"/>
        <v>0</v>
      </c>
      <c r="AJ377" s="230">
        <f t="shared" si="202"/>
        <v>0</v>
      </c>
      <c r="AK377" s="230">
        <f t="shared" si="202"/>
        <v>0</v>
      </c>
      <c r="AL377" s="230">
        <f t="shared" si="202"/>
        <v>0</v>
      </c>
      <c r="AM377" s="230">
        <f t="shared" si="202"/>
        <v>0</v>
      </c>
      <c r="AN377" s="230">
        <f t="shared" si="202"/>
        <v>0</v>
      </c>
      <c r="AO377" s="230">
        <f t="shared" si="202"/>
        <v>0</v>
      </c>
      <c r="AP377" s="230">
        <f t="shared" si="202"/>
        <v>0</v>
      </c>
      <c r="AQ377" s="230">
        <f t="shared" si="202"/>
        <v>0</v>
      </c>
      <c r="AR377" s="230">
        <f t="shared" si="202"/>
        <v>0</v>
      </c>
      <c r="AS377" s="230">
        <f t="shared" si="202"/>
        <v>0</v>
      </c>
      <c r="AT377" s="230">
        <f t="shared" si="202"/>
        <v>0</v>
      </c>
      <c r="AU377" s="230">
        <f t="shared" si="202"/>
        <v>0</v>
      </c>
      <c r="AV377" s="230">
        <f t="shared" si="202"/>
        <v>0</v>
      </c>
      <c r="AW377" s="230">
        <f t="shared" si="202"/>
        <v>0</v>
      </c>
      <c r="AX377" s="230">
        <f t="shared" si="202"/>
        <v>0</v>
      </c>
      <c r="AY377" s="120">
        <f t="shared" si="203"/>
        <v>0</v>
      </c>
      <c r="AZ377" s="20" t="s">
        <v>258</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30">
        <f t="shared" si="205"/>
        <v>0</v>
      </c>
      <c r="AB378" s="230">
        <f t="shared" si="202"/>
        <v>0</v>
      </c>
      <c r="AC378" s="230">
        <f t="shared" si="202"/>
        <v>0</v>
      </c>
      <c r="AD378" s="230">
        <f t="shared" si="202"/>
        <v>0</v>
      </c>
      <c r="AE378" s="230">
        <f t="shared" si="202"/>
        <v>0</v>
      </c>
      <c r="AF378" s="230">
        <f t="shared" si="202"/>
        <v>0</v>
      </c>
      <c r="AG378" s="230">
        <f t="shared" si="202"/>
        <v>0</v>
      </c>
      <c r="AH378" s="230">
        <f t="shared" si="202"/>
        <v>0</v>
      </c>
      <c r="AI378" s="230">
        <f t="shared" si="202"/>
        <v>0</v>
      </c>
      <c r="AJ378" s="230">
        <f t="shared" si="202"/>
        <v>0</v>
      </c>
      <c r="AK378" s="230">
        <f t="shared" si="202"/>
        <v>0</v>
      </c>
      <c r="AL378" s="230">
        <f t="shared" si="202"/>
        <v>0</v>
      </c>
      <c r="AM378" s="230">
        <f t="shared" si="202"/>
        <v>0</v>
      </c>
      <c r="AN378" s="230">
        <f t="shared" si="202"/>
        <v>0</v>
      </c>
      <c r="AO378" s="230">
        <f t="shared" si="202"/>
        <v>0</v>
      </c>
      <c r="AP378" s="230">
        <f t="shared" si="202"/>
        <v>0</v>
      </c>
      <c r="AQ378" s="230">
        <f t="shared" si="202"/>
        <v>0</v>
      </c>
      <c r="AR378" s="230">
        <f t="shared" si="202"/>
        <v>0</v>
      </c>
      <c r="AS378" s="230">
        <f t="shared" si="202"/>
        <v>0</v>
      </c>
      <c r="AT378" s="230">
        <f t="shared" si="202"/>
        <v>0</v>
      </c>
      <c r="AU378" s="230">
        <f t="shared" si="202"/>
        <v>0</v>
      </c>
      <c r="AV378" s="230">
        <f t="shared" si="202"/>
        <v>0</v>
      </c>
      <c r="AW378" s="230">
        <f t="shared" si="202"/>
        <v>0</v>
      </c>
      <c r="AX378" s="230">
        <f t="shared" si="202"/>
        <v>0</v>
      </c>
      <c r="AY378" s="120">
        <f t="shared" si="203"/>
        <v>0</v>
      </c>
      <c r="AZ378" s="20" t="s">
        <v>258</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30">
        <f t="shared" si="205"/>
        <v>0</v>
      </c>
      <c r="AB379" s="230">
        <f t="shared" si="202"/>
        <v>0</v>
      </c>
      <c r="AC379" s="230">
        <f t="shared" si="202"/>
        <v>0</v>
      </c>
      <c r="AD379" s="230">
        <f t="shared" si="202"/>
        <v>0</v>
      </c>
      <c r="AE379" s="230">
        <f t="shared" si="202"/>
        <v>0</v>
      </c>
      <c r="AF379" s="230">
        <f t="shared" si="202"/>
        <v>0</v>
      </c>
      <c r="AG379" s="230">
        <f t="shared" si="202"/>
        <v>0</v>
      </c>
      <c r="AH379" s="230">
        <f t="shared" si="202"/>
        <v>0</v>
      </c>
      <c r="AI379" s="230">
        <f t="shared" si="202"/>
        <v>0</v>
      </c>
      <c r="AJ379" s="230">
        <f t="shared" si="202"/>
        <v>0</v>
      </c>
      <c r="AK379" s="230">
        <f t="shared" si="202"/>
        <v>0</v>
      </c>
      <c r="AL379" s="230">
        <f t="shared" si="202"/>
        <v>0</v>
      </c>
      <c r="AM379" s="230">
        <f t="shared" si="202"/>
        <v>0</v>
      </c>
      <c r="AN379" s="230">
        <f t="shared" si="202"/>
        <v>0</v>
      </c>
      <c r="AO379" s="230">
        <f t="shared" si="202"/>
        <v>0</v>
      </c>
      <c r="AP379" s="230">
        <f t="shared" si="202"/>
        <v>0</v>
      </c>
      <c r="AQ379" s="230">
        <f t="shared" si="202"/>
        <v>0</v>
      </c>
      <c r="AR379" s="230">
        <f t="shared" si="202"/>
        <v>0</v>
      </c>
      <c r="AS379" s="230">
        <f t="shared" si="202"/>
        <v>0</v>
      </c>
      <c r="AT379" s="230">
        <f t="shared" si="202"/>
        <v>0</v>
      </c>
      <c r="AU379" s="230">
        <f t="shared" si="202"/>
        <v>0</v>
      </c>
      <c r="AV379" s="230">
        <f t="shared" si="202"/>
        <v>0</v>
      </c>
      <c r="AW379" s="230">
        <f t="shared" si="202"/>
        <v>0</v>
      </c>
      <c r="AX379" s="230">
        <f t="shared" si="202"/>
        <v>0</v>
      </c>
      <c r="AY379" s="120">
        <f t="shared" si="203"/>
        <v>0</v>
      </c>
      <c r="AZ379" s="20" t="s">
        <v>258</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30">
        <f t="shared" si="205"/>
        <v>0</v>
      </c>
      <c r="AB380" s="230">
        <f t="shared" si="202"/>
        <v>0</v>
      </c>
      <c r="AC380" s="230">
        <f t="shared" si="202"/>
        <v>0</v>
      </c>
      <c r="AD380" s="230">
        <f t="shared" ref="AD380:AX392" si="207">IF(E380=0,0,E380/AD16)</f>
        <v>0</v>
      </c>
      <c r="AE380" s="230">
        <f t="shared" si="207"/>
        <v>0</v>
      </c>
      <c r="AF380" s="230">
        <f t="shared" si="207"/>
        <v>0</v>
      </c>
      <c r="AG380" s="230">
        <f t="shared" si="207"/>
        <v>0</v>
      </c>
      <c r="AH380" s="230">
        <f t="shared" si="207"/>
        <v>0</v>
      </c>
      <c r="AI380" s="230">
        <f t="shared" si="207"/>
        <v>0</v>
      </c>
      <c r="AJ380" s="230">
        <f t="shared" si="207"/>
        <v>0</v>
      </c>
      <c r="AK380" s="230">
        <f t="shared" si="207"/>
        <v>0</v>
      </c>
      <c r="AL380" s="230">
        <f t="shared" si="207"/>
        <v>0</v>
      </c>
      <c r="AM380" s="230">
        <f t="shared" si="207"/>
        <v>0</v>
      </c>
      <c r="AN380" s="230">
        <f t="shared" si="207"/>
        <v>0</v>
      </c>
      <c r="AO380" s="230">
        <f t="shared" si="207"/>
        <v>0</v>
      </c>
      <c r="AP380" s="230">
        <f t="shared" si="207"/>
        <v>0</v>
      </c>
      <c r="AQ380" s="230">
        <f t="shared" si="207"/>
        <v>0</v>
      </c>
      <c r="AR380" s="230">
        <f t="shared" si="207"/>
        <v>0</v>
      </c>
      <c r="AS380" s="230">
        <f t="shared" si="207"/>
        <v>0</v>
      </c>
      <c r="AT380" s="230">
        <f t="shared" si="207"/>
        <v>0</v>
      </c>
      <c r="AU380" s="230">
        <f t="shared" si="207"/>
        <v>0</v>
      </c>
      <c r="AV380" s="230">
        <f t="shared" si="207"/>
        <v>0</v>
      </c>
      <c r="AW380" s="230">
        <f t="shared" si="207"/>
        <v>0</v>
      </c>
      <c r="AX380" s="230">
        <f t="shared" si="207"/>
        <v>0</v>
      </c>
      <c r="AY380" s="120">
        <f t="shared" si="203"/>
        <v>0</v>
      </c>
      <c r="AZ380" s="20" t="s">
        <v>258</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30">
        <f t="shared" si="205"/>
        <v>0</v>
      </c>
      <c r="AB381" s="230">
        <f t="shared" si="205"/>
        <v>0</v>
      </c>
      <c r="AC381" s="230">
        <f t="shared" si="205"/>
        <v>0</v>
      </c>
      <c r="AD381" s="230">
        <f t="shared" si="207"/>
        <v>0</v>
      </c>
      <c r="AE381" s="230">
        <f t="shared" si="207"/>
        <v>0</v>
      </c>
      <c r="AF381" s="230">
        <f t="shared" si="207"/>
        <v>0</v>
      </c>
      <c r="AG381" s="230">
        <f t="shared" si="207"/>
        <v>0</v>
      </c>
      <c r="AH381" s="230">
        <f t="shared" si="207"/>
        <v>0</v>
      </c>
      <c r="AI381" s="230">
        <f t="shared" si="207"/>
        <v>0</v>
      </c>
      <c r="AJ381" s="230">
        <f t="shared" si="207"/>
        <v>0</v>
      </c>
      <c r="AK381" s="230">
        <f t="shared" si="207"/>
        <v>0</v>
      </c>
      <c r="AL381" s="230">
        <f t="shared" si="207"/>
        <v>0</v>
      </c>
      <c r="AM381" s="230">
        <f t="shared" si="207"/>
        <v>0</v>
      </c>
      <c r="AN381" s="230">
        <f t="shared" si="207"/>
        <v>0</v>
      </c>
      <c r="AO381" s="230">
        <f t="shared" si="207"/>
        <v>0</v>
      </c>
      <c r="AP381" s="230">
        <f t="shared" si="207"/>
        <v>0</v>
      </c>
      <c r="AQ381" s="230">
        <f t="shared" si="207"/>
        <v>0</v>
      </c>
      <c r="AR381" s="230">
        <f t="shared" si="207"/>
        <v>0</v>
      </c>
      <c r="AS381" s="230">
        <f t="shared" si="207"/>
        <v>0</v>
      </c>
      <c r="AT381" s="230">
        <f t="shared" si="207"/>
        <v>0</v>
      </c>
      <c r="AU381" s="230">
        <f t="shared" si="207"/>
        <v>0</v>
      </c>
      <c r="AV381" s="230">
        <f t="shared" si="207"/>
        <v>0</v>
      </c>
      <c r="AW381" s="230">
        <f t="shared" si="207"/>
        <v>0</v>
      </c>
      <c r="AX381" s="230">
        <f t="shared" si="207"/>
        <v>0</v>
      </c>
      <c r="AY381" s="120">
        <f t="shared" si="203"/>
        <v>0</v>
      </c>
      <c r="AZ381" s="20" t="s">
        <v>258</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30">
        <f t="shared" si="205"/>
        <v>0</v>
      </c>
      <c r="AB382" s="230">
        <f t="shared" si="205"/>
        <v>0</v>
      </c>
      <c r="AC382" s="230">
        <f t="shared" si="205"/>
        <v>0</v>
      </c>
      <c r="AD382" s="230">
        <f t="shared" si="207"/>
        <v>0</v>
      </c>
      <c r="AE382" s="230">
        <f t="shared" si="207"/>
        <v>0</v>
      </c>
      <c r="AF382" s="230">
        <f t="shared" si="207"/>
        <v>0</v>
      </c>
      <c r="AG382" s="230">
        <f t="shared" si="207"/>
        <v>0</v>
      </c>
      <c r="AH382" s="230">
        <f t="shared" si="207"/>
        <v>0</v>
      </c>
      <c r="AI382" s="230">
        <f t="shared" si="207"/>
        <v>0</v>
      </c>
      <c r="AJ382" s="230">
        <f t="shared" si="207"/>
        <v>0</v>
      </c>
      <c r="AK382" s="230">
        <f t="shared" si="207"/>
        <v>0</v>
      </c>
      <c r="AL382" s="230">
        <f t="shared" si="207"/>
        <v>0</v>
      </c>
      <c r="AM382" s="230">
        <f t="shared" si="207"/>
        <v>0</v>
      </c>
      <c r="AN382" s="230">
        <f t="shared" si="207"/>
        <v>0</v>
      </c>
      <c r="AO382" s="230">
        <f t="shared" si="207"/>
        <v>0</v>
      </c>
      <c r="AP382" s="230">
        <f t="shared" si="207"/>
        <v>0</v>
      </c>
      <c r="AQ382" s="230">
        <f t="shared" si="207"/>
        <v>0</v>
      </c>
      <c r="AR382" s="230">
        <f t="shared" si="207"/>
        <v>0</v>
      </c>
      <c r="AS382" s="230">
        <f t="shared" si="207"/>
        <v>0</v>
      </c>
      <c r="AT382" s="230">
        <f t="shared" si="207"/>
        <v>0</v>
      </c>
      <c r="AU382" s="230">
        <f t="shared" si="207"/>
        <v>0</v>
      </c>
      <c r="AV382" s="230">
        <f t="shared" si="207"/>
        <v>0</v>
      </c>
      <c r="AW382" s="230">
        <f t="shared" si="207"/>
        <v>0</v>
      </c>
      <c r="AX382" s="230">
        <f t="shared" si="207"/>
        <v>0</v>
      </c>
      <c r="AY382" s="120">
        <f t="shared" si="203"/>
        <v>0</v>
      </c>
      <c r="AZ382" s="20" t="s">
        <v>258</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30">
        <f t="shared" si="205"/>
        <v>0</v>
      </c>
      <c r="AB383" s="230">
        <f t="shared" si="205"/>
        <v>0</v>
      </c>
      <c r="AC383" s="230">
        <f t="shared" si="205"/>
        <v>0</v>
      </c>
      <c r="AD383" s="230">
        <f t="shared" si="207"/>
        <v>0</v>
      </c>
      <c r="AE383" s="230">
        <f t="shared" si="207"/>
        <v>0</v>
      </c>
      <c r="AF383" s="230">
        <f t="shared" si="207"/>
        <v>0</v>
      </c>
      <c r="AG383" s="230">
        <f t="shared" si="207"/>
        <v>0</v>
      </c>
      <c r="AH383" s="230">
        <f t="shared" si="207"/>
        <v>0</v>
      </c>
      <c r="AI383" s="230">
        <f t="shared" si="207"/>
        <v>0</v>
      </c>
      <c r="AJ383" s="230">
        <f t="shared" si="207"/>
        <v>0</v>
      </c>
      <c r="AK383" s="230">
        <f t="shared" si="207"/>
        <v>0</v>
      </c>
      <c r="AL383" s="230">
        <f t="shared" si="207"/>
        <v>0</v>
      </c>
      <c r="AM383" s="230">
        <f t="shared" si="207"/>
        <v>0</v>
      </c>
      <c r="AN383" s="230">
        <f t="shared" si="207"/>
        <v>0</v>
      </c>
      <c r="AO383" s="230">
        <f t="shared" si="207"/>
        <v>0</v>
      </c>
      <c r="AP383" s="230">
        <f t="shared" si="207"/>
        <v>0</v>
      </c>
      <c r="AQ383" s="230">
        <f t="shared" si="207"/>
        <v>0</v>
      </c>
      <c r="AR383" s="230">
        <f t="shared" si="207"/>
        <v>0</v>
      </c>
      <c r="AS383" s="230">
        <f t="shared" si="207"/>
        <v>0</v>
      </c>
      <c r="AT383" s="230">
        <f t="shared" si="207"/>
        <v>0</v>
      </c>
      <c r="AU383" s="230">
        <f t="shared" si="207"/>
        <v>0</v>
      </c>
      <c r="AV383" s="230">
        <f t="shared" si="207"/>
        <v>0</v>
      </c>
      <c r="AW383" s="230">
        <f t="shared" si="207"/>
        <v>0</v>
      </c>
      <c r="AX383" s="230">
        <f t="shared" si="207"/>
        <v>0</v>
      </c>
      <c r="AY383" s="120">
        <f t="shared" si="203"/>
        <v>0</v>
      </c>
      <c r="AZ383" s="20" t="s">
        <v>258</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30">
        <f t="shared" si="205"/>
        <v>0</v>
      </c>
      <c r="AB384" s="230">
        <f t="shared" si="205"/>
        <v>0</v>
      </c>
      <c r="AC384" s="230">
        <f t="shared" si="205"/>
        <v>0</v>
      </c>
      <c r="AD384" s="230">
        <f t="shared" si="207"/>
        <v>0</v>
      </c>
      <c r="AE384" s="230">
        <f t="shared" si="207"/>
        <v>0</v>
      </c>
      <c r="AF384" s="230">
        <f t="shared" si="207"/>
        <v>0</v>
      </c>
      <c r="AG384" s="230">
        <f t="shared" si="207"/>
        <v>0</v>
      </c>
      <c r="AH384" s="230">
        <f t="shared" si="207"/>
        <v>0</v>
      </c>
      <c r="AI384" s="230">
        <f t="shared" si="207"/>
        <v>0</v>
      </c>
      <c r="AJ384" s="230">
        <f t="shared" si="207"/>
        <v>0</v>
      </c>
      <c r="AK384" s="230">
        <f t="shared" si="207"/>
        <v>0</v>
      </c>
      <c r="AL384" s="230">
        <f t="shared" si="207"/>
        <v>0</v>
      </c>
      <c r="AM384" s="230">
        <f t="shared" si="207"/>
        <v>0</v>
      </c>
      <c r="AN384" s="230">
        <f t="shared" si="207"/>
        <v>0</v>
      </c>
      <c r="AO384" s="230">
        <f t="shared" si="207"/>
        <v>0</v>
      </c>
      <c r="AP384" s="230">
        <f t="shared" si="207"/>
        <v>0</v>
      </c>
      <c r="AQ384" s="230">
        <f t="shared" si="207"/>
        <v>0</v>
      </c>
      <c r="AR384" s="230">
        <f t="shared" si="207"/>
        <v>0</v>
      </c>
      <c r="AS384" s="230">
        <f t="shared" si="207"/>
        <v>0</v>
      </c>
      <c r="AT384" s="230">
        <f t="shared" si="207"/>
        <v>0</v>
      </c>
      <c r="AU384" s="230">
        <f t="shared" si="207"/>
        <v>0</v>
      </c>
      <c r="AV384" s="230">
        <f t="shared" si="207"/>
        <v>0</v>
      </c>
      <c r="AW384" s="230">
        <f t="shared" si="207"/>
        <v>0</v>
      </c>
      <c r="AX384" s="230">
        <f t="shared" si="207"/>
        <v>0</v>
      </c>
      <c r="AY384" s="120">
        <f t="shared" si="203"/>
        <v>0</v>
      </c>
      <c r="AZ384" s="20" t="s">
        <v>258</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30">
        <f t="shared" si="205"/>
        <v>0</v>
      </c>
      <c r="AB385" s="230">
        <f t="shared" si="205"/>
        <v>0</v>
      </c>
      <c r="AC385" s="230">
        <f t="shared" si="205"/>
        <v>0</v>
      </c>
      <c r="AD385" s="230">
        <f t="shared" si="207"/>
        <v>0</v>
      </c>
      <c r="AE385" s="230">
        <f t="shared" si="207"/>
        <v>0</v>
      </c>
      <c r="AF385" s="230">
        <f t="shared" si="207"/>
        <v>0</v>
      </c>
      <c r="AG385" s="230">
        <f t="shared" si="207"/>
        <v>0</v>
      </c>
      <c r="AH385" s="230">
        <f t="shared" si="207"/>
        <v>0</v>
      </c>
      <c r="AI385" s="230">
        <f t="shared" si="207"/>
        <v>0</v>
      </c>
      <c r="AJ385" s="230">
        <f t="shared" si="207"/>
        <v>0</v>
      </c>
      <c r="AK385" s="230">
        <f t="shared" si="207"/>
        <v>0</v>
      </c>
      <c r="AL385" s="230">
        <f t="shared" si="207"/>
        <v>0</v>
      </c>
      <c r="AM385" s="230">
        <f t="shared" si="207"/>
        <v>0</v>
      </c>
      <c r="AN385" s="230">
        <f t="shared" si="207"/>
        <v>0</v>
      </c>
      <c r="AO385" s="230">
        <f t="shared" si="207"/>
        <v>0</v>
      </c>
      <c r="AP385" s="230">
        <f t="shared" si="207"/>
        <v>0</v>
      </c>
      <c r="AQ385" s="230">
        <f t="shared" si="207"/>
        <v>0</v>
      </c>
      <c r="AR385" s="230">
        <f t="shared" si="207"/>
        <v>0</v>
      </c>
      <c r="AS385" s="230">
        <f t="shared" si="207"/>
        <v>0</v>
      </c>
      <c r="AT385" s="230">
        <f t="shared" si="207"/>
        <v>0</v>
      </c>
      <c r="AU385" s="230">
        <f t="shared" si="207"/>
        <v>0</v>
      </c>
      <c r="AV385" s="230">
        <f t="shared" si="207"/>
        <v>0</v>
      </c>
      <c r="AW385" s="230">
        <f t="shared" si="207"/>
        <v>0</v>
      </c>
      <c r="AX385" s="230">
        <f t="shared" si="207"/>
        <v>0</v>
      </c>
      <c r="AY385" s="120">
        <f t="shared" si="203"/>
        <v>0</v>
      </c>
      <c r="AZ385" s="20" t="s">
        <v>258</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30">
        <f t="shared" ref="AA386:AF399" si="209">IF(B386=0,0,B386/AA22)</f>
        <v>0</v>
      </c>
      <c r="AB386" s="230">
        <f t="shared" si="209"/>
        <v>0</v>
      </c>
      <c r="AC386" s="230">
        <f t="shared" si="209"/>
        <v>0</v>
      </c>
      <c r="AD386" s="230">
        <f t="shared" si="207"/>
        <v>0</v>
      </c>
      <c r="AE386" s="230">
        <f t="shared" si="207"/>
        <v>0</v>
      </c>
      <c r="AF386" s="230">
        <f t="shared" si="207"/>
        <v>0</v>
      </c>
      <c r="AG386" s="230">
        <f t="shared" si="207"/>
        <v>0</v>
      </c>
      <c r="AH386" s="230">
        <f t="shared" si="207"/>
        <v>0</v>
      </c>
      <c r="AI386" s="230">
        <f t="shared" si="207"/>
        <v>0</v>
      </c>
      <c r="AJ386" s="230">
        <f t="shared" si="207"/>
        <v>0</v>
      </c>
      <c r="AK386" s="230">
        <f t="shared" si="207"/>
        <v>0</v>
      </c>
      <c r="AL386" s="230">
        <f t="shared" si="207"/>
        <v>0</v>
      </c>
      <c r="AM386" s="230">
        <f t="shared" si="207"/>
        <v>0</v>
      </c>
      <c r="AN386" s="230">
        <f t="shared" si="207"/>
        <v>0</v>
      </c>
      <c r="AO386" s="230">
        <f t="shared" si="207"/>
        <v>0</v>
      </c>
      <c r="AP386" s="230">
        <f t="shared" si="207"/>
        <v>0</v>
      </c>
      <c r="AQ386" s="230">
        <f t="shared" si="207"/>
        <v>0</v>
      </c>
      <c r="AR386" s="230">
        <f t="shared" si="207"/>
        <v>0</v>
      </c>
      <c r="AS386" s="230">
        <f t="shared" si="207"/>
        <v>0</v>
      </c>
      <c r="AT386" s="230">
        <f t="shared" si="207"/>
        <v>0</v>
      </c>
      <c r="AU386" s="230">
        <f t="shared" si="207"/>
        <v>0</v>
      </c>
      <c r="AV386" s="230">
        <f t="shared" si="207"/>
        <v>0</v>
      </c>
      <c r="AW386" s="230">
        <f t="shared" si="207"/>
        <v>0</v>
      </c>
      <c r="AX386" s="230">
        <f t="shared" si="207"/>
        <v>0</v>
      </c>
      <c r="AY386" s="120">
        <f t="shared" si="203"/>
        <v>0</v>
      </c>
      <c r="AZ386" s="20" t="s">
        <v>258</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30">
        <f t="shared" si="209"/>
        <v>0</v>
      </c>
      <c r="AB387" s="230">
        <f t="shared" si="209"/>
        <v>0</v>
      </c>
      <c r="AC387" s="230">
        <f t="shared" si="209"/>
        <v>0</v>
      </c>
      <c r="AD387" s="230">
        <f t="shared" si="207"/>
        <v>0</v>
      </c>
      <c r="AE387" s="230">
        <f t="shared" si="207"/>
        <v>0</v>
      </c>
      <c r="AF387" s="230">
        <f t="shared" si="207"/>
        <v>0</v>
      </c>
      <c r="AG387" s="230">
        <f t="shared" si="207"/>
        <v>0</v>
      </c>
      <c r="AH387" s="230">
        <f t="shared" si="207"/>
        <v>0</v>
      </c>
      <c r="AI387" s="230">
        <f t="shared" si="207"/>
        <v>0</v>
      </c>
      <c r="AJ387" s="230">
        <f t="shared" si="207"/>
        <v>0</v>
      </c>
      <c r="AK387" s="230">
        <f t="shared" si="207"/>
        <v>0</v>
      </c>
      <c r="AL387" s="230">
        <f t="shared" si="207"/>
        <v>0</v>
      </c>
      <c r="AM387" s="230">
        <f t="shared" si="207"/>
        <v>0</v>
      </c>
      <c r="AN387" s="230">
        <f t="shared" si="207"/>
        <v>0</v>
      </c>
      <c r="AO387" s="230">
        <f t="shared" si="207"/>
        <v>0</v>
      </c>
      <c r="AP387" s="230">
        <f t="shared" si="207"/>
        <v>0</v>
      </c>
      <c r="AQ387" s="230">
        <f t="shared" si="207"/>
        <v>0</v>
      </c>
      <c r="AR387" s="230">
        <f t="shared" si="207"/>
        <v>0</v>
      </c>
      <c r="AS387" s="230">
        <f t="shared" si="207"/>
        <v>0</v>
      </c>
      <c r="AT387" s="230">
        <f t="shared" si="207"/>
        <v>0</v>
      </c>
      <c r="AU387" s="230">
        <f t="shared" si="207"/>
        <v>0</v>
      </c>
      <c r="AV387" s="230">
        <f t="shared" si="207"/>
        <v>0</v>
      </c>
      <c r="AW387" s="230">
        <f t="shared" si="207"/>
        <v>0</v>
      </c>
      <c r="AX387" s="230">
        <f t="shared" si="207"/>
        <v>0</v>
      </c>
      <c r="AY387" s="120">
        <f t="shared" si="203"/>
        <v>0</v>
      </c>
      <c r="AZ387" s="20" t="s">
        <v>258</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30">
        <f t="shared" si="209"/>
        <v>0</v>
      </c>
      <c r="AB388" s="230">
        <f t="shared" si="209"/>
        <v>0</v>
      </c>
      <c r="AC388" s="230">
        <f t="shared" si="209"/>
        <v>0</v>
      </c>
      <c r="AD388" s="230">
        <f t="shared" si="207"/>
        <v>0</v>
      </c>
      <c r="AE388" s="230">
        <f t="shared" si="207"/>
        <v>0</v>
      </c>
      <c r="AF388" s="230">
        <f t="shared" si="207"/>
        <v>0</v>
      </c>
      <c r="AG388" s="230">
        <f t="shared" si="207"/>
        <v>0</v>
      </c>
      <c r="AH388" s="230">
        <f t="shared" si="207"/>
        <v>0</v>
      </c>
      <c r="AI388" s="230">
        <f t="shared" si="207"/>
        <v>0</v>
      </c>
      <c r="AJ388" s="230">
        <f t="shared" si="207"/>
        <v>0</v>
      </c>
      <c r="AK388" s="230">
        <f t="shared" si="207"/>
        <v>0</v>
      </c>
      <c r="AL388" s="230">
        <f t="shared" si="207"/>
        <v>0</v>
      </c>
      <c r="AM388" s="230">
        <f t="shared" si="207"/>
        <v>0</v>
      </c>
      <c r="AN388" s="230">
        <f t="shared" si="207"/>
        <v>0</v>
      </c>
      <c r="AO388" s="230">
        <f t="shared" si="207"/>
        <v>0</v>
      </c>
      <c r="AP388" s="230">
        <f t="shared" si="207"/>
        <v>0</v>
      </c>
      <c r="AQ388" s="230">
        <f t="shared" si="207"/>
        <v>0</v>
      </c>
      <c r="AR388" s="230">
        <f t="shared" si="207"/>
        <v>0</v>
      </c>
      <c r="AS388" s="230">
        <f t="shared" si="207"/>
        <v>0</v>
      </c>
      <c r="AT388" s="230">
        <f t="shared" si="207"/>
        <v>0</v>
      </c>
      <c r="AU388" s="230">
        <f t="shared" si="207"/>
        <v>0</v>
      </c>
      <c r="AV388" s="230">
        <f t="shared" si="207"/>
        <v>0</v>
      </c>
      <c r="AW388" s="230">
        <f t="shared" si="207"/>
        <v>0</v>
      </c>
      <c r="AX388" s="230">
        <f t="shared" si="207"/>
        <v>0</v>
      </c>
      <c r="AY388" s="120">
        <f t="shared" si="203"/>
        <v>0</v>
      </c>
      <c r="AZ388" s="20" t="s">
        <v>258</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30">
        <f t="shared" si="209"/>
        <v>0</v>
      </c>
      <c r="AB389" s="230">
        <f t="shared" si="209"/>
        <v>0</v>
      </c>
      <c r="AC389" s="230">
        <f t="shared" si="209"/>
        <v>0</v>
      </c>
      <c r="AD389" s="230">
        <f t="shared" si="207"/>
        <v>0</v>
      </c>
      <c r="AE389" s="230">
        <f t="shared" si="207"/>
        <v>0</v>
      </c>
      <c r="AF389" s="230">
        <f t="shared" si="207"/>
        <v>0</v>
      </c>
      <c r="AG389" s="230">
        <f t="shared" si="207"/>
        <v>0</v>
      </c>
      <c r="AH389" s="230">
        <f t="shared" si="207"/>
        <v>0</v>
      </c>
      <c r="AI389" s="230">
        <f t="shared" si="207"/>
        <v>0</v>
      </c>
      <c r="AJ389" s="230">
        <f t="shared" si="207"/>
        <v>0</v>
      </c>
      <c r="AK389" s="230">
        <f t="shared" si="207"/>
        <v>0</v>
      </c>
      <c r="AL389" s="230">
        <f t="shared" si="207"/>
        <v>0</v>
      </c>
      <c r="AM389" s="230">
        <f t="shared" si="207"/>
        <v>0</v>
      </c>
      <c r="AN389" s="230">
        <f t="shared" si="207"/>
        <v>0</v>
      </c>
      <c r="AO389" s="230">
        <f t="shared" si="207"/>
        <v>0</v>
      </c>
      <c r="AP389" s="230">
        <f t="shared" si="207"/>
        <v>0</v>
      </c>
      <c r="AQ389" s="230">
        <f t="shared" si="207"/>
        <v>0</v>
      </c>
      <c r="AR389" s="230">
        <f t="shared" si="207"/>
        <v>0</v>
      </c>
      <c r="AS389" s="230">
        <f t="shared" si="207"/>
        <v>0</v>
      </c>
      <c r="AT389" s="230">
        <f t="shared" si="207"/>
        <v>0</v>
      </c>
      <c r="AU389" s="230">
        <f t="shared" si="207"/>
        <v>0</v>
      </c>
      <c r="AV389" s="230">
        <f t="shared" si="207"/>
        <v>0</v>
      </c>
      <c r="AW389" s="230">
        <f t="shared" si="207"/>
        <v>0</v>
      </c>
      <c r="AX389" s="230">
        <f t="shared" si="207"/>
        <v>0</v>
      </c>
      <c r="AY389" s="120">
        <f t="shared" si="203"/>
        <v>0</v>
      </c>
      <c r="AZ389" s="20" t="s">
        <v>258</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30">
        <f t="shared" si="209"/>
        <v>0</v>
      </c>
      <c r="AB390" s="230">
        <f t="shared" si="209"/>
        <v>0</v>
      </c>
      <c r="AC390" s="230">
        <f t="shared" si="209"/>
        <v>0</v>
      </c>
      <c r="AD390" s="230">
        <f t="shared" si="207"/>
        <v>0</v>
      </c>
      <c r="AE390" s="230">
        <f t="shared" si="207"/>
        <v>0</v>
      </c>
      <c r="AF390" s="230">
        <f t="shared" si="207"/>
        <v>0</v>
      </c>
      <c r="AG390" s="230">
        <f t="shared" si="207"/>
        <v>0</v>
      </c>
      <c r="AH390" s="230">
        <f t="shared" si="207"/>
        <v>0</v>
      </c>
      <c r="AI390" s="230">
        <f t="shared" si="207"/>
        <v>0</v>
      </c>
      <c r="AJ390" s="230">
        <f t="shared" si="207"/>
        <v>0</v>
      </c>
      <c r="AK390" s="230">
        <f t="shared" si="207"/>
        <v>0</v>
      </c>
      <c r="AL390" s="230">
        <f t="shared" si="207"/>
        <v>0</v>
      </c>
      <c r="AM390" s="230">
        <f t="shared" si="207"/>
        <v>0</v>
      </c>
      <c r="AN390" s="230">
        <f t="shared" si="207"/>
        <v>0</v>
      </c>
      <c r="AO390" s="230">
        <f t="shared" si="207"/>
        <v>0</v>
      </c>
      <c r="AP390" s="230">
        <f t="shared" si="207"/>
        <v>0</v>
      </c>
      <c r="AQ390" s="230">
        <f t="shared" si="207"/>
        <v>0</v>
      </c>
      <c r="AR390" s="230">
        <f t="shared" si="207"/>
        <v>0</v>
      </c>
      <c r="AS390" s="230">
        <f t="shared" si="207"/>
        <v>0</v>
      </c>
      <c r="AT390" s="230">
        <f t="shared" si="207"/>
        <v>0</v>
      </c>
      <c r="AU390" s="230">
        <f t="shared" si="207"/>
        <v>0</v>
      </c>
      <c r="AV390" s="230">
        <f t="shared" si="207"/>
        <v>0</v>
      </c>
      <c r="AW390" s="230">
        <f t="shared" si="207"/>
        <v>0</v>
      </c>
      <c r="AX390" s="230">
        <f t="shared" si="207"/>
        <v>0</v>
      </c>
      <c r="AY390" s="120">
        <f t="shared" si="203"/>
        <v>0</v>
      </c>
      <c r="AZ390" s="20" t="s">
        <v>258</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30">
        <f t="shared" si="209"/>
        <v>0</v>
      </c>
      <c r="AB391" s="230">
        <f t="shared" si="209"/>
        <v>0</v>
      </c>
      <c r="AC391" s="230">
        <f t="shared" si="209"/>
        <v>0</v>
      </c>
      <c r="AD391" s="230">
        <f t="shared" si="207"/>
        <v>0</v>
      </c>
      <c r="AE391" s="230">
        <f t="shared" si="207"/>
        <v>0</v>
      </c>
      <c r="AF391" s="230">
        <f t="shared" si="207"/>
        <v>0</v>
      </c>
      <c r="AG391" s="230">
        <f t="shared" si="207"/>
        <v>0</v>
      </c>
      <c r="AH391" s="230">
        <f t="shared" si="207"/>
        <v>0</v>
      </c>
      <c r="AI391" s="230">
        <f t="shared" si="207"/>
        <v>0</v>
      </c>
      <c r="AJ391" s="230">
        <f t="shared" si="207"/>
        <v>0</v>
      </c>
      <c r="AK391" s="230">
        <f t="shared" si="207"/>
        <v>0</v>
      </c>
      <c r="AL391" s="230">
        <f t="shared" si="207"/>
        <v>0</v>
      </c>
      <c r="AM391" s="230">
        <f t="shared" si="207"/>
        <v>0</v>
      </c>
      <c r="AN391" s="230">
        <f t="shared" si="207"/>
        <v>0</v>
      </c>
      <c r="AO391" s="230">
        <f t="shared" si="207"/>
        <v>0</v>
      </c>
      <c r="AP391" s="230">
        <f t="shared" si="207"/>
        <v>0</v>
      </c>
      <c r="AQ391" s="230">
        <f t="shared" si="207"/>
        <v>0</v>
      </c>
      <c r="AR391" s="230">
        <f t="shared" si="207"/>
        <v>0</v>
      </c>
      <c r="AS391" s="230">
        <f t="shared" si="207"/>
        <v>0</v>
      </c>
      <c r="AT391" s="230">
        <f t="shared" si="207"/>
        <v>0</v>
      </c>
      <c r="AU391" s="230">
        <f t="shared" si="207"/>
        <v>0</v>
      </c>
      <c r="AV391" s="230">
        <f t="shared" si="207"/>
        <v>0</v>
      </c>
      <c r="AW391" s="230">
        <f t="shared" si="207"/>
        <v>0</v>
      </c>
      <c r="AX391" s="230">
        <f t="shared" si="207"/>
        <v>0</v>
      </c>
      <c r="AY391" s="120">
        <f t="shared" si="203"/>
        <v>0</v>
      </c>
      <c r="AZ391" s="20" t="s">
        <v>258</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1</v>
      </c>
      <c r="O392" s="120">
        <f t="shared" si="211"/>
        <v>1</v>
      </c>
      <c r="P392" s="120">
        <f t="shared" si="211"/>
        <v>1</v>
      </c>
      <c r="Q392" s="120">
        <f t="shared" si="211"/>
        <v>1</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30">
        <f t="shared" si="209"/>
        <v>0</v>
      </c>
      <c r="AB392" s="230">
        <f t="shared" si="209"/>
        <v>0</v>
      </c>
      <c r="AC392" s="230">
        <f t="shared" si="209"/>
        <v>0</v>
      </c>
      <c r="AD392" s="230">
        <f t="shared" si="207"/>
        <v>0</v>
      </c>
      <c r="AE392" s="230">
        <f t="shared" si="207"/>
        <v>0</v>
      </c>
      <c r="AF392" s="230">
        <f t="shared" si="207"/>
        <v>0</v>
      </c>
      <c r="AG392" s="230">
        <f t="shared" ref="AG392:AX399" si="212">IF(H392=0,0,H392/AG28)</f>
        <v>0</v>
      </c>
      <c r="AH392" s="230">
        <f t="shared" si="212"/>
        <v>0</v>
      </c>
      <c r="AI392" s="230">
        <f t="shared" si="212"/>
        <v>0</v>
      </c>
      <c r="AJ392" s="230">
        <f t="shared" si="212"/>
        <v>0</v>
      </c>
      <c r="AK392" s="230">
        <f t="shared" si="212"/>
        <v>0</v>
      </c>
      <c r="AL392" s="230">
        <f t="shared" si="212"/>
        <v>0</v>
      </c>
      <c r="AM392" s="230">
        <f t="shared" si="212"/>
        <v>0.33333333333333331</v>
      </c>
      <c r="AN392" s="230">
        <f t="shared" si="212"/>
        <v>0.33333333333333331</v>
      </c>
      <c r="AO392" s="230">
        <f t="shared" si="212"/>
        <v>0.33333333333333331</v>
      </c>
      <c r="AP392" s="230">
        <f t="shared" si="212"/>
        <v>0.33333333333333331</v>
      </c>
      <c r="AQ392" s="230">
        <f t="shared" si="212"/>
        <v>0</v>
      </c>
      <c r="AR392" s="230">
        <f t="shared" si="212"/>
        <v>0</v>
      </c>
      <c r="AS392" s="230">
        <f t="shared" si="212"/>
        <v>0</v>
      </c>
      <c r="AT392" s="230">
        <f t="shared" si="212"/>
        <v>0</v>
      </c>
      <c r="AU392" s="230">
        <f t="shared" si="212"/>
        <v>0</v>
      </c>
      <c r="AV392" s="230">
        <f t="shared" si="212"/>
        <v>0</v>
      </c>
      <c r="AW392" s="230">
        <f t="shared" si="212"/>
        <v>0</v>
      </c>
      <c r="AX392" s="230">
        <f t="shared" si="212"/>
        <v>0</v>
      </c>
      <c r="AY392" s="120">
        <f t="shared" si="203"/>
        <v>1.3333333333333333</v>
      </c>
      <c r="AZ392" s="20" t="s">
        <v>258</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30">
        <f t="shared" si="209"/>
        <v>0</v>
      </c>
      <c r="AB393" s="230">
        <f t="shared" si="209"/>
        <v>0</v>
      </c>
      <c r="AC393" s="230">
        <f t="shared" si="209"/>
        <v>0</v>
      </c>
      <c r="AD393" s="230">
        <f t="shared" si="209"/>
        <v>0</v>
      </c>
      <c r="AE393" s="230">
        <f t="shared" si="209"/>
        <v>0</v>
      </c>
      <c r="AF393" s="230">
        <f t="shared" si="209"/>
        <v>0</v>
      </c>
      <c r="AG393" s="230">
        <f t="shared" si="212"/>
        <v>0</v>
      </c>
      <c r="AH393" s="230">
        <f t="shared" si="212"/>
        <v>0</v>
      </c>
      <c r="AI393" s="230">
        <f t="shared" si="212"/>
        <v>0</v>
      </c>
      <c r="AJ393" s="230">
        <f t="shared" si="212"/>
        <v>0</v>
      </c>
      <c r="AK393" s="230">
        <f t="shared" si="212"/>
        <v>0</v>
      </c>
      <c r="AL393" s="230">
        <f t="shared" si="212"/>
        <v>0</v>
      </c>
      <c r="AM393" s="230">
        <f t="shared" si="212"/>
        <v>0</v>
      </c>
      <c r="AN393" s="230">
        <f t="shared" si="212"/>
        <v>0</v>
      </c>
      <c r="AO393" s="230">
        <f t="shared" si="212"/>
        <v>0</v>
      </c>
      <c r="AP393" s="230">
        <f t="shared" si="212"/>
        <v>0</v>
      </c>
      <c r="AQ393" s="230">
        <f t="shared" si="212"/>
        <v>0</v>
      </c>
      <c r="AR393" s="230">
        <f t="shared" si="212"/>
        <v>0</v>
      </c>
      <c r="AS393" s="230">
        <f t="shared" si="212"/>
        <v>0</v>
      </c>
      <c r="AT393" s="230">
        <f t="shared" si="212"/>
        <v>0</v>
      </c>
      <c r="AU393" s="230">
        <f t="shared" si="212"/>
        <v>0</v>
      </c>
      <c r="AV393" s="230">
        <f t="shared" si="212"/>
        <v>0</v>
      </c>
      <c r="AW393" s="230">
        <f t="shared" si="212"/>
        <v>0</v>
      </c>
      <c r="AX393" s="230">
        <f t="shared" si="212"/>
        <v>0</v>
      </c>
      <c r="AY393" s="120">
        <f t="shared" si="203"/>
        <v>0</v>
      </c>
      <c r="AZ393" s="20" t="s">
        <v>258</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30">
        <f t="shared" si="209"/>
        <v>0</v>
      </c>
      <c r="AB394" s="230">
        <f t="shared" si="209"/>
        <v>0</v>
      </c>
      <c r="AC394" s="230">
        <f t="shared" si="209"/>
        <v>0</v>
      </c>
      <c r="AD394" s="230">
        <f t="shared" si="209"/>
        <v>0</v>
      </c>
      <c r="AE394" s="230">
        <f t="shared" si="209"/>
        <v>0</v>
      </c>
      <c r="AF394" s="230">
        <f t="shared" si="209"/>
        <v>0</v>
      </c>
      <c r="AG394" s="230">
        <f t="shared" si="212"/>
        <v>0</v>
      </c>
      <c r="AH394" s="230">
        <f t="shared" si="212"/>
        <v>0</v>
      </c>
      <c r="AI394" s="230">
        <f t="shared" si="212"/>
        <v>0</v>
      </c>
      <c r="AJ394" s="230">
        <f t="shared" si="212"/>
        <v>0</v>
      </c>
      <c r="AK394" s="230">
        <f t="shared" si="212"/>
        <v>0</v>
      </c>
      <c r="AL394" s="230">
        <f t="shared" si="212"/>
        <v>0</v>
      </c>
      <c r="AM394" s="230">
        <f t="shared" si="212"/>
        <v>0</v>
      </c>
      <c r="AN394" s="230">
        <f t="shared" si="212"/>
        <v>0</v>
      </c>
      <c r="AO394" s="230">
        <f t="shared" si="212"/>
        <v>0</v>
      </c>
      <c r="AP394" s="230">
        <f t="shared" si="212"/>
        <v>0</v>
      </c>
      <c r="AQ394" s="230">
        <f t="shared" si="212"/>
        <v>0</v>
      </c>
      <c r="AR394" s="230">
        <f t="shared" si="212"/>
        <v>0</v>
      </c>
      <c r="AS394" s="230">
        <f t="shared" si="212"/>
        <v>0</v>
      </c>
      <c r="AT394" s="230">
        <f t="shared" si="212"/>
        <v>0</v>
      </c>
      <c r="AU394" s="230">
        <f t="shared" si="212"/>
        <v>0</v>
      </c>
      <c r="AV394" s="230">
        <f t="shared" si="212"/>
        <v>0</v>
      </c>
      <c r="AW394" s="230">
        <f t="shared" si="212"/>
        <v>0</v>
      </c>
      <c r="AX394" s="230">
        <f t="shared" si="212"/>
        <v>0</v>
      </c>
      <c r="AY394" s="120">
        <f t="shared" si="203"/>
        <v>0</v>
      </c>
      <c r="AZ394" s="20" t="s">
        <v>258</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30">
        <f t="shared" si="209"/>
        <v>0</v>
      </c>
      <c r="AB395" s="230">
        <f t="shared" si="209"/>
        <v>0</v>
      </c>
      <c r="AC395" s="230">
        <f t="shared" si="209"/>
        <v>0</v>
      </c>
      <c r="AD395" s="230">
        <f t="shared" si="209"/>
        <v>0</v>
      </c>
      <c r="AE395" s="230">
        <f t="shared" si="209"/>
        <v>0</v>
      </c>
      <c r="AF395" s="230">
        <f t="shared" si="209"/>
        <v>0</v>
      </c>
      <c r="AG395" s="230">
        <f t="shared" si="212"/>
        <v>0</v>
      </c>
      <c r="AH395" s="230">
        <f t="shared" si="212"/>
        <v>0</v>
      </c>
      <c r="AI395" s="230">
        <f t="shared" si="212"/>
        <v>0</v>
      </c>
      <c r="AJ395" s="230">
        <f t="shared" si="212"/>
        <v>0</v>
      </c>
      <c r="AK395" s="230">
        <f t="shared" si="212"/>
        <v>0</v>
      </c>
      <c r="AL395" s="230">
        <f t="shared" si="212"/>
        <v>0</v>
      </c>
      <c r="AM395" s="230">
        <f t="shared" si="212"/>
        <v>0</v>
      </c>
      <c r="AN395" s="230">
        <f t="shared" si="212"/>
        <v>0</v>
      </c>
      <c r="AO395" s="230">
        <f t="shared" si="212"/>
        <v>0</v>
      </c>
      <c r="AP395" s="230">
        <f t="shared" si="212"/>
        <v>0</v>
      </c>
      <c r="AQ395" s="230">
        <f t="shared" si="212"/>
        <v>0</v>
      </c>
      <c r="AR395" s="230">
        <f t="shared" si="212"/>
        <v>0</v>
      </c>
      <c r="AS395" s="230">
        <f t="shared" si="212"/>
        <v>0</v>
      </c>
      <c r="AT395" s="230">
        <f t="shared" si="212"/>
        <v>0</v>
      </c>
      <c r="AU395" s="230">
        <f t="shared" si="212"/>
        <v>0</v>
      </c>
      <c r="AV395" s="230">
        <f t="shared" si="212"/>
        <v>0</v>
      </c>
      <c r="AW395" s="230">
        <f t="shared" si="212"/>
        <v>0</v>
      </c>
      <c r="AX395" s="230">
        <f t="shared" si="212"/>
        <v>0</v>
      </c>
      <c r="AY395" s="120">
        <f t="shared" si="203"/>
        <v>0</v>
      </c>
      <c r="AZ395" s="20" t="s">
        <v>258</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30">
        <f t="shared" si="209"/>
        <v>0</v>
      </c>
      <c r="AB396" s="230">
        <f t="shared" si="209"/>
        <v>0</v>
      </c>
      <c r="AC396" s="230">
        <f t="shared" si="209"/>
        <v>0</v>
      </c>
      <c r="AD396" s="230">
        <f t="shared" si="209"/>
        <v>0</v>
      </c>
      <c r="AE396" s="230">
        <f t="shared" si="209"/>
        <v>0</v>
      </c>
      <c r="AF396" s="230">
        <f t="shared" si="209"/>
        <v>0</v>
      </c>
      <c r="AG396" s="230">
        <f t="shared" si="212"/>
        <v>0</v>
      </c>
      <c r="AH396" s="230">
        <f t="shared" si="212"/>
        <v>0</v>
      </c>
      <c r="AI396" s="230">
        <f t="shared" si="212"/>
        <v>0</v>
      </c>
      <c r="AJ396" s="230">
        <f t="shared" si="212"/>
        <v>0</v>
      </c>
      <c r="AK396" s="230">
        <f t="shared" si="212"/>
        <v>0</v>
      </c>
      <c r="AL396" s="230">
        <f t="shared" si="212"/>
        <v>0</v>
      </c>
      <c r="AM396" s="230">
        <f t="shared" si="212"/>
        <v>0</v>
      </c>
      <c r="AN396" s="230">
        <f t="shared" si="212"/>
        <v>0</v>
      </c>
      <c r="AO396" s="230">
        <f t="shared" si="212"/>
        <v>0</v>
      </c>
      <c r="AP396" s="230">
        <f t="shared" si="212"/>
        <v>0</v>
      </c>
      <c r="AQ396" s="230">
        <f t="shared" si="212"/>
        <v>0</v>
      </c>
      <c r="AR396" s="230">
        <f t="shared" si="212"/>
        <v>0</v>
      </c>
      <c r="AS396" s="230">
        <f t="shared" si="212"/>
        <v>0</v>
      </c>
      <c r="AT396" s="230">
        <f t="shared" si="212"/>
        <v>0</v>
      </c>
      <c r="AU396" s="230">
        <f t="shared" si="212"/>
        <v>0</v>
      </c>
      <c r="AV396" s="230">
        <f t="shared" si="212"/>
        <v>0</v>
      </c>
      <c r="AW396" s="230">
        <f t="shared" si="212"/>
        <v>0</v>
      </c>
      <c r="AX396" s="230">
        <f t="shared" si="212"/>
        <v>0</v>
      </c>
      <c r="AY396" s="120">
        <f t="shared" si="203"/>
        <v>0</v>
      </c>
      <c r="AZ396" s="20" t="s">
        <v>258</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30">
        <f t="shared" si="209"/>
        <v>0</v>
      </c>
      <c r="AB397" s="230">
        <f t="shared" si="209"/>
        <v>0</v>
      </c>
      <c r="AC397" s="230">
        <f t="shared" si="209"/>
        <v>0</v>
      </c>
      <c r="AD397" s="230">
        <f t="shared" si="209"/>
        <v>0</v>
      </c>
      <c r="AE397" s="230">
        <f t="shared" si="209"/>
        <v>0</v>
      </c>
      <c r="AF397" s="230">
        <f t="shared" si="209"/>
        <v>0</v>
      </c>
      <c r="AG397" s="230">
        <f t="shared" si="212"/>
        <v>0</v>
      </c>
      <c r="AH397" s="230">
        <f t="shared" si="212"/>
        <v>0</v>
      </c>
      <c r="AI397" s="230">
        <f t="shared" si="212"/>
        <v>0</v>
      </c>
      <c r="AJ397" s="230">
        <f t="shared" si="212"/>
        <v>0</v>
      </c>
      <c r="AK397" s="230">
        <f>IF(L397=0,0,L397/#REF!)</f>
        <v>0</v>
      </c>
      <c r="AL397" s="230">
        <f t="shared" si="212"/>
        <v>0</v>
      </c>
      <c r="AM397" s="230">
        <f t="shared" si="212"/>
        <v>0</v>
      </c>
      <c r="AN397" s="230">
        <f t="shared" si="212"/>
        <v>0</v>
      </c>
      <c r="AO397" s="230">
        <f t="shared" si="212"/>
        <v>0</v>
      </c>
      <c r="AP397" s="230">
        <f t="shared" si="212"/>
        <v>0</v>
      </c>
      <c r="AQ397" s="230">
        <f t="shared" si="212"/>
        <v>0</v>
      </c>
      <c r="AR397" s="230">
        <f t="shared" si="212"/>
        <v>0</v>
      </c>
      <c r="AS397" s="230">
        <f t="shared" si="212"/>
        <v>0</v>
      </c>
      <c r="AT397" s="230">
        <f t="shared" si="212"/>
        <v>0</v>
      </c>
      <c r="AU397" s="230">
        <f t="shared" si="212"/>
        <v>0</v>
      </c>
      <c r="AV397" s="230">
        <f t="shared" si="212"/>
        <v>0</v>
      </c>
      <c r="AW397" s="230">
        <f t="shared" si="212"/>
        <v>0</v>
      </c>
      <c r="AX397" s="230">
        <f t="shared" si="212"/>
        <v>0</v>
      </c>
      <c r="AY397" s="120">
        <f t="shared" si="203"/>
        <v>0</v>
      </c>
      <c r="AZ397" s="20" t="s">
        <v>258</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30">
        <f t="shared" si="209"/>
        <v>0</v>
      </c>
      <c r="AB398" s="230">
        <f t="shared" si="209"/>
        <v>0</v>
      </c>
      <c r="AC398" s="230">
        <f t="shared" si="209"/>
        <v>0</v>
      </c>
      <c r="AD398" s="230">
        <f t="shared" si="209"/>
        <v>0</v>
      </c>
      <c r="AE398" s="230">
        <f t="shared" si="209"/>
        <v>0</v>
      </c>
      <c r="AF398" s="230">
        <f t="shared" si="209"/>
        <v>0</v>
      </c>
      <c r="AG398" s="230">
        <f t="shared" si="212"/>
        <v>0</v>
      </c>
      <c r="AH398" s="230">
        <f t="shared" si="212"/>
        <v>0</v>
      </c>
      <c r="AI398" s="230">
        <f t="shared" si="212"/>
        <v>0</v>
      </c>
      <c r="AJ398" s="230">
        <f t="shared" si="212"/>
        <v>0</v>
      </c>
      <c r="AK398" s="230">
        <f>IF(L398=0,0,L398/AK33)</f>
        <v>0</v>
      </c>
      <c r="AL398" s="230">
        <f t="shared" si="212"/>
        <v>0</v>
      </c>
      <c r="AM398" s="230">
        <f t="shared" si="212"/>
        <v>0</v>
      </c>
      <c r="AN398" s="230">
        <f t="shared" si="212"/>
        <v>0</v>
      </c>
      <c r="AO398" s="230">
        <f t="shared" si="212"/>
        <v>0</v>
      </c>
      <c r="AP398" s="230">
        <f t="shared" si="212"/>
        <v>0</v>
      </c>
      <c r="AQ398" s="230">
        <f t="shared" si="212"/>
        <v>0</v>
      </c>
      <c r="AR398" s="230">
        <f t="shared" si="212"/>
        <v>0</v>
      </c>
      <c r="AS398" s="230">
        <f t="shared" si="212"/>
        <v>0</v>
      </c>
      <c r="AT398" s="230">
        <f t="shared" si="212"/>
        <v>0</v>
      </c>
      <c r="AU398" s="230">
        <f t="shared" si="212"/>
        <v>0</v>
      </c>
      <c r="AV398" s="230">
        <f t="shared" si="212"/>
        <v>0</v>
      </c>
      <c r="AW398" s="230">
        <f t="shared" si="212"/>
        <v>0</v>
      </c>
      <c r="AX398" s="230">
        <f t="shared" si="212"/>
        <v>0</v>
      </c>
      <c r="AY398" s="120">
        <f t="shared" si="203"/>
        <v>0</v>
      </c>
      <c r="AZ398" s="20" t="s">
        <v>258</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30">
        <f t="shared" si="209"/>
        <v>0</v>
      </c>
      <c r="AB399" s="230">
        <f t="shared" si="209"/>
        <v>0</v>
      </c>
      <c r="AC399" s="230">
        <f t="shared" si="209"/>
        <v>0</v>
      </c>
      <c r="AD399" s="230">
        <f t="shared" si="209"/>
        <v>0</v>
      </c>
      <c r="AE399" s="230">
        <f t="shared" si="209"/>
        <v>0</v>
      </c>
      <c r="AF399" s="230">
        <f t="shared" si="209"/>
        <v>0</v>
      </c>
      <c r="AG399" s="230">
        <f t="shared" si="212"/>
        <v>0</v>
      </c>
      <c r="AH399" s="230">
        <f t="shared" si="212"/>
        <v>0</v>
      </c>
      <c r="AI399" s="230">
        <f t="shared" si="212"/>
        <v>0</v>
      </c>
      <c r="AJ399" s="230">
        <f t="shared" si="212"/>
        <v>0</v>
      </c>
      <c r="AK399" s="230">
        <f t="shared" si="212"/>
        <v>0</v>
      </c>
      <c r="AL399" s="230">
        <f t="shared" si="212"/>
        <v>0</v>
      </c>
      <c r="AM399" s="230">
        <f t="shared" si="212"/>
        <v>0</v>
      </c>
      <c r="AN399" s="230">
        <f t="shared" si="212"/>
        <v>0</v>
      </c>
      <c r="AO399" s="230">
        <f t="shared" si="212"/>
        <v>0</v>
      </c>
      <c r="AP399" s="230">
        <f t="shared" si="212"/>
        <v>0</v>
      </c>
      <c r="AQ399" s="230">
        <f t="shared" si="212"/>
        <v>0</v>
      </c>
      <c r="AR399" s="230">
        <f t="shared" si="212"/>
        <v>0</v>
      </c>
      <c r="AS399" s="230">
        <f t="shared" si="212"/>
        <v>0</v>
      </c>
      <c r="AT399" s="230">
        <f t="shared" si="212"/>
        <v>0</v>
      </c>
      <c r="AU399" s="230">
        <f t="shared" si="212"/>
        <v>0</v>
      </c>
      <c r="AV399" s="230">
        <f t="shared" si="212"/>
        <v>0</v>
      </c>
      <c r="AW399" s="230">
        <f t="shared" si="212"/>
        <v>0</v>
      </c>
      <c r="AX399" s="230">
        <f t="shared" si="212"/>
        <v>0</v>
      </c>
      <c r="AY399" s="120">
        <f t="shared" si="203"/>
        <v>0</v>
      </c>
      <c r="AZ399" s="20" t="s">
        <v>258</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C24" sqref="C24"/>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4"/>
      <c r="C1" s="234"/>
      <c r="D1" s="234"/>
      <c r="E1" s="234"/>
    </row>
    <row r="2" spans="2:8" ht="21" customHeight="1">
      <c r="B2" s="234"/>
      <c r="C2" s="238"/>
      <c r="D2" s="238"/>
      <c r="E2" s="239" t="s">
        <v>32</v>
      </c>
    </row>
    <row r="3" spans="2:8" ht="15" customHeight="1">
      <c r="B3" s="234"/>
      <c r="C3" s="238"/>
      <c r="D3" s="238"/>
      <c r="E3" s="240" t="str">
        <f>Dat_01!A2</f>
        <v>Septiembre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227</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379</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P22" sqref="P2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Septiembre 2023</v>
      </c>
    </row>
    <row r="4" spans="3:12" ht="12.75">
      <c r="C4" s="19" t="s">
        <v>31</v>
      </c>
    </row>
    <row r="5" spans="3:12" ht="11.25">
      <c r="C5" s="3"/>
    </row>
    <row r="6" spans="3:12" ht="11.25">
      <c r="C6" s="4"/>
    </row>
    <row r="7" spans="3:12" ht="10.5" customHeight="1">
      <c r="C7" s="247" t="s">
        <v>38</v>
      </c>
    </row>
    <row r="8" spans="3:12" ht="10.5" customHeight="1">
      <c r="C8" s="247"/>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P22" sqref="P2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Septiembre 2023</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47" t="s">
        <v>176</v>
      </c>
      <c r="D7" s="5"/>
      <c r="E7" s="6"/>
      <c r="H7" s="149"/>
    </row>
    <row r="8" spans="2:8" s="1" customFormat="1" ht="12.75" customHeight="1">
      <c r="B8" s="2"/>
      <c r="C8" s="247"/>
      <c r="D8" s="5"/>
      <c r="E8" s="6"/>
    </row>
    <row r="9" spans="2:8" s="1" customFormat="1">
      <c r="B9" s="2"/>
      <c r="C9" s="247"/>
      <c r="D9" s="5"/>
      <c r="E9" s="6"/>
    </row>
    <row r="10" spans="2:8" s="1" customFormat="1" ht="12.75" customHeight="1">
      <c r="B10" s="2"/>
      <c r="C10" s="247"/>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2" sqref="E3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Septiembre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7" t="s">
        <v>51</v>
      </c>
      <c r="D7" s="5"/>
      <c r="E7" s="12"/>
    </row>
    <row r="8" spans="2:19" s="1" customFormat="1" ht="12.75" customHeight="1">
      <c r="B8" s="2"/>
      <c r="C8" s="247"/>
      <c r="D8" s="5"/>
      <c r="E8" s="12"/>
    </row>
    <row r="9" spans="2:19" s="1" customFormat="1" ht="18" customHeight="1">
      <c r="B9" s="2"/>
      <c r="C9" s="247"/>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P22" sqref="P22"/>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Septiembre 2023</v>
      </c>
    </row>
    <row r="4" spans="1:8">
      <c r="B4" s="19" t="s">
        <v>31</v>
      </c>
    </row>
    <row r="7" spans="1:8" ht="12.75" customHeight="1">
      <c r="B7" s="248" t="s">
        <v>44</v>
      </c>
    </row>
    <row r="8" spans="1:8">
      <c r="B8" s="248"/>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P22" sqref="P2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Septiembre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8" t="s">
        <v>29</v>
      </c>
      <c r="D7" s="5"/>
      <c r="E7" s="12"/>
    </row>
    <row r="8" spans="2:39" s="1" customFormat="1" ht="12.75" customHeight="1">
      <c r="B8" s="2"/>
      <c r="C8" s="248"/>
      <c r="D8" s="5"/>
      <c r="E8" s="12"/>
    </row>
    <row r="9" spans="2:39" s="1" customFormat="1" ht="12.75" customHeight="1">
      <c r="B9" s="2"/>
      <c r="C9" s="248"/>
      <c r="D9" s="5"/>
      <c r="E9" s="12"/>
    </row>
    <row r="10" spans="2:39" s="1" customFormat="1" ht="12.75" customHeight="1">
      <c r="B10" s="2"/>
      <c r="C10" s="248"/>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266</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P22" sqref="P22"/>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9" t="s">
        <v>32</v>
      </c>
      <c r="F2" s="249"/>
      <c r="G2" s="249"/>
      <c r="H2" s="10"/>
      <c r="I2" s="10"/>
    </row>
    <row r="3" spans="2:11" ht="15" customHeight="1">
      <c r="E3" s="250" t="str">
        <f>Indice!E3</f>
        <v>Septiembre 2023</v>
      </c>
      <c r="F3" s="250"/>
      <c r="G3" s="250"/>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8" t="s">
        <v>70</v>
      </c>
      <c r="D7" s="59"/>
      <c r="E7" s="60"/>
      <c r="F7" s="76"/>
      <c r="G7" s="76"/>
      <c r="I7" s="156"/>
    </row>
    <row r="8" spans="2:11" s="61" customFormat="1" ht="15" customHeight="1">
      <c r="B8" s="58"/>
      <c r="C8" s="248"/>
      <c r="D8" s="59"/>
      <c r="E8" s="62"/>
      <c r="F8" s="63" t="str">
        <f>Dat_01!G97</f>
        <v>2022 Septiembre</v>
      </c>
      <c r="G8" s="63" t="str">
        <f>Dat_01!C97</f>
        <v>2023 Septiembre</v>
      </c>
      <c r="I8" s="156"/>
    </row>
    <row r="9" spans="2:11" s="1" customFormat="1" ht="15" customHeight="1">
      <c r="B9" s="2"/>
      <c r="C9" s="47"/>
      <c r="D9" s="5"/>
      <c r="E9" s="163" t="s">
        <v>206</v>
      </c>
      <c r="F9" s="164">
        <f>Dat_01!G98/1000000</f>
        <v>16.894452614030001</v>
      </c>
      <c r="G9" s="164">
        <f>Dat_01!C98/1000000</f>
        <v>51.17908751025</v>
      </c>
      <c r="H9" s="61"/>
      <c r="I9" s="156"/>
      <c r="J9" s="61"/>
      <c r="K9" s="61"/>
    </row>
    <row r="10" spans="2:11" s="1" customFormat="1" ht="15" customHeight="1">
      <c r="B10" s="2"/>
      <c r="C10" s="248"/>
      <c r="D10" s="5"/>
      <c r="E10" s="163" t="s">
        <v>207</v>
      </c>
      <c r="F10" s="164">
        <f>Dat_01!G99/1000000</f>
        <v>96.810908237699991</v>
      </c>
      <c r="G10" s="164">
        <f>Dat_01!C99/1000000</f>
        <v>64.467692688349999</v>
      </c>
      <c r="H10" s="61"/>
      <c r="I10" s="156"/>
      <c r="J10" s="61"/>
      <c r="K10" s="61"/>
    </row>
    <row r="11" spans="2:11" s="1" customFormat="1" ht="15" customHeight="1">
      <c r="B11" s="2"/>
      <c r="C11" s="248"/>
      <c r="D11" s="5"/>
      <c r="E11" s="56" t="s">
        <v>46</v>
      </c>
      <c r="F11" s="165">
        <f>SUM(F9:F10)</f>
        <v>113.70536085172999</v>
      </c>
      <c r="G11" s="165">
        <f>SUM(G9:G10)</f>
        <v>115.6467801986</v>
      </c>
      <c r="H11" s="61"/>
      <c r="I11" s="156"/>
      <c r="J11" s="61"/>
      <c r="K11" s="61"/>
    </row>
    <row r="12" spans="2:11" s="1" customFormat="1" ht="15" customHeight="1">
      <c r="B12" s="2"/>
      <c r="C12" s="248"/>
      <c r="D12" s="5"/>
      <c r="E12" s="56" t="s">
        <v>261</v>
      </c>
      <c r="F12" s="165">
        <f>Dat_01!G101/1000000</f>
        <v>48.02580349830999</v>
      </c>
      <c r="G12" s="165">
        <f>Dat_01!C101/1000000</f>
        <v>43.277754701650011</v>
      </c>
      <c r="H12" s="61"/>
      <c r="I12" s="156"/>
      <c r="J12" s="61"/>
      <c r="K12" s="61"/>
    </row>
    <row r="13" spans="2:11" s="1" customFormat="1" ht="15" customHeight="1">
      <c r="B13" s="2"/>
      <c r="C13" s="4"/>
      <c r="D13" s="5"/>
      <c r="E13" s="56" t="s">
        <v>16</v>
      </c>
      <c r="F13" s="165">
        <f>IF(Dat_01!G102="-",0,Dat_01!G102/1000000)</f>
        <v>13.287771718899998</v>
      </c>
      <c r="G13" s="165">
        <f>Dat_01!C102/1000000</f>
        <v>15.62308987155</v>
      </c>
      <c r="H13" s="61"/>
      <c r="I13" s="156"/>
      <c r="J13" s="61"/>
      <c r="K13" s="61"/>
    </row>
    <row r="14" spans="2:11" s="1" customFormat="1" ht="15" customHeight="1">
      <c r="B14" s="2"/>
      <c r="C14" s="4"/>
      <c r="D14" s="5"/>
      <c r="E14" s="56" t="s">
        <v>190</v>
      </c>
      <c r="F14" s="165">
        <f>(SUM(Dat_01!G103:G105)+IF(Dat_01!G106="-",0,Dat_01!G106))/1000000</f>
        <v>-3.41685558486</v>
      </c>
      <c r="G14" s="165">
        <f>(SUM(Dat_01!C103:C105)+IF(Dat_01!C106="-",0,Dat_01!C106))/1000000</f>
        <v>-13.468180923749999</v>
      </c>
      <c r="H14" s="61"/>
      <c r="I14" s="156"/>
      <c r="J14" s="61"/>
      <c r="K14" s="61"/>
    </row>
    <row r="15" spans="2:11" s="1" customFormat="1" ht="15" customHeight="1">
      <c r="B15" s="2"/>
      <c r="C15" s="4"/>
      <c r="D15" s="5"/>
      <c r="E15" s="56" t="s">
        <v>47</v>
      </c>
      <c r="F15" s="166">
        <f>IF(Dat_01!G107="-","-",Dat_01!G107/1000000)</f>
        <v>-1.3287771718900001</v>
      </c>
      <c r="G15" s="166">
        <f>IF(Dat_01!C107="-","-",Dat_01!C107/1000000)</f>
        <v>-1.2570302195500003</v>
      </c>
      <c r="H15" s="61"/>
      <c r="I15" s="156"/>
      <c r="J15" s="61"/>
      <c r="K15" s="61"/>
    </row>
    <row r="16" spans="2:11" s="1" customFormat="1" ht="15" customHeight="1">
      <c r="B16" s="2"/>
      <c r="C16" s="4"/>
      <c r="D16" s="5"/>
      <c r="E16" s="57" t="s">
        <v>191</v>
      </c>
      <c r="F16" s="167">
        <f>SUM(F11:F15)</f>
        <v>170.27330331218997</v>
      </c>
      <c r="G16" s="167">
        <f>SUM(G11:G15)</f>
        <v>159.82241362850004</v>
      </c>
      <c r="I16" s="98"/>
    </row>
    <row r="17" spans="2:10" s="1" customFormat="1" ht="15" customHeight="1">
      <c r="B17" s="2"/>
      <c r="C17" s="4"/>
      <c r="D17" s="4"/>
      <c r="E17" s="64" t="str">
        <f>"∆"&amp;MID(G8,1,4)&amp;"/"&amp;MID(F8,1,4)</f>
        <v>∆2023/2022</v>
      </c>
      <c r="F17" s="155"/>
      <c r="G17" s="65">
        <f>(G16-F16)/F16</f>
        <v>-6.1377147681974505E-2</v>
      </c>
      <c r="I17" s="4"/>
      <c r="J17" s="4"/>
    </row>
    <row r="18" spans="2:10" s="1" customFormat="1" ht="12.75" customHeight="1">
      <c r="B18" s="2"/>
      <c r="C18" s="4"/>
      <c r="D18" s="5"/>
      <c r="H18" s="55"/>
      <c r="I18" s="55"/>
    </row>
    <row r="19" spans="2:10" s="1" customFormat="1" ht="12.75" customHeight="1">
      <c r="B19" s="2"/>
      <c r="C19" s="4"/>
      <c r="D19" s="4"/>
      <c r="E19" s="158" t="s">
        <v>265</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P22" sqref="P2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Septiembre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8" t="s">
        <v>227</v>
      </c>
      <c r="D7" s="5"/>
      <c r="E7" s="12"/>
    </row>
    <row r="8" spans="2:9" s="1" customFormat="1" ht="12.75" customHeight="1">
      <c r="B8" s="2"/>
      <c r="C8" s="248"/>
      <c r="D8" s="5"/>
      <c r="E8" s="12"/>
    </row>
    <row r="9" spans="2:9" s="1" customFormat="1" ht="12.75" customHeight="1">
      <c r="B9" s="2"/>
      <c r="C9" s="248"/>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2023-10-17T10:08:05Z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