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5\MAY\INF_ELABORADA\"/>
    </mc:Choice>
  </mc:AlternateContent>
  <xr:revisionPtr revIDLastSave="0" documentId="13_ncr:1_{FA2DF49C-354A-4690-815D-D45A250F6FF2}" xr6:coauthVersionLast="47" xr6:coauthVersionMax="47" xr10:uidLastSave="{00000000-0000-0000-0000-000000000000}"/>
  <bookViews>
    <workbookView xWindow="-120" yWindow="-120" windowWidth="29040" windowHeight="1572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s>
  <definedNames>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5" i="96" l="1"/>
  <c r="O65" i="96"/>
  <c r="N74" i="96" l="1"/>
  <c r="N73" i="96"/>
  <c r="AN38" i="96" l="1"/>
  <c r="AN9" i="96"/>
  <c r="AN10" i="96"/>
  <c r="AN11" i="96"/>
  <c r="AN12" i="96"/>
  <c r="AN13" i="96"/>
  <c r="AN14" i="96"/>
  <c r="AN15" i="96"/>
  <c r="AN16" i="96"/>
  <c r="AN17" i="96"/>
  <c r="AN18" i="96"/>
  <c r="AN19" i="96"/>
  <c r="AN20" i="96"/>
  <c r="AN21" i="96"/>
  <c r="AN22" i="96"/>
  <c r="AN23" i="96"/>
  <c r="AN24" i="96"/>
  <c r="AN25" i="96"/>
  <c r="AN26" i="96"/>
  <c r="AN27" i="96"/>
  <c r="AN28" i="96"/>
  <c r="AN29" i="96"/>
  <c r="AN30" i="96"/>
  <c r="AN31" i="96"/>
  <c r="AN32" i="96"/>
  <c r="AN33" i="96"/>
  <c r="AN34" i="96"/>
  <c r="AN35" i="96"/>
  <c r="AN36" i="96"/>
  <c r="AN37" i="96"/>
  <c r="AN8" i="96"/>
  <c r="B89" i="96" l="1"/>
  <c r="P67" i="96" l="1"/>
  <c r="A438" i="96"/>
  <c r="Q371" i="96" l="1"/>
  <c r="P371" i="96"/>
  <c r="P355" i="96"/>
  <c r="N318" i="96" l="1"/>
  <c r="M318" i="96"/>
  <c r="L318" i="96"/>
  <c r="K318" i="96"/>
  <c r="J318" i="96"/>
  <c r="I318" i="96"/>
  <c r="H318" i="96"/>
  <c r="G318" i="96"/>
  <c r="F318" i="96"/>
  <c r="E318" i="96"/>
  <c r="D318" i="96"/>
  <c r="C318" i="96"/>
  <c r="B318" i="96"/>
  <c r="P171" i="96"/>
  <c r="P152" i="96"/>
  <c r="C107" i="96" l="1"/>
  <c r="I466" i="96"/>
  <c r="F466" i="96"/>
  <c r="C466" i="96"/>
  <c r="B466" i="96"/>
  <c r="C105" i="96"/>
  <c r="C104" i="96"/>
  <c r="C103" i="96"/>
  <c r="C102" i="96"/>
  <c r="C101" i="96"/>
  <c r="C100" i="96"/>
  <c r="C99" i="96"/>
  <c r="C98" i="96"/>
  <c r="H94" i="96"/>
  <c r="F94" i="96"/>
  <c r="E94" i="96"/>
  <c r="C94" i="96"/>
  <c r="B94" i="96"/>
  <c r="N90" i="96"/>
  <c r="N89" i="96"/>
  <c r="N88" i="96"/>
  <c r="N87" i="96"/>
  <c r="N86" i="96"/>
  <c r="N85" i="96"/>
  <c r="N83" i="96"/>
  <c r="N82" i="96"/>
  <c r="A116" i="96"/>
  <c r="G106" i="96" s="1"/>
  <c r="G101" i="96"/>
  <c r="C106" i="96" l="1"/>
  <c r="I465" i="96"/>
  <c r="F465" i="96"/>
  <c r="C465" i="96"/>
  <c r="B465" i="96"/>
  <c r="B464" i="96"/>
  <c r="B454" i="96"/>
  <c r="N395" i="96" l="1"/>
  <c r="M395" i="96"/>
  <c r="L395" i="96"/>
  <c r="K395" i="96"/>
  <c r="J395" i="96"/>
  <c r="I395" i="96"/>
  <c r="H395" i="96"/>
  <c r="G395" i="96"/>
  <c r="F395" i="96"/>
  <c r="E395" i="96"/>
  <c r="D395" i="96"/>
  <c r="C395" i="96"/>
  <c r="B395" i="96"/>
  <c r="M84" i="96" l="1"/>
  <c r="M90" i="96" l="1"/>
  <c r="M89" i="96"/>
  <c r="M88" i="96"/>
  <c r="M85" i="96"/>
  <c r="M83" i="96"/>
  <c r="M82" i="96"/>
  <c r="K84" i="96"/>
  <c r="L84" i="96"/>
  <c r="J84" i="96"/>
  <c r="I84" i="96"/>
  <c r="K89" i="96"/>
  <c r="J89" i="96"/>
  <c r="I89" i="96"/>
  <c r="H89" i="96"/>
  <c r="G89" i="96"/>
  <c r="F89" i="96"/>
  <c r="E89" i="96"/>
  <c r="D89" i="96"/>
  <c r="C89" i="96"/>
  <c r="L89" i="96"/>
  <c r="G84" i="96"/>
  <c r="H84" i="96"/>
  <c r="C84" i="96"/>
  <c r="D84" i="96"/>
  <c r="E84" i="96"/>
  <c r="F84" i="96"/>
  <c r="B84" i="96"/>
  <c r="M87" i="96"/>
  <c r="M86" i="96"/>
  <c r="N84" i="96" l="1"/>
  <c r="N91" i="96" s="1"/>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K94" i="96" l="1"/>
  <c r="G107" i="96" l="1"/>
  <c r="G105" i="96"/>
  <c r="G104" i="96"/>
  <c r="G103" i="96"/>
  <c r="G102" i="96"/>
  <c r="G100" i="96"/>
  <c r="G99" i="96"/>
  <c r="G98"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F13" i="76" l="1"/>
  <c r="G97" i="96"/>
  <c r="B88" i="96" l="1"/>
  <c r="B87" i="96"/>
  <c r="B86" i="96"/>
  <c r="B85" i="96"/>
  <c r="B83" i="96"/>
  <c r="B90" i="96"/>
  <c r="O90" i="96" l="1"/>
  <c r="P90" i="96" s="1"/>
  <c r="J94" i="96"/>
  <c r="I94" i="96"/>
  <c r="H121" i="96" l="1"/>
  <c r="C81" i="96"/>
  <c r="D81" i="96"/>
  <c r="E81" i="96"/>
  <c r="F81" i="96"/>
  <c r="G81" i="96"/>
  <c r="H81" i="96"/>
  <c r="I81" i="96"/>
  <c r="J81" i="96"/>
  <c r="K81" i="96"/>
  <c r="L81" i="96"/>
  <c r="B81" i="96"/>
  <c r="A2" i="96" l="1"/>
  <c r="F95" i="96" l="1"/>
  <c r="G459" i="96"/>
  <c r="G458" i="96"/>
  <c r="G457" i="96"/>
  <c r="G460" i="96"/>
  <c r="G461" i="96"/>
  <c r="G462" i="96"/>
  <c r="G463" i="96"/>
  <c r="G464" i="96"/>
  <c r="G456" i="96"/>
  <c r="G455" i="96"/>
  <c r="I454" i="96"/>
  <c r="G454" i="96"/>
  <c r="F454" i="96"/>
  <c r="C454" i="96"/>
  <c r="E454" i="96"/>
  <c r="F464" i="96"/>
  <c r="C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AM8" i="96" l="1"/>
  <c r="Q298"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298" i="96" l="1"/>
  <c r="P279" i="96"/>
  <c r="Q235" i="96"/>
  <c r="P235" i="96"/>
  <c r="P216" i="96"/>
  <c r="AI8" i="96" l="1"/>
  <c r="I121" i="96"/>
  <c r="F8" i="76" l="1"/>
  <c r="C97" i="96"/>
  <c r="G8" i="76" s="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E95" i="96" l="1"/>
  <c r="A466" i="96"/>
  <c r="J466" i="96" s="1"/>
  <c r="D94" i="96" l="1"/>
  <c r="H454" i="96"/>
  <c r="H464" i="96"/>
  <c r="H456" i="96"/>
  <c r="H457" i="96"/>
  <c r="H465" i="96"/>
  <c r="H458" i="96"/>
  <c r="H459" i="96"/>
  <c r="H460" i="96"/>
  <c r="H461" i="96"/>
  <c r="H462" i="96"/>
  <c r="H455" i="96"/>
  <c r="H463" i="96"/>
  <c r="D466" i="96"/>
  <c r="L94" i="96" l="1"/>
  <c r="D95"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<sst xmlns="http://schemas.openxmlformats.org/spreadsheetml/2006/main" count="819" uniqueCount="297">
  <si>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</si>
  <si>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</si>
  <si>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</si>
  <si>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</si>
  <si>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</si>
  <si>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</si>
  <si>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</si>
  <si>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</si>
  <si>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</si>
  <si>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</si>
  <si>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</si>
  <si>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</si>
  <si>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</si>
  <si>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</si>
  <si>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</si>
  <si>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</si>
  <si>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</si>
  <si>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</si>
  <si>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</si>
  <si>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</si>
  <si>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</si>
  <si>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</si>
  <si>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</si>
  <si>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</si>
  <si>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</si>
  <si>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</si>
  <si>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</si>
  <si>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</si>
  <si>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</si>
  <si>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</si>
  <si>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</si>
  <si>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</si>
  <si>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</si>
  <si>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</si>
  <si>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</si>
  <si>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</si>
  <si>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</si>
  <si>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</si>
  <si>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</si>
  <si>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</si>
  <si>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</si>
  <si>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</si>
  <si>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</si>
  <si>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</si>
  <si>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</si>
  <si>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</si>
  <si>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</si>
  <si>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</si>
  <si>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</si>
  <si>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</si>
  <si>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</si>
  <si>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</si>
  <si>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</si>
  <si>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</si>
  <si>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</si>
  <si>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</si>
  <si>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</si>
  <si>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</si>
  <si>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</si>
  <si>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</si>
  <si>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</si>
  <si>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</si>
  <si>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</si>
  <si>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</si>
  <si>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</si>
  <si>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</si>
  <si>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</si>
  <si>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</si>
  <si>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</si>
  <si>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</si>
  <si>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</si>
  <si>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</si>
  <si>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</si>
  <si>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</si>
  <si>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</si>
  <si>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</si>
  <si>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</si>
  <si>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</si>
  <si>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</si>
  <si>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</si>
  <si>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</si>
  <si>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</si>
  <si>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</si>
  <si>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</si>
  <si>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</si>
  <si>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</si>
  <si>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</si>
  <si>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</si>
  <si>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</si>
  <si>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</si>
  <si>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</si>
  <si>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</si>
  <si>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</si>
  <si>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</si>
  <si>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</si>
  <si>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</si>
  <si>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</si>
  <si>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</si>
  <si>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</si>
  <si>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</si>
  <si>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</si>
  <si>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</si>
  <si>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</si>
  <si>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</si>
  <si>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</si>
  <si>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</si>
  <si>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</si>
  <si>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</si>
  <si>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</si>
  <si>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</si>
  <si>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</si>
  <si>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</si>
  <si>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</si>
  <si>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</si>
  <si>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</si>
  <si>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</si>
  <si>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</si>
  <si>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</si>
  <si>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</si>
  <si>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</si>
  <si>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</si>
  <si>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</si>
  <si>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</si>
  <si>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</si>
  <si>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Fecha</t>
  </si>
  <si>
    <t>Coste de los servicios de ajuste (€)</t>
  </si>
  <si>
    <t>SegDiario</t>
  </si>
  <si>
    <t>Banda 2ª</t>
  </si>
  <si>
    <t>Asign 2ª</t>
  </si>
  <si>
    <t>Terciaria</t>
  </si>
  <si>
    <t>T Real</t>
  </si>
  <si>
    <t>(MW y €/MW)</t>
  </si>
  <si>
    <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</si>
  <si>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</si>
  <si>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</si>
  <si>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</si>
  <si>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</si>
  <si>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</si>
  <si>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</si>
  <si>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</si>
  <si>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</si>
  <si>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</si>
  <si>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</si>
  <si>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</si>
  <si>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</si>
  <si>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</si>
  <si>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</si>
  <si>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</si>
  <si>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</si>
  <si>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</si>
  <si>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</si>
  <si>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</si>
  <si>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</si>
  <si>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</si>
  <si>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</si>
  <si>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</si>
  <si>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</si>
  <si>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</si>
  <si>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</si>
  <si>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</si>
  <si>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</si>
  <si>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</si>
  <si>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</si>
  <si>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</si>
  <si>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</si>
  <si>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</si>
  <si>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</si>
  <si>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</si>
  <si>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</si>
  <si>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</si>
  <si>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</si>
  <si>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</si>
  <si>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</si>
  <si>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</si>
  <si>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</si>
  <si>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</si>
  <si>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</si>
  <si>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</si>
  <si>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</si>
  <si>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</si>
  <si>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</si>
  <si>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</si>
  <si>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</si>
  <si>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</si>
  <si>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</si>
  <si>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</si>
  <si>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</si>
  <si>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Banda Secundaria y RAD</t>
  </si>
  <si>
    <t>Banda de regulación secundaria y RAD</t>
  </si>
  <si>
    <t>Servicio RAD</t>
  </si>
  <si>
    <t>(*) RAD (Respuesta Activa de la Demanda)</t>
  </si>
  <si>
    <t>Promedio</t>
  </si>
  <si>
    <t>Secundaria utilizada en GWh</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</si>
  <si>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</si>
  <si>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</si>
  <si>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</si>
  <si>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</si>
  <si>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</si>
  <si>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</si>
  <si>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</si>
  <si>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</si>
  <si>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</si>
  <si>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</si>
  <si>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</si>
  <si>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</si>
  <si>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</si>
  <si>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Energía de regulación secundaria evitada mediante la plataforma de neteo IGCC</t>
  </si>
  <si>
    <t>Servicio RAD e ingreso control de tensión</t>
  </si>
  <si>
    <t>(*) Incluye incumplimento de energía de balance, saldo de desvíos, desvíos entre sistemas, Servicio RAD (Respuesta Activa de la Demanda) e ingreso control de tensión</t>
  </si>
  <si>
    <t>Almacenamiento</t>
  </si>
  <si>
    <t>Hibridación</t>
  </si>
  <si>
    <t>2024 Mayo</t>
  </si>
  <si>
    <t>MAY-24</t>
  </si>
  <si>
    <t>2024 Junio</t>
  </si>
  <si>
    <t>JUN-24</t>
  </si>
  <si>
    <t>2024 Julio</t>
  </si>
  <si>
    <t>JUL-24</t>
  </si>
  <si>
    <t>2024 Agosto</t>
  </si>
  <si>
    <t>AGO-24</t>
  </si>
  <si>
    <t>2024 Septiembre</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</si>
  <si>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</si>
  <si>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</si>
  <si>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</si>
  <si>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</si>
  <si>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</si>
  <si>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NOV-24</t>
  </si>
  <si>
    <t>2024 Noviembre</t>
  </si>
  <si>
    <t>Reserva de regulación secundaria</t>
  </si>
  <si>
    <t>2024 Diciembre</t>
  </si>
  <si>
    <t>Reserva de regulación</t>
  </si>
  <si>
    <t>DIC-24</t>
  </si>
  <si>
    <t xml:space="preserve">Banda Secundaria </t>
  </si>
  <si>
    <t>2025 Enero</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</si>
  <si>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ut="02/12/2025 17:36:21"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msgID="D64D464411EFE967123E0080EF059A38"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nrr="2431" nrc="1352"&gt;&lt;pg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</si>
  <si>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ENE-25</t>
  </si>
  <si>
    <t>2025 Febrero</t>
  </si>
  <si>
    <t>Precio Medio Ponderado (€/MWh) según Medidas toda la energía</t>
  </si>
  <si>
    <t>FEB-25</t>
  </si>
  <si>
    <t>2025 Marzo</t>
  </si>
  <si>
    <t>MAR-25</t>
  </si>
  <si>
    <t>%h con p=&lt;0</t>
  </si>
  <si>
    <t>%h con 0&lt;p=&lt;50</t>
  </si>
  <si>
    <t>%h con 50&lt;p=&lt;100</t>
  </si>
  <si>
    <t>%h con 100&lt;p=&lt;150</t>
  </si>
  <si>
    <t>%h con p&gt;150</t>
  </si>
  <si>
    <t>Mercado diario. Porcentaje de horas en que los precios han estado dentro de unos márgenes</t>
  </si>
  <si>
    <t>Mercado diario: rango de precios en el mercado diario</t>
  </si>
  <si>
    <t>Mercado diario: Número de horas con diferentes rango del precios  (%)</t>
  </si>
  <si>
    <t>2025 Abril</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</si>
  <si>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ut="05/12/2025 08:21:17"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msgID="2B36B3DE11F02F09189A0080EFF5E431"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rows="45" cols="15" /&gt;&lt;esdo ews="" ece="" ptn="" /&gt;&lt;/excel&gt;&lt;pgs&gt;&lt;pg rows="42" cols="13" nrr="1455" nrc="559"&gt;&lt;pg /&gt;&lt;bls&gt;&lt;bl sr="1" sc="1" rfetch="42" cfetch="13" posid="1" darows="0" dacols="1"&gt;&lt;excel&gt;&lt;epo ews="Dat_01" ece="A258" enr="MSTR.Asignaciones_SEPE_Periodo_simple_"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</si>
  <si>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ABR-25</t>
  </si>
  <si>
    <t>BANDA</t>
  </si>
  <si>
    <t>01/05/2025</t>
  </si>
  <si>
    <t>02/05/2025</t>
  </si>
  <si>
    <t>03/05/2025</t>
  </si>
  <si>
    <t>04/05/2025</t>
  </si>
  <si>
    <t>05/05/2025</t>
  </si>
  <si>
    <t>06/05/2025</t>
  </si>
  <si>
    <t>07/05/2025</t>
  </si>
  <si>
    <t>08/05/2025</t>
  </si>
  <si>
    <t>09/05/2025</t>
  </si>
  <si>
    <t>10/05/2025</t>
  </si>
  <si>
    <t>11/05/2025</t>
  </si>
  <si>
    <t>12/05/2025</t>
  </si>
  <si>
    <t>13/05/2025</t>
  </si>
  <si>
    <t>14/05/2025</t>
  </si>
  <si>
    <t>15/05/2025</t>
  </si>
  <si>
    <t>16/05/2025</t>
  </si>
  <si>
    <t>17/05/2025</t>
  </si>
  <si>
    <t>18/05/2025</t>
  </si>
  <si>
    <t>19/05/2025</t>
  </si>
  <si>
    <t>20/05/2025</t>
  </si>
  <si>
    <t>21/05/2025</t>
  </si>
  <si>
    <t>22/05/2025</t>
  </si>
  <si>
    <t>23/05/2025</t>
  </si>
  <si>
    <t>24/05/2025</t>
  </si>
  <si>
    <t>25/05/2025</t>
  </si>
  <si>
    <t>26/05/2025</t>
  </si>
  <si>
    <t>27/05/2025</t>
  </si>
  <si>
    <t>28/05/2025</t>
  </si>
  <si>
    <t>29/05/2025</t>
  </si>
  <si>
    <t>30/05/2025</t>
  </si>
  <si>
    <t>31/05/2025</t>
  </si>
  <si>
    <t>2025 Mayo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</si>
  <si>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ut="06/10/2025 10:38:52"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msgID="0F7AE3F111F045E7123E0080EF35FA38"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nrr="3290" nrc="3275"&gt;&lt;pg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</si>
  <si>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ut="06/10/2025 11:40:40"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msgID="96D2FF1A11F045EF123E0080EFE55935"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nrr="2550" nrc="1651"&gt;&lt;pg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</si>
  <si>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ut="06/10/2025 11:44:58"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msgID="4C61FA3F11F045F0123E0080EFC51A37"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nrr="503" nrc="218"&gt;&lt;pg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</si>
  <si>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ut="06/10/2025 12:00:42"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msgID="7B27CACD11F045F2123E0080EFC51A37"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nrr="106" nrc="676"&gt;&lt;pg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</si>
  <si>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ut="06/10/2025 12:07:20"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msgID="7B4E0F2111F045F2123E0080EFA5D937"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nrr="92" nrc="598"&gt;&lt;pg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</si>
  <si>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ut="06/10/2025 12:26:14"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msgID="154897B511F045F6123E0080EFC51935"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nrr="98" nrc="637"&gt;&lt;pg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</si>
  <si>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ut="06/10/2025 12:27:38"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msgID="15495FA011F045F6123E0080EF95B937"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nrr="98" nrc="624"&gt;&lt;pg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</si>
  <si>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ut="06/10/2025 12:29:03"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msgID="156197E611F045F6123E0080EF451936"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nrr="512" nrc="816"&gt;&lt;pg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</si>
  <si>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ut="06/10/2025 12:33:21"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msgID="D1EB963311F045F6123E0080EF757A38"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nrr="376" nrc="611"&gt;&lt;pg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</si>
  <si>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b3f5859317244cd49d16a11908ddb305</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</si>
  <si>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ut="06/10/2025 12:39:46" si="2.00000001b530171f010a65e1e10bf1b871f901d84eaace26fb67200d87b2ed88ba246fdbb698339c24768f6cf714418fbf4bfe86e642180b53523e809715639200b59a123ad34b320a3fa45de8d6b97d5d3d16243e119473e91bc5f73e6bea39d0fb85789c64985c78b41822d8ecf2ab7645538e5ccb20e9640a24e87e09a1a3e47dd70deba937ecee47f0fc07f433f6f5c5c576e68e7bda7f60634b58dd4f93fb31.p.3082.0.1.Europe/Madrid.upriv*_1*_pidn2*_2*_session*-lat*_1.0000000159140bee64064e3fdeb7e33f0144e56231cdd82eedea4708de8199af9cd17aa5b1955485a2b4d782a8b15f5097204e004e43593d.00000001333528e473ec5c9151bafe23104dd9cf31cdd82ef9aa50f216f4e099ee1a5f63c4b51b8fb466dc29e1b955ecbe383f24bd409cf9.0.1.1.SIOSbi.A04572404A6ABF2446090B938515E87E.0-3082.1.1_-0.1.0_-3082.1.1_5.5.0.*0.000000010864822740e73407be3b0e1d4cb8560cc911585a7492144d5f1f44e84eb9cf4a7dd42dad.0.23.11*.2*.0400*.31152J.e.000000012792ba07ca01aa7f652bb504e5ae85c9c911585a832331a884c5717c06f516ae1b561976.0.10*.131*.122*.122.0.0" msgID="CF5E418411F045F7123E0080EFF57935"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nrr="176" nrc="572"&gt;&lt;pg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</si>
  <si>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MAY-25</t>
  </si>
  <si>
    <t>Ingreso control de 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</si>
</sst>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sz val="11"/>
      <name val="Geneva"/>
    </font>
    <font>
      <sz val="11"/>
      <color rgb="FF004563"/>
      <name val="Geneva"/>
    </font>
    <font>
      <sz val="10"/>
      <color theme="0"/>
      <name val="Segoe UI"/>
      <family val="2"/>
    </font>
    <font>
      <sz val="10"/>
      <color theme="0"/>
      <name val="Geneva"/>
    </font>
    <font>
      <sz val="10"/>
      <color rgb="FFFF0000"/>
      <name val="Geneva"/>
    </font>
    <font>
      <sz val="10"/>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b/>
      <sz val="8"/>
      <color theme="1"/>
      <name val="Arial"/>
      <family val="2"/>
    </font>
    <font>
      <b/>
      <sz val="10"/>
      <color theme="0"/>
      <name val="Geneva"/>
    </font>
    <font>
      <sz val="8"/>
      <color rgb="FF000000"/>
      <name val="Arial"/>
    </font>
  </fonts>
  <fills count="20">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00"/>
        <bgColor indexed="64"/>
      </patternFill>
    </fill>
    <fill>
      <patternFill patternType="solid">
        <fgColor rgb="FF002060"/>
        <bgColor indexed="64"/>
      </patternFill>
    </fill>
    <fill>
      <patternFill patternType="solid">
        <fgColor rgb="FFFFFF00"/>
        <bgColor rgb="FFFFFFFF"/>
      </patternFill>
    </fill>
    <fill>
      <patternFill patternType="solid">
        <fgColor rgb="FFFFFFFF"/>
      </patternFill>
    </fill>
    <fill>
      <patternFill patternType="solid">
        <fgColor rgb="FFFFC000"/>
        <bgColor rgb="FFFFFFFF"/>
      </patternFill>
    </fill>
  </fills>
  <borders count="30">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0">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0" fillId="0" borderId="0"/>
    <xf numFmtId="0" fontId="72" fillId="0" borderId="0"/>
    <xf numFmtId="0" fontId="8" fillId="0" borderId="0"/>
    <xf numFmtId="0" fontId="7" fillId="0" borderId="0"/>
    <xf numFmtId="43" fontId="26" fillId="0" borderId="0" applyFont="0" applyFill="0" applyBorder="0" applyAlignment="0" applyProtection="0"/>
    <xf numFmtId="4" fontId="28" fillId="11" borderId="2">
      <alignment horizontal="right" vertical="center"/>
    </xf>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cellStyleXfs>
  <cellXfs count="243">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49" fontId="32" fillId="5" borderId="5" xfId="0" applyNumberFormat="1" applyFont="1" applyFill="1" applyBorder="1"/>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65" fillId="0" borderId="0" xfId="0" applyFont="1"/>
    <xf numFmtId="0" fontId="48" fillId="4" borderId="0" xfId="31" applyFont="1" applyFill="1"/>
    <xf numFmtId="0" fontId="66" fillId="0" borderId="0" xfId="0" applyFont="1"/>
    <xf numFmtId="0" fontId="67" fillId="16" borderId="0" xfId="0" applyFont="1" applyFill="1"/>
    <xf numFmtId="0" fontId="20" fillId="0" borderId="0" xfId="32" applyFont="1" applyAlignment="1">
      <alignment horizontal="left"/>
    </xf>
    <xf numFmtId="0" fontId="68"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69" fillId="0" borderId="0" xfId="0" applyFont="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0" fontId="17" fillId="0" borderId="0" xfId="11" applyAlignment="1">
      <alignment vertical="top" wrapText="1"/>
    </xf>
    <xf numFmtId="0" fontId="73" fillId="5" borderId="0" xfId="20" applyFont="1" applyFill="1"/>
    <xf numFmtId="164" fontId="73"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17"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5" borderId="0" xfId="0" applyFill="1"/>
    <xf numFmtId="0" fontId="32" fillId="5" borderId="0" xfId="0" applyFont="1" applyFill="1" applyAlignment="1">
      <alignment horizontal="center" vertical="center"/>
    </xf>
    <xf numFmtId="0" fontId="32" fillId="5" borderId="18" xfId="0" applyFont="1" applyFill="1" applyBorder="1" applyAlignment="1">
      <alignment horizontal="center" vertical="center"/>
    </xf>
    <xf numFmtId="164" fontId="28" fillId="17" borderId="2" xfId="64" applyFill="1">
      <alignment horizontal="right" vertical="center"/>
    </xf>
    <xf numFmtId="172" fontId="0" fillId="0" borderId="0" xfId="73" applyNumberFormat="1" applyFont="1"/>
    <xf numFmtId="0" fontId="29" fillId="3" borderId="7" xfId="60" quotePrefix="1" applyBorder="1" applyAlignment="1">
      <alignment horizontal="right"/>
    </xf>
    <xf numFmtId="0" fontId="33" fillId="5" borderId="19" xfId="0" applyFont="1" applyFill="1" applyBorder="1"/>
    <xf numFmtId="0" fontId="74" fillId="0" borderId="0" xfId="0" applyFont="1"/>
    <xf numFmtId="168" fontId="74" fillId="0" borderId="0" xfId="9" applyNumberFormat="1" applyFont="1"/>
    <xf numFmtId="10" fontId="74" fillId="0" borderId="0" xfId="9" applyNumberFormat="1" applyFont="1"/>
    <xf numFmtId="166" fontId="74" fillId="0" borderId="0" xfId="0" applyNumberFormat="1" applyFont="1"/>
    <xf numFmtId="0" fontId="29" fillId="3" borderId="2" xfId="60" quotePrefix="1" applyAlignment="1"/>
    <xf numFmtId="0" fontId="29" fillId="3" borderId="7" xfId="60" quotePrefix="1" applyBorder="1" applyAlignment="1"/>
    <xf numFmtId="4" fontId="75"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6" xfId="0" applyBorder="1" applyAlignment="1">
      <alignment horizontal="left" vertical="center"/>
    </xf>
    <xf numFmtId="0" fontId="76" fillId="5" borderId="4" xfId="0" applyFont="1" applyFill="1" applyBorder="1" applyAlignment="1">
      <alignment horizontal="center" vertical="center"/>
    </xf>
    <xf numFmtId="0" fontId="31" fillId="5" borderId="4" xfId="0" applyFont="1" applyFill="1" applyBorder="1" applyAlignment="1">
      <alignment horizontal="center"/>
    </xf>
    <xf numFmtId="2" fontId="75"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3" applyNumberFormat="1" applyFont="1"/>
    <xf numFmtId="2" fontId="0" fillId="0" borderId="0" xfId="0" applyNumberFormat="1"/>
    <xf numFmtId="168" fontId="0" fillId="0" borderId="0" xfId="0" applyNumberFormat="1"/>
    <xf numFmtId="4" fontId="28" fillId="18" borderId="2" xfId="81" applyNumberFormat="1" applyFont="1" applyFill="1" applyBorder="1" applyAlignment="1">
      <alignment horizontal="right" vertical="center" wrapText="1"/>
    </xf>
    <xf numFmtId="4" fontId="28" fillId="18" borderId="15" xfId="81" applyNumberFormat="1" applyFont="1" applyFill="1" applyBorder="1" applyAlignment="1">
      <alignment horizontal="right" vertical="center" wrapText="1"/>
    </xf>
    <xf numFmtId="4" fontId="28" fillId="2" borderId="2" xfId="53">
      <alignment horizontal="right" vertical="center"/>
    </xf>
    <xf numFmtId="10" fontId="31" fillId="0" borderId="0" xfId="9" applyNumberFormat="1" applyFont="1" applyFill="1" applyBorder="1" applyAlignment="1" applyProtection="1">
      <alignment horizontal="left"/>
    </xf>
    <xf numFmtId="173" fontId="0" fillId="0" borderId="0" xfId="9" applyNumberFormat="1" applyFont="1"/>
    <xf numFmtId="0" fontId="29" fillId="3" borderId="2" xfId="60" quotePrefix="1" applyAlignment="1">
      <alignment horizontal="right"/>
    </xf>
    <xf numFmtId="0" fontId="20" fillId="0" borderId="0" xfId="32" applyFont="1" applyAlignment="1">
      <alignment horizontal="right"/>
    </xf>
    <xf numFmtId="164" fontId="31" fillId="0" borderId="0" xfId="0" applyNumberFormat="1" applyFont="1"/>
    <xf numFmtId="4" fontId="28" fillId="18" borderId="15" xfId="83" applyNumberFormat="1" applyFont="1" applyFill="1" applyBorder="1" applyAlignment="1">
      <alignment horizontal="right" vertical="center" wrapText="1"/>
    </xf>
    <xf numFmtId="171" fontId="69" fillId="0" borderId="0" xfId="0" applyNumberFormat="1" applyFont="1"/>
    <xf numFmtId="168" fontId="69" fillId="0" borderId="0" xfId="9" applyNumberFormat="1" applyFont="1"/>
    <xf numFmtId="0" fontId="0" fillId="0" borderId="15" xfId="0" applyBorder="1" applyAlignment="1">
      <alignment horizontal="left" vertical="center"/>
    </xf>
    <xf numFmtId="0" fontId="50" fillId="7" borderId="2" xfId="65" quotePrefix="1">
      <alignment horizontal="left" vertical="center"/>
    </xf>
    <xf numFmtId="171" fontId="50" fillId="7" borderId="2" xfId="47">
      <alignment horizontal="right" vertical="center"/>
    </xf>
    <xf numFmtId="164" fontId="50" fillId="7" borderId="2" xfId="68">
      <alignment horizontal="right" vertical="center"/>
    </xf>
    <xf numFmtId="4" fontId="28" fillId="2" borderId="2" xfId="85">
      <alignment horizontal="right" vertical="center"/>
    </xf>
    <xf numFmtId="0" fontId="0" fillId="0" borderId="14" xfId="0" applyBorder="1" applyAlignment="1">
      <alignment vertical="center"/>
    </xf>
    <xf numFmtId="0" fontId="0" fillId="0" borderId="15" xfId="0" applyBorder="1" applyAlignment="1">
      <alignment vertical="center"/>
    </xf>
    <xf numFmtId="0" fontId="75" fillId="0" borderId="0" xfId="0" applyFont="1"/>
    <xf numFmtId="0" fontId="77" fillId="0" borderId="0" xfId="0" applyFont="1"/>
    <xf numFmtId="170" fontId="0" fillId="0" borderId="0" xfId="0" applyNumberFormat="1"/>
    <xf numFmtId="0" fontId="29" fillId="3" borderId="2" xfId="36" quotePrefix="1">
      <alignment horizontal="center"/>
    </xf>
    <xf numFmtId="0" fontId="29" fillId="3" borderId="2" xfId="36">
      <alignment horizontal="center"/>
    </xf>
    <xf numFmtId="4" fontId="28" fillId="14" borderId="2" xfId="75">
      <alignment horizontal="right" vertical="center"/>
    </xf>
    <xf numFmtId="4" fontId="50" fillId="12" borderId="2" xfId="40">
      <alignment horizontal="right" vertical="center"/>
    </xf>
    <xf numFmtId="4" fontId="28" fillId="11" borderId="2" xfId="74">
      <alignment horizontal="right" vertical="center"/>
    </xf>
    <xf numFmtId="4" fontId="50" fillId="7" borderId="2" xfId="78">
      <alignment horizontal="right" vertical="center"/>
    </xf>
    <xf numFmtId="170" fontId="28" fillId="7" borderId="2" xfId="43">
      <alignment horizontal="right" vertical="center"/>
    </xf>
    <xf numFmtId="164" fontId="28" fillId="7" borderId="2" xfId="44">
      <alignment horizontal="right" vertical="center"/>
    </xf>
    <xf numFmtId="4" fontId="28" fillId="7" borderId="2" xfId="42">
      <alignment horizontal="right" vertical="center"/>
    </xf>
    <xf numFmtId="4" fontId="28" fillId="0" borderId="2" xfId="42" applyFill="1">
      <alignment horizontal="right" vertical="center"/>
    </xf>
    <xf numFmtId="4" fontId="28" fillId="19" borderId="2" xfId="85" applyFill="1">
      <alignment horizontal="right" vertical="center"/>
    </xf>
    <xf numFmtId="4" fontId="28" fillId="0" borderId="2" xfId="85" applyFill="1">
      <alignment horizontal="right" vertical="center"/>
    </xf>
    <xf numFmtId="0" fontId="28" fillId="2" borderId="2" xfId="63" quotePrefix="1" applyAlignment="1">
      <alignment horizontal="right" vertical="center" wrapText="1"/>
    </xf>
    <xf numFmtId="4" fontId="78" fillId="18" borderId="2" xfId="0" applyNumberFormat="1" applyFont="1" applyFill="1" applyBorder="1" applyAlignment="1">
      <alignment horizontal="right" vertical="center" wrapText="1"/>
    </xf>
    <xf numFmtId="164" fontId="31" fillId="0" borderId="0" xfId="0" applyNumberFormat="1" applyFont="1" applyAlignment="1">
      <alignment horizontal="left" vertical="top" wrapText="1"/>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0" fontId="29" fillId="3" borderId="2" xfId="60" quotePrefix="1" applyAlignment="1">
      <alignment horizontal="center"/>
    </xf>
    <xf numFmtId="0" fontId="0" fillId="0" borderId="7" xfId="0" applyBorder="1" applyAlignment="1">
      <alignment horizontal="center"/>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0" fontId="0" fillId="0" borderId="10" xfId="0" applyBorder="1" applyAlignment="1">
      <alignment horizontal="center"/>
    </xf>
    <xf numFmtId="0" fontId="29" fillId="3" borderId="20" xfId="60" quotePrefix="1" applyBorder="1" applyAlignment="1">
      <alignment horizontal="center"/>
    </xf>
    <xf numFmtId="0" fontId="0" fillId="0" borderId="21" xfId="0" applyBorder="1" applyAlignment="1">
      <alignment horizontal="center"/>
    </xf>
    <xf numFmtId="0" fontId="29" fillId="3" borderId="22" xfId="60" quotePrefix="1" applyBorder="1" applyAlignment="1">
      <alignment horizontal="center"/>
    </xf>
    <xf numFmtId="0" fontId="0" fillId="0" borderId="23" xfId="0" applyBorder="1" applyAlignment="1">
      <alignment horizontal="center"/>
    </xf>
    <xf numFmtId="0" fontId="29" fillId="3" borderId="28" xfId="60" quotePrefix="1" applyBorder="1" applyAlignment="1">
      <alignment horizontal="center"/>
    </xf>
    <xf numFmtId="0" fontId="0" fillId="0" borderId="29" xfId="0" applyBorder="1" applyAlignment="1">
      <alignment horizontal="center"/>
    </xf>
    <xf numFmtId="0" fontId="29" fillId="3" borderId="26" xfId="60" quotePrefix="1" applyBorder="1" applyAlignment="1">
      <alignment horizontal="center"/>
    </xf>
    <xf numFmtId="0" fontId="0" fillId="0" borderId="27" xfId="0" applyBorder="1" applyAlignment="1">
      <alignment horizontal="center"/>
    </xf>
    <xf numFmtId="0" fontId="28" fillId="2" borderId="14" xfId="63" quotePrefix="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29" fillId="3" borderId="11" xfId="60" quotePrefix="1" applyBorder="1" applyAlignment="1">
      <alignment horizontal="center"/>
    </xf>
    <xf numFmtId="0" fontId="28" fillId="2" borderId="13" xfId="63" quotePrefix="1" applyBorder="1" applyAlignment="1">
      <alignment horizontal="left" vertical="center"/>
    </xf>
    <xf numFmtId="0" fontId="0" fillId="0" borderId="13" xfId="0" applyBorder="1" applyAlignment="1">
      <alignment horizontal="left" vertical="center"/>
    </xf>
    <xf numFmtId="169" fontId="28" fillId="2" borderId="13" xfId="66" quotePrefix="1" applyBorder="1" applyAlignment="1">
      <alignment horizontal="left" vertical="center"/>
    </xf>
    <xf numFmtId="169" fontId="28" fillId="2" borderId="14" xfId="66" quotePrefix="1" applyBorder="1" applyAlignment="1">
      <alignment horizontal="left" vertical="center"/>
    </xf>
    <xf numFmtId="0" fontId="29" fillId="3" borderId="24" xfId="60" quotePrefix="1" applyBorder="1" applyAlignment="1">
      <alignment horizontal="center"/>
    </xf>
    <xf numFmtId="0" fontId="0" fillId="0" borderId="25" xfId="0" applyBorder="1" applyAlignment="1">
      <alignment horizontal="center"/>
    </xf>
  </cellXfs>
  <cellStyles count="90">
    <cellStyle name="Euro" xfId="1" xr:uid="{00000000-0005-0000-0000-000000000000}"/>
    <cellStyle name="FUTURA9" xfId="2" xr:uid="{00000000-0005-0000-0000-000001000000}"/>
    <cellStyle name="Hipervínculo 2" xfId="33" xr:uid="{00000000-0005-0000-0000-000002000000}"/>
    <cellStyle name="Millares" xfId="73"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7"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0" xr:uid="{FCA4B10E-EE33-4397-B99A-F7ACDA67DE9E}"/>
    <cellStyle name="MSTRStyle.Todos.c13_87d7be99-df52-4067-a8d4-177d9bcab94b" xfId="85"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4" xr:uid="{E02D025C-7E3D-4572-8715-DF5A49FECB01}"/>
    <cellStyle name="MSTRStyle.Todos.c17_9190d45b-ffc1-4104-b4c7-224707feff3e" xfId="43" xr:uid="{00000000-0005-0000-0000-000018000000}"/>
    <cellStyle name="MSTRStyle.Todos.c18_f36069f7-de38-438b-b3cd-3bacd5cdcd0c" xfId="78"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7" xr:uid="{D4EBFC2B-A3B7-4888-9720-A4E461323554}"/>
    <cellStyle name="MSTRStyle.Todos.c22FB013911EA85FFC2610080EFD5BAAC_76fdbead-a11a-4d6e-9ddf-e574d99c4833" xfId="79"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6"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2" xr:uid="{13DC4E38-B73E-428C-9BFC-DE142B488BC1}"/>
    <cellStyle name="MSTRStyle.Todos.cFA43056511E9FB678F890080EFF52244_4ec8f762-4808-46be-a038-987e3097519d" xfId="75" xr:uid="{3F137070-9967-44D6-A7BC-3F3EA8CA6293}"/>
    <cellStyle name="Normal" xfId="0" builtinId="0"/>
    <cellStyle name="Normal 10" xfId="48" xr:uid="{00000000-0005-0000-0000-00002A000000}"/>
    <cellStyle name="Normal 11" xfId="52" xr:uid="{00000000-0005-0000-0000-00002B000000}"/>
    <cellStyle name="Normal 12" xfId="69" xr:uid="{70481923-B561-45D9-B815-6F3E40E58E42}"/>
    <cellStyle name="Normal 13" xfId="70" xr:uid="{F4CEF317-9534-4714-A33C-73D10F68157D}"/>
    <cellStyle name="Normal 14" xfId="71" xr:uid="{0C912CB0-5F3F-41CB-933B-8BBF2BD1891F}"/>
    <cellStyle name="Normal 15" xfId="72" xr:uid="{9C14DE39-61F6-4803-9D4C-50C086BDA55C}"/>
    <cellStyle name="Normal 16" xfId="81" xr:uid="{9E8EAD6E-6DBA-41E4-993F-5E886774A5DE}"/>
    <cellStyle name="Normal 17" xfId="83" xr:uid="{6046D703-8906-4AD6-A383-7897179C4955}"/>
    <cellStyle name="Normal 18" xfId="84" xr:uid="{5DF66136-CDFE-4A04-8587-EA9FF02EF8A5}"/>
    <cellStyle name="Normal 19" xfId="86" xr:uid="{CDCAEA77-3CE1-4541-BBAA-62EF90AD1B7C}"/>
    <cellStyle name="Normal 2" xfId="13" xr:uid="{00000000-0005-0000-0000-00002C000000}"/>
    <cellStyle name="Normal 2 2 2" xfId="4" xr:uid="{00000000-0005-0000-0000-00002D000000}"/>
    <cellStyle name="Normal 20" xfId="88" xr:uid="{A79DDE69-9CF1-4FD9-8E32-07187CCE5DC8}"/>
    <cellStyle name="Normal 21" xfId="89"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2"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28A064"/>
      <color rgb="FF95B3D7"/>
      <color rgb="FF464394"/>
      <color rgb="FFFFCC99"/>
      <color rgb="FFFF9900"/>
      <color rgb="FF9999FF"/>
      <color rgb="FFCFA2CA"/>
      <color rgb="FFE5DDB7"/>
      <color rgb="FF000000"/>
      <color rgb="FF7030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chemeClr val="tx2">
                <a:lumMod val="40000"/>
                <a:lumOff val="60000"/>
              </a:schemeClr>
            </a:solidFill>
          </c:spPr>
          <c:val>
            <c:numRef>
              <c:f>Dat_01!$AN$8:$AN$38</c:f>
              <c:numCache>
                <c:formatCode>#,##0.00</c:formatCode>
                <c:ptCount val="31"/>
                <c:pt idx="0">
                  <c:v>65</c:v>
                </c:pt>
                <c:pt idx="1">
                  <c:v>71.05</c:v>
                </c:pt>
                <c:pt idx="2">
                  <c:v>66.84</c:v>
                </c:pt>
                <c:pt idx="3">
                  <c:v>41.14</c:v>
                </c:pt>
                <c:pt idx="4">
                  <c:v>39</c:v>
                </c:pt>
                <c:pt idx="5">
                  <c:v>69.33</c:v>
                </c:pt>
                <c:pt idx="6">
                  <c:v>80.62</c:v>
                </c:pt>
                <c:pt idx="7">
                  <c:v>79.61</c:v>
                </c:pt>
                <c:pt idx="8">
                  <c:v>80.28</c:v>
                </c:pt>
                <c:pt idx="9">
                  <c:v>46.88</c:v>
                </c:pt>
                <c:pt idx="10">
                  <c:v>50.01</c:v>
                </c:pt>
                <c:pt idx="11">
                  <c:v>126.24</c:v>
                </c:pt>
                <c:pt idx="12">
                  <c:v>130.57999999999998</c:v>
                </c:pt>
                <c:pt idx="13">
                  <c:v>95.53</c:v>
                </c:pt>
                <c:pt idx="14">
                  <c:v>40.01</c:v>
                </c:pt>
                <c:pt idx="15">
                  <c:v>51.21</c:v>
                </c:pt>
                <c:pt idx="16">
                  <c:v>68.38</c:v>
                </c:pt>
                <c:pt idx="17">
                  <c:v>55.7</c:v>
                </c:pt>
                <c:pt idx="18">
                  <c:v>45.49</c:v>
                </c:pt>
                <c:pt idx="19">
                  <c:v>57.75</c:v>
                </c:pt>
                <c:pt idx="20">
                  <c:v>69.309999999999988</c:v>
                </c:pt>
                <c:pt idx="21">
                  <c:v>29.42</c:v>
                </c:pt>
                <c:pt idx="22">
                  <c:v>34</c:v>
                </c:pt>
                <c:pt idx="23">
                  <c:v>61.7</c:v>
                </c:pt>
                <c:pt idx="24">
                  <c:v>50.01</c:v>
                </c:pt>
                <c:pt idx="25">
                  <c:v>76.56</c:v>
                </c:pt>
                <c:pt idx="26">
                  <c:v>111.17</c:v>
                </c:pt>
                <c:pt idx="27">
                  <c:v>101.48</c:v>
                </c:pt>
                <c:pt idx="28">
                  <c:v>135.89000000000001</c:v>
                </c:pt>
                <c:pt idx="29">
                  <c:v>130.26</c:v>
                </c:pt>
                <c:pt idx="30">
                  <c:v>112.48</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tx2">
                <a:lumMod val="40000"/>
                <a:lumOff val="60000"/>
              </a:schemeClr>
            </a:solidFill>
          </c:spPr>
          <c:val>
            <c:numRef>
              <c:f>Dat_01!$AA$8:$AA$38</c:f>
              <c:numCache>
                <c:formatCode>#,##0.00</c:formatCode>
                <c:ptCount val="31"/>
                <c:pt idx="0">
                  <c:v>-10</c:v>
                </c:pt>
                <c:pt idx="1">
                  <c:v>-4</c:v>
                </c:pt>
                <c:pt idx="2">
                  <c:v>-3.04</c:v>
                </c:pt>
                <c:pt idx="3">
                  <c:v>-5.01</c:v>
                </c:pt>
                <c:pt idx="4">
                  <c:v>-4</c:v>
                </c:pt>
                <c:pt idx="5">
                  <c:v>-4.21</c:v>
                </c:pt>
                <c:pt idx="6">
                  <c:v>-0.62</c:v>
                </c:pt>
                <c:pt idx="7">
                  <c:v>-0.02</c:v>
                </c:pt>
                <c:pt idx="8">
                  <c:v>-0.01</c:v>
                </c:pt>
                <c:pt idx="9">
                  <c:v>-10</c:v>
                </c:pt>
                <c:pt idx="10">
                  <c:v>-15</c:v>
                </c:pt>
                <c:pt idx="11">
                  <c:v>-4.21</c:v>
                </c:pt>
                <c:pt idx="12">
                  <c:v>-2.5099999999999998</c:v>
                </c:pt>
                <c:pt idx="13">
                  <c:v>-4</c:v>
                </c:pt>
                <c:pt idx="14">
                  <c:v>-5</c:v>
                </c:pt>
                <c:pt idx="15">
                  <c:v>-10</c:v>
                </c:pt>
                <c:pt idx="16">
                  <c:v>-11.26</c:v>
                </c:pt>
                <c:pt idx="17">
                  <c:v>-15</c:v>
                </c:pt>
                <c:pt idx="18">
                  <c:v>-2.5</c:v>
                </c:pt>
                <c:pt idx="19">
                  <c:v>-3.75</c:v>
                </c:pt>
                <c:pt idx="20">
                  <c:v>-1.1000000000000001</c:v>
                </c:pt>
                <c:pt idx="21">
                  <c:v>-5</c:v>
                </c:pt>
                <c:pt idx="22">
                  <c:v>-3</c:v>
                </c:pt>
                <c:pt idx="23">
                  <c:v>-9.6999999999999993</c:v>
                </c:pt>
                <c:pt idx="24">
                  <c:v>-15</c:v>
                </c:pt>
                <c:pt idx="25">
                  <c:v>-0.5</c:v>
                </c:pt>
                <c:pt idx="26">
                  <c:v>-0.01</c:v>
                </c:pt>
                <c:pt idx="27">
                  <c:v>-0.62</c:v>
                </c:pt>
                <c:pt idx="28">
                  <c:v>-0.9</c:v>
                </c:pt>
                <c:pt idx="29">
                  <c:v>-7.0000000000000007E-2</c:v>
                </c:pt>
                <c:pt idx="30">
                  <c:v>-5.48</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Dat_01!$AQ$8:$AQ$38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Dat_01!$AC$8:$AC$38</c:f>
              <c:numCache>
                <c:formatCode>#,##0.00</c:formatCode>
                <c:ptCount val="31"/>
                <c:pt idx="0">
                  <c:v>14.0599516643</c:v>
                </c:pt>
                <c:pt idx="1">
                  <c:v>11.005846951300001</c:v>
                </c:pt>
                <c:pt idx="2">
                  <c:v>15.240312661400001</c:v>
                </c:pt>
                <c:pt idx="3">
                  <c:v>10.018274667</c:v>
                </c:pt>
                <c:pt idx="4">
                  <c:v>9.8209895196999994</c:v>
                </c:pt>
                <c:pt idx="5">
                  <c:v>10.115055806799999</c:v>
                </c:pt>
                <c:pt idx="6">
                  <c:v>17.677663126700001</c:v>
                </c:pt>
                <c:pt idx="7">
                  <c:v>14.9327732279</c:v>
                </c:pt>
                <c:pt idx="8">
                  <c:v>16.503540645800001</c:v>
                </c:pt>
                <c:pt idx="9">
                  <c:v>8.5505348230999996</c:v>
                </c:pt>
                <c:pt idx="10">
                  <c:v>2.6690670781999999</c:v>
                </c:pt>
                <c:pt idx="11">
                  <c:v>20.5892841784</c:v>
                </c:pt>
                <c:pt idx="12">
                  <c:v>37.920923947399999</c:v>
                </c:pt>
                <c:pt idx="13">
                  <c:v>26.668842434199998</c:v>
                </c:pt>
                <c:pt idx="14">
                  <c:v>10.642356637700001</c:v>
                </c:pt>
                <c:pt idx="15">
                  <c:v>4.0774433481000001</c:v>
                </c:pt>
                <c:pt idx="16">
                  <c:v>9.0967819219999999</c:v>
                </c:pt>
                <c:pt idx="17">
                  <c:v>5.9490694248000002</c:v>
                </c:pt>
                <c:pt idx="18">
                  <c:v>10.918839842200001</c:v>
                </c:pt>
                <c:pt idx="19">
                  <c:v>12.0599228575</c:v>
                </c:pt>
                <c:pt idx="20">
                  <c:v>17.668995469199999</c:v>
                </c:pt>
                <c:pt idx="21">
                  <c:v>3.0037906530999998</c:v>
                </c:pt>
                <c:pt idx="22">
                  <c:v>4.8710357671000004</c:v>
                </c:pt>
                <c:pt idx="23">
                  <c:v>6.5074734313000002</c:v>
                </c:pt>
                <c:pt idx="24">
                  <c:v>5.5775819993000004</c:v>
                </c:pt>
                <c:pt idx="25">
                  <c:v>15.432303774999999</c:v>
                </c:pt>
                <c:pt idx="26">
                  <c:v>23.1027308215</c:v>
                </c:pt>
                <c:pt idx="27">
                  <c:v>24.081969043899999</c:v>
                </c:pt>
                <c:pt idx="28">
                  <c:v>29.942431149400001</c:v>
                </c:pt>
                <c:pt idx="29">
                  <c:v>38.014067472699999</c:v>
                </c:pt>
                <c:pt idx="30">
                  <c:v>33.971940135399997</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no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863.35450268817499</c:v>
                </c:pt>
                <c:pt idx="1">
                  <c:v>912.17291666667495</c:v>
                </c:pt>
                <c:pt idx="2">
                  <c:v>897.59307795699999</c:v>
                </c:pt>
                <c:pt idx="3">
                  <c:v>897.21471774192503</c:v>
                </c:pt>
                <c:pt idx="4">
                  <c:v>906.32291666667504</c:v>
                </c:pt>
                <c:pt idx="5">
                  <c:v>1012.71845637585</c:v>
                </c:pt>
                <c:pt idx="6">
                  <c:v>1105.96319444445</c:v>
                </c:pt>
                <c:pt idx="7">
                  <c:v>1174.3723118279499</c:v>
                </c:pt>
                <c:pt idx="8">
                  <c:v>1129.192204301075</c:v>
                </c:pt>
                <c:pt idx="9">
                  <c:v>1128.565476190475</c:v>
                </c:pt>
                <c:pt idx="10">
                  <c:v>1181.15376850605</c:v>
                </c:pt>
                <c:pt idx="11">
                  <c:v>1186.2625</c:v>
                </c:pt>
                <c:pt idx="12">
                  <c:v>1194.9334677419249</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pt idx="6">
                  <c:v>45.035521148100003</c:v>
                </c:pt>
                <c:pt idx="7">
                  <c:v>33.672806635400001</c:v>
                </c:pt>
                <c:pt idx="8">
                  <c:v>37.464347836400002</c:v>
                </c:pt>
                <c:pt idx="9">
                  <c:v>26.586120180000002</c:v>
                </c:pt>
                <c:pt idx="10">
                  <c:v>29.008521289200001</c:v>
                </c:pt>
                <c:pt idx="11">
                  <c:v>19.744532100099999</c:v>
                </c:pt>
                <c:pt idx="12">
                  <c:v>17.670425277900002</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72"/>
        </c:scaling>
        <c:delete val="0"/>
        <c:axPos val="r"/>
        <c:numFmt formatCode="#,##0" sourceLinked="0"/>
        <c:majorTickMark val="out"/>
        <c:minorTickMark val="none"/>
        <c:tickLblPos val="nextTo"/>
        <c:spPr>
          <a:ln>
            <a:noFill/>
          </a:ln>
        </c:spPr>
        <c:crossAx val="1440999263"/>
        <c:crosses val="max"/>
        <c:crossBetween val="between"/>
        <c:majorUnit val="12"/>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Dat_01!$B$192:$N$192</c:f>
              <c:numCache>
                <c:formatCode>#,##0;\(#,##0\)</c:formatCode>
                <c:ptCount val="13"/>
                <c:pt idx="0">
                  <c:v>255.9136</c:v>
                </c:pt>
                <c:pt idx="1">
                  <c:v>200.79612499999999</c:v>
                </c:pt>
                <c:pt idx="2">
                  <c:v>219.31675000000001</c:v>
                </c:pt>
                <c:pt idx="3">
                  <c:v>174.548475</c:v>
                </c:pt>
                <c:pt idx="4">
                  <c:v>172.08167499999999</c:v>
                </c:pt>
                <c:pt idx="5">
                  <c:v>201.38062500000001</c:v>
                </c:pt>
                <c:pt idx="6">
                  <c:v>135.71709799999999</c:v>
                </c:pt>
                <c:pt idx="7">
                  <c:v>90.003534999999999</c:v>
                </c:pt>
                <c:pt idx="8">
                  <c:v>75.798308000000006</c:v>
                </c:pt>
                <c:pt idx="9">
                  <c:v>59.611581999999999</c:v>
                </c:pt>
                <c:pt idx="10">
                  <c:v>81.554850999999999</c:v>
                </c:pt>
                <c:pt idx="11">
                  <c:v>85.516738000000004</c:v>
                </c:pt>
                <c:pt idx="12">
                  <c:v>100.845438</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2024 Mayo</c:v>
                </c:pt>
                <c:pt idx="1">
                  <c:v>2024 Junio</c:v>
                </c:pt>
                <c:pt idx="2">
                  <c:v>2024 Julio</c:v>
                </c:pt>
                <c:pt idx="3">
                  <c:v>2024 Agosto</c:v>
                </c:pt>
                <c:pt idx="4">
                  <c:v>2024 Septiembre</c:v>
                </c:pt>
                <c:pt idx="5">
                  <c:v>2024 Octubre</c:v>
                </c:pt>
                <c:pt idx="6">
                  <c:v>2024 Noviembre</c:v>
                </c:pt>
                <c:pt idx="7">
                  <c:v>2024 Diciembre</c:v>
                </c:pt>
                <c:pt idx="8">
                  <c:v>2025 Enero</c:v>
                </c:pt>
                <c:pt idx="9">
                  <c:v>2025 Febrero</c:v>
                </c:pt>
                <c:pt idx="10">
                  <c:v>2025 Marzo</c:v>
                </c:pt>
                <c:pt idx="11">
                  <c:v>2025 Abril</c:v>
                </c:pt>
                <c:pt idx="12">
                  <c:v>2025 Mayo</c:v>
                </c:pt>
              </c:strCache>
            </c:strRef>
          </c:cat>
          <c:val>
            <c:numRef>
              <c:f>Dat_01!$C$414:$O$414</c:f>
              <c:numCache>
                <c:formatCode>#,##0.00</c:formatCode>
                <c:ptCount val="13"/>
                <c:pt idx="0">
                  <c:v>51.878559897800002</c:v>
                </c:pt>
                <c:pt idx="1">
                  <c:v>79.512672150699998</c:v>
                </c:pt>
                <c:pt idx="2">
                  <c:v>86.649319574299994</c:v>
                </c:pt>
                <c:pt idx="3">
                  <c:v>102.8039265768</c:v>
                </c:pt>
                <c:pt idx="4">
                  <c:v>88.768818947499994</c:v>
                </c:pt>
                <c:pt idx="5">
                  <c:v>88.323514448099999</c:v>
                </c:pt>
                <c:pt idx="6">
                  <c:v>107.14911147159999</c:v>
                </c:pt>
                <c:pt idx="7">
                  <c:v>138.76353913809999</c:v>
                </c:pt>
                <c:pt idx="8">
                  <c:v>132.86955354610001</c:v>
                </c:pt>
                <c:pt idx="9">
                  <c:v>140.03264444760001</c:v>
                </c:pt>
                <c:pt idx="10">
                  <c:v>120.096505014</c:v>
                </c:pt>
                <c:pt idx="11">
                  <c:v>77.523932633800001</c:v>
                </c:pt>
                <c:pt idx="12">
                  <c:v>63.343057325899998</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5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Dat_01!$B$191:$N$191</c:f>
              <c:numCache>
                <c:formatCode>#,##0;\(#,##0\)</c:formatCode>
                <c:ptCount val="13"/>
                <c:pt idx="0">
                  <c:v>129.96244999999999</c:v>
                </c:pt>
                <c:pt idx="1">
                  <c:v>140.64422500000001</c:v>
                </c:pt>
                <c:pt idx="2">
                  <c:v>145.18279999999999</c:v>
                </c:pt>
                <c:pt idx="3">
                  <c:v>180.042475</c:v>
                </c:pt>
                <c:pt idx="4">
                  <c:v>165.537925</c:v>
                </c:pt>
                <c:pt idx="5">
                  <c:v>131.49952500000001</c:v>
                </c:pt>
                <c:pt idx="6">
                  <c:v>91.061660000000003</c:v>
                </c:pt>
                <c:pt idx="7">
                  <c:v>58.437812999999998</c:v>
                </c:pt>
                <c:pt idx="8">
                  <c:v>78.902215999999996</c:v>
                </c:pt>
                <c:pt idx="9">
                  <c:v>84.822263000000007</c:v>
                </c:pt>
                <c:pt idx="10">
                  <c:v>105.459892</c:v>
                </c:pt>
                <c:pt idx="11">
                  <c:v>92.657791000000003</c:v>
                </c:pt>
                <c:pt idx="12">
                  <c:v>95.844481999999999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8.8440810864999992</c:v>
                </c:pt>
                <c:pt idx="1">
                  <c:v>25.188011158999998</c:v>
                </c:pt>
                <c:pt idx="2">
                  <c:v>46.176107250699999</c:v>
                </c:pt>
                <c:pt idx="3">
                  <c:v>52.021473464800003</c:v>
                </c:pt>
                <c:pt idx="4">
                  <c:v>33.235310798100002</c:v>
                </c:pt>
                <c:pt idx="5">
                  <c:v>26.148324822799999</c:v>
                </c:pt>
                <c:pt idx="6">
                  <c:v>66.941169858400002</c:v>
                </c:pt>
                <c:pt idx="7">
                  <c:v>57.073603840700002</c:v>
                </c:pt>
                <c:pt idx="8">
                  <c:v>25.114163045200002</c:v>
                </c:pt>
                <c:pt idx="9">
                  <c:v>22.808634897200001</c:v>
                </c:pt>
                <c:pt idx="10">
                  <c:v>-19.560346367299999</c:v>
                </c:pt>
                <c:pt idx="11">
                  <c:v>-25.501952932799998</c:v>
                </c:pt>
                <c:pt idx="12">
                  <c:v>-21.3875057447</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50"/>
          <c:min val="-6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Dat_01!$C$218:$O$218</c:f>
              <c:numCache>
                <c:formatCode>#,##0.0</c:formatCode>
                <c:ptCount val="13"/>
                <c:pt idx="0">
                  <c:v>0</c:v>
                </c:pt>
                <c:pt idx="1">
                  <c:v>28.875</c:v>
                </c:pt>
                <c:pt idx="2">
                  <c:v>43.225000000000001</c:v>
                </c:pt>
                <c:pt idx="3">
                  <c:v>24.35</c:v>
                </c:pt>
                <c:pt idx="4">
                  <c:v>50.225000000000001</c:v>
                </c:pt>
                <c:pt idx="5">
                  <c:v>78.75</c:v>
                </c:pt>
                <c:pt idx="6">
                  <c:v>484.8</c:v>
                </c:pt>
                <c:pt idx="7">
                  <c:v>289.85000000000002</c:v>
                </c:pt>
                <c:pt idx="8">
                  <c:v>938.7</c:v>
                </c:pt>
                <c:pt idx="9">
                  <c:v>339</c:v>
                </c:pt>
                <c:pt idx="10">
                  <c:v>85</c:v>
                </c:pt>
                <c:pt idx="11">
                  <c:v>105</c:v>
                </c:pt>
                <c:pt idx="12">
                  <c:v>0</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Dat_01!$C$219:$O$219</c:f>
              <c:numCache>
                <c:formatCode>#,##0.0</c:formatCode>
                <c:ptCount val="13"/>
                <c:pt idx="0">
                  <c:v>5794.3</c:v>
                </c:pt>
                <c:pt idx="1">
                  <c:v>17066.666000000001</c:v>
                </c:pt>
                <c:pt idx="2">
                  <c:v>18884.698</c:v>
                </c:pt>
                <c:pt idx="3">
                  <c:v>30465.23</c:v>
                </c:pt>
                <c:pt idx="4">
                  <c:v>26552.251</c:v>
                </c:pt>
                <c:pt idx="5">
                  <c:v>33915.699999999997</c:v>
                </c:pt>
                <c:pt idx="6">
                  <c:v>38070.457999999999</c:v>
                </c:pt>
                <c:pt idx="7">
                  <c:v>42667.476000000002</c:v>
                </c:pt>
                <c:pt idx="8">
                  <c:v>78421.95</c:v>
                </c:pt>
                <c:pt idx="9">
                  <c:v>87805.447</c:v>
                </c:pt>
                <c:pt idx="10">
                  <c:v>30848.534</c:v>
                </c:pt>
                <c:pt idx="11">
                  <c:v>16612.3</c:v>
                </c:pt>
                <c:pt idx="12">
                  <c:v>9449.5499999999993</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Dat_01!$C$220:$O$220</c:f>
              <c:numCache>
                <c:formatCode>#,##0.0</c:formatCode>
                <c:ptCount val="13"/>
                <c:pt idx="0">
                  <c:v>686.75300000000004</c:v>
                </c:pt>
                <c:pt idx="1">
                  <c:v>663.923</c:v>
                </c:pt>
                <c:pt idx="2">
                  <c:v>535.89800000000002</c:v>
                </c:pt>
                <c:pt idx="3">
                  <c:v>464.19200000000001</c:v>
                </c:pt>
                <c:pt idx="4">
                  <c:v>423.447</c:v>
                </c:pt>
                <c:pt idx="5">
                  <c:v>758.50800000000004</c:v>
                </c:pt>
                <c:pt idx="6">
                  <c:v>689.47500000000002</c:v>
                </c:pt>
                <c:pt idx="7">
                  <c:v>935.173</c:v>
                </c:pt>
                <c:pt idx="8">
                  <c:v>668.6</c:v>
                </c:pt>
                <c:pt idx="9">
                  <c:v>993.53399999999999</c:v>
                </c:pt>
                <c:pt idx="10">
                  <c:v>1360.5</c:v>
                </c:pt>
                <c:pt idx="11">
                  <c:v>1570.2</c:v>
                </c:pt>
                <c:pt idx="12">
                  <c:v>863.15</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Dat_01!$C$221:$O$221</c:f>
              <c:numCache>
                <c:formatCode>#,##0.0</c:formatCode>
                <c:ptCount val="13"/>
                <c:pt idx="0">
                  <c:v>48624.482000000004</c:v>
                </c:pt>
                <c:pt idx="1">
                  <c:v>41321.692000000003</c:v>
                </c:pt>
                <c:pt idx="2">
                  <c:v>25771.183000000001</c:v>
                </c:pt>
                <c:pt idx="3">
                  <c:v>38344.226999999999</c:v>
                </c:pt>
                <c:pt idx="4">
                  <c:v>45577.822999999997</c:v>
                </c:pt>
                <c:pt idx="5">
                  <c:v>54566.771000000001</c:v>
                </c:pt>
                <c:pt idx="6">
                  <c:v>41349.216999999997</c:v>
                </c:pt>
                <c:pt idx="7">
                  <c:v>35243.148999999998</c:v>
                </c:pt>
                <c:pt idx="8">
                  <c:v>53314.275000000001</c:v>
                </c:pt>
                <c:pt idx="9">
                  <c:v>76705.798999999999</c:v>
                </c:pt>
                <c:pt idx="10">
                  <c:v>53970.15</c:v>
                </c:pt>
                <c:pt idx="11">
                  <c:v>44515.75</c:v>
                </c:pt>
                <c:pt idx="12">
                  <c:v>21756.775000000001</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Dat_01!$C$223:$O$223</c:f>
              <c:numCache>
                <c:formatCode>#,##0.0</c:formatCode>
                <c:ptCount val="13"/>
                <c:pt idx="0">
                  <c:v>77983.278000000006</c:v>
                </c:pt>
                <c:pt idx="1">
                  <c:v>42036.362000000001</c:v>
                </c:pt>
                <c:pt idx="2">
                  <c:v>28492.343000000001</c:v>
                </c:pt>
                <c:pt idx="3">
                  <c:v>34129.855000000003</c:v>
                </c:pt>
                <c:pt idx="4">
                  <c:v>73676.551000000007</c:v>
                </c:pt>
                <c:pt idx="5">
                  <c:v>80386.748999999996</c:v>
                </c:pt>
                <c:pt idx="6">
                  <c:v>42290.15</c:v>
                </c:pt>
                <c:pt idx="7">
                  <c:v>50300.607000000004</c:v>
                </c:pt>
                <c:pt idx="8">
                  <c:v>95848.875</c:v>
                </c:pt>
                <c:pt idx="9">
                  <c:v>82469.11</c:v>
                </c:pt>
                <c:pt idx="10">
                  <c:v>172995.63699999999</c:v>
                </c:pt>
                <c:pt idx="11">
                  <c:v>130325.917</c:v>
                </c:pt>
                <c:pt idx="12">
                  <c:v>60074.966999999997</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Dat_01!$C$226:$O$226</c:f>
              <c:numCache>
                <c:formatCode>#,##0.0</c:formatCode>
                <c:ptCount val="13"/>
                <c:pt idx="0">
                  <c:v>23028.602999999999</c:v>
                </c:pt>
                <c:pt idx="1">
                  <c:v>24414.344000000001</c:v>
                </c:pt>
                <c:pt idx="2">
                  <c:v>18123.583999999999</c:v>
                </c:pt>
                <c:pt idx="3">
                  <c:v>20826.226999999999</c:v>
                </c:pt>
                <c:pt idx="4">
                  <c:v>23009.672999999999</c:v>
                </c:pt>
                <c:pt idx="5">
                  <c:v>45128.546000000002</c:v>
                </c:pt>
                <c:pt idx="6">
                  <c:v>28604.075000000001</c:v>
                </c:pt>
                <c:pt idx="7">
                  <c:v>51705.65</c:v>
                </c:pt>
                <c:pt idx="8">
                  <c:v>50536.925000000003</c:v>
                </c:pt>
                <c:pt idx="9">
                  <c:v>84995.438999999998</c:v>
                </c:pt>
                <c:pt idx="10">
                  <c:v>62327.576000000001</c:v>
                </c:pt>
                <c:pt idx="11">
                  <c:v>66807.899999999994</c:v>
                </c:pt>
                <c:pt idx="12">
                  <c:v>38696.474999999999</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extLst xmlns:c15="http://schemas.microsoft.com/office/drawing/2012/chart"/>
            </c:strRef>
          </c:cat>
          <c:val>
            <c:numRef>
              <c:f>Dat_01!$C$228:$O$228</c:f>
              <c:numCache>
                <c:formatCode>#,##0.0</c:formatCode>
                <c:ptCount val="13"/>
                <c:pt idx="0">
                  <c:v>0</c:v>
                </c:pt>
                <c:pt idx="1">
                  <c:v>0</c:v>
                </c:pt>
                <c:pt idx="2">
                  <c:v>0</c:v>
                </c:pt>
                <c:pt idx="3">
                  <c:v>0</c:v>
                </c:pt>
                <c:pt idx="4">
                  <c:v>0</c:v>
                </c:pt>
                <c:pt idx="5">
                  <c:v>0</c:v>
                </c:pt>
                <c:pt idx="6">
                  <c:v>0</c:v>
                </c:pt>
                <c:pt idx="7">
                  <c:v>6955.3249999999998</c:v>
                </c:pt>
                <c:pt idx="8">
                  <c:v>26087.775000000001</c:v>
                </c:pt>
                <c:pt idx="9">
                  <c:v>33505.375</c:v>
                </c:pt>
                <c:pt idx="10">
                  <c:v>36555.050000000003</c:v>
                </c:pt>
                <c:pt idx="11">
                  <c:v>42367.775000000001</c:v>
                </c:pt>
                <c:pt idx="12">
                  <c:v>23024.25</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Dat_01!$C$229:$O$229</c:f>
              <c:numCache>
                <c:formatCode>#,##0.0</c:formatCode>
                <c:ptCount val="13"/>
                <c:pt idx="0">
                  <c:v>418.625</c:v>
                </c:pt>
                <c:pt idx="1">
                  <c:v>350.47500000000002</c:v>
                </c:pt>
                <c:pt idx="2">
                  <c:v>226.30799999999999</c:v>
                </c:pt>
                <c:pt idx="3">
                  <c:v>0.4</c:v>
                </c:pt>
                <c:pt idx="4">
                  <c:v>140</c:v>
                </c:pt>
                <c:pt idx="5">
                  <c:v>0</c:v>
                </c:pt>
                <c:pt idx="6">
                  <c:v>176.42500000000001</c:v>
                </c:pt>
                <c:pt idx="7">
                  <c:v>415</c:v>
                </c:pt>
                <c:pt idx="8">
                  <c:v>798.25</c:v>
                </c:pt>
                <c:pt idx="9">
                  <c:v>703.5</c:v>
                </c:pt>
                <c:pt idx="10">
                  <c:v>479.5</c:v>
                </c:pt>
                <c:pt idx="11">
                  <c:v>203.75</c:v>
                </c:pt>
                <c:pt idx="12">
                  <c:v>2702</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Dat_01!$C$230:$O$230</c:f>
              <c:numCache>
                <c:formatCode>#,##0.0</c:formatCode>
                <c:ptCount val="13"/>
                <c:pt idx="0">
                  <c:v>154.42500000000001</c:v>
                </c:pt>
                <c:pt idx="1">
                  <c:v>130.041</c:v>
                </c:pt>
                <c:pt idx="2">
                  <c:v>54.158000000000001</c:v>
                </c:pt>
                <c:pt idx="3">
                  <c:v>122.11</c:v>
                </c:pt>
                <c:pt idx="4">
                  <c:v>266.00099999999998</c:v>
                </c:pt>
                <c:pt idx="5">
                  <c:v>214.92400000000001</c:v>
                </c:pt>
                <c:pt idx="6">
                  <c:v>268.07499999999999</c:v>
                </c:pt>
                <c:pt idx="7">
                  <c:v>35.75</c:v>
                </c:pt>
                <c:pt idx="8">
                  <c:v>234</c:v>
                </c:pt>
                <c:pt idx="9">
                  <c:v>980.66600000000005</c:v>
                </c:pt>
                <c:pt idx="10">
                  <c:v>1739.683</c:v>
                </c:pt>
                <c:pt idx="11">
                  <c:v>3907.0160000000001</c:v>
                </c:pt>
                <c:pt idx="12">
                  <c:v>4437.6490000000003</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Dat_01!$C$232:$O$232</c:f>
              <c:numCache>
                <c:formatCode>#,##0.0</c:formatCode>
                <c:ptCount val="13"/>
                <c:pt idx="0">
                  <c:v>74394.532000000007</c:v>
                </c:pt>
                <c:pt idx="1">
                  <c:v>44510.667000000001</c:v>
                </c:pt>
                <c:pt idx="2">
                  <c:v>33083.256999999998</c:v>
                </c:pt>
                <c:pt idx="3">
                  <c:v>23626.941999999999</c:v>
                </c:pt>
                <c:pt idx="4">
                  <c:v>44275.593999999997</c:v>
                </c:pt>
                <c:pt idx="5">
                  <c:v>20296.477999999999</c:v>
                </c:pt>
                <c:pt idx="6">
                  <c:v>10034.625</c:v>
                </c:pt>
                <c:pt idx="7">
                  <c:v>11185.225</c:v>
                </c:pt>
                <c:pt idx="8">
                  <c:v>23892.075000000001</c:v>
                </c:pt>
                <c:pt idx="9">
                  <c:v>63591.995999999999</c:v>
                </c:pt>
                <c:pt idx="10">
                  <c:v>87722.982999999993</c:v>
                </c:pt>
                <c:pt idx="11">
                  <c:v>105099.533</c:v>
                </c:pt>
                <c:pt idx="12">
                  <c:v>99194.45</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Dat_01!$C$233:$O$233</c:f>
              <c:numCache>
                <c:formatCode>#,##0.0</c:formatCode>
                <c:ptCount val="13"/>
                <c:pt idx="0">
                  <c:v>447.3</c:v>
                </c:pt>
                <c:pt idx="1">
                  <c:v>258.75</c:v>
                </c:pt>
                <c:pt idx="2">
                  <c:v>95.025000000000006</c:v>
                </c:pt>
                <c:pt idx="3">
                  <c:v>300.3</c:v>
                </c:pt>
                <c:pt idx="4">
                  <c:v>851.55</c:v>
                </c:pt>
                <c:pt idx="5">
                  <c:v>1234.2249999999999</c:v>
                </c:pt>
                <c:pt idx="6">
                  <c:v>817.65</c:v>
                </c:pt>
                <c:pt idx="7">
                  <c:v>1436.25</c:v>
                </c:pt>
                <c:pt idx="8">
                  <c:v>2461.75</c:v>
                </c:pt>
                <c:pt idx="9">
                  <c:v>2296.4499999999998</c:v>
                </c:pt>
                <c:pt idx="10">
                  <c:v>2136.5</c:v>
                </c:pt>
                <c:pt idx="11">
                  <c:v>679</c:v>
                </c:pt>
                <c:pt idx="12">
                  <c:v>1243.3</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Dat_01!$C$234:$O$234</c:f>
              <c:numCache>
                <c:formatCode>#,##0.0</c:formatCode>
                <c:ptCount val="13"/>
                <c:pt idx="0">
                  <c:v>27594.224999999999</c:v>
                </c:pt>
                <c:pt idx="1">
                  <c:v>16767.825000000001</c:v>
                </c:pt>
                <c:pt idx="2">
                  <c:v>8009.9250000000002</c:v>
                </c:pt>
                <c:pt idx="3">
                  <c:v>8058.9750000000004</c:v>
                </c:pt>
                <c:pt idx="4">
                  <c:v>17383.25</c:v>
                </c:pt>
                <c:pt idx="5">
                  <c:v>19175.525000000001</c:v>
                </c:pt>
                <c:pt idx="6">
                  <c:v>10980.45</c:v>
                </c:pt>
                <c:pt idx="7">
                  <c:v>9205.7000000000007</c:v>
                </c:pt>
                <c:pt idx="8">
                  <c:v>28796.799999999999</c:v>
                </c:pt>
                <c:pt idx="9">
                  <c:v>30971.184000000001</c:v>
                </c:pt>
                <c:pt idx="10">
                  <c:v>23083.05</c:v>
                </c:pt>
                <c:pt idx="11">
                  <c:v>24323</c:v>
                </c:pt>
                <c:pt idx="12">
                  <c:v>15956.517</c:v>
                </c:pt>
              </c:numCache>
            </c:numRef>
          </c:val>
          <c:extLst>
            <c:ext xmlns:c16="http://schemas.microsoft.com/office/drawing/2014/chart" uri="{C3380CC4-5D6E-409C-BE32-E72D297353CC}">
              <c16:uniqueId val="{00000008-BED9-452D-8454-5CC367FCBEF2}"/>
            </c:ext>
          </c:extLst>
        </c:ser>
        <c:ser>
          <c:idx val="18"/>
          <c:order val="16"/>
          <c:tx>
            <c:strRef>
              <c:f>Dat_01!$B$225</c:f>
              <c:strCache>
                <c:ptCount val="1"/>
                <c:pt idx="0">
                  <c:v>Hibridación</c:v>
                </c:pt>
              </c:strCache>
            </c:strRef>
          </c:tx>
          <c:spPr>
            <a:solidFill>
              <a:srgbClr val="28A064"/>
            </a:solidFill>
            <a:ln>
              <a:noFill/>
            </a:ln>
            <a:effectLst/>
          </c:spPr>
          <c:invertIfNegative val="0"/>
          <c:val>
            <c:numRef>
              <c:f>Dat_01!$C$225:$O$225</c:f>
              <c:numCache>
                <c:formatCode>#,##0.0</c:formatCode>
                <c:ptCount val="13"/>
                <c:pt idx="0">
                  <c:v>0</c:v>
                </c:pt>
                <c:pt idx="1">
                  <c:v>0</c:v>
                </c:pt>
                <c:pt idx="2">
                  <c:v>0</c:v>
                </c:pt>
                <c:pt idx="3">
                  <c:v>0</c:v>
                </c:pt>
                <c:pt idx="4">
                  <c:v>0</c:v>
                </c:pt>
                <c:pt idx="5">
                  <c:v>0</c:v>
                </c:pt>
                <c:pt idx="6">
                  <c:v>0</c:v>
                </c:pt>
                <c:pt idx="7">
                  <c:v>0</c:v>
                </c:pt>
                <c:pt idx="8">
                  <c:v>0</c:v>
                </c:pt>
                <c:pt idx="9">
                  <c:v>0</c:v>
                </c:pt>
                <c:pt idx="10">
                  <c:v>0</c:v>
                </c:pt>
                <c:pt idx="11">
                  <c:v>22.75</c:v>
                </c:pt>
                <c:pt idx="12">
                  <c:v>22</c:v>
                </c:pt>
              </c:numCache>
            </c:numRef>
          </c:val>
          <c:extLst>
            <c:ext xmlns:c16="http://schemas.microsoft.com/office/drawing/2014/chart" uri="{C3380CC4-5D6E-409C-BE32-E72D297353CC}">
              <c16:uniqueId val="{00000001-C300-474D-9580-6BA5FFE9A1A7}"/>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7"/>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8"/>
          <c:tx>
            <c:v>Precio medio bajar</c:v>
          </c:tx>
          <c:spPr>
            <a:ln w="28575" cap="rnd">
              <a:solidFill>
                <a:srgbClr val="404040"/>
              </a:solidFill>
              <a:round/>
            </a:ln>
            <a:effectLst/>
          </c:spPr>
          <c:marker>
            <c:symbol val="none"/>
          </c:marker>
          <c:val>
            <c:numRef>
              <c:f>Dat_01!$C$420:$O$420</c:f>
              <c:numCache>
                <c:formatCode>#,##0.00</c:formatCode>
                <c:ptCount val="13"/>
                <c:pt idx="0">
                  <c:v>-2.1895631825000001</c:v>
                </c:pt>
                <c:pt idx="1">
                  <c:v>15.1893099732</c:v>
                </c:pt>
                <c:pt idx="2">
                  <c:v>22.072287538600001</c:v>
                </c:pt>
                <c:pt idx="3">
                  <c:v>35.264518477099998</c:v>
                </c:pt>
                <c:pt idx="4">
                  <c:v>14.2514126045</c:v>
                </c:pt>
                <c:pt idx="5">
                  <c:v>14.1504108037</c:v>
                </c:pt>
                <c:pt idx="6">
                  <c:v>47.966835835799998</c:v>
                </c:pt>
                <c:pt idx="7">
                  <c:v>55.205082878200002</c:v>
                </c:pt>
                <c:pt idx="8">
                  <c:v>45.334035121399999</c:v>
                </c:pt>
                <c:pt idx="9">
                  <c:v>37.849235561100002</c:v>
                </c:pt>
                <c:pt idx="10">
                  <c:v>1.7364664057999999</c:v>
                </c:pt>
                <c:pt idx="11">
                  <c:v>-3.2251232314</c:v>
                </c:pt>
                <c:pt idx="12">
                  <c:v>-4.1235086641000001</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55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8846445855972"/>
          <c:w val="0.92593086349012377"/>
          <c:h val="0.158115355414402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Dat_01!$C$199:$O$199</c:f>
              <c:numCache>
                <c:formatCode>#,##0.0</c:formatCode>
                <c:ptCount val="13"/>
                <c:pt idx="0">
                  <c:v>46.674999999999997</c:v>
                </c:pt>
                <c:pt idx="1">
                  <c:v>56.25</c:v>
                </c:pt>
                <c:pt idx="2">
                  <c:v>537</c:v>
                </c:pt>
                <c:pt idx="3">
                  <c:v>17.5</c:v>
                </c:pt>
                <c:pt idx="4">
                  <c:v>275.2</c:v>
                </c:pt>
                <c:pt idx="5">
                  <c:v>379.41399999999999</c:v>
                </c:pt>
                <c:pt idx="6">
                  <c:v>960.09100000000001</c:v>
                </c:pt>
                <c:pt idx="7">
                  <c:v>1807.4749999999999</c:v>
                </c:pt>
                <c:pt idx="8">
                  <c:v>485.25</c:v>
                </c:pt>
                <c:pt idx="9">
                  <c:v>155.25</c:v>
                </c:pt>
                <c:pt idx="10">
                  <c:v>34.450000000000003</c:v>
                </c:pt>
                <c:pt idx="11">
                  <c:v>30.05</c:v>
                </c:pt>
                <c:pt idx="12">
                  <c:v>0</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Dat_01!$C$200:$O$200</c:f>
              <c:numCache>
                <c:formatCode>#,##0.0</c:formatCode>
                <c:ptCount val="13"/>
                <c:pt idx="0">
                  <c:v>37388.398000000001</c:v>
                </c:pt>
                <c:pt idx="1">
                  <c:v>61515.864999999998</c:v>
                </c:pt>
                <c:pt idx="2">
                  <c:v>117733.28599999999</c:v>
                </c:pt>
                <c:pt idx="3">
                  <c:v>108037.599</c:v>
                </c:pt>
                <c:pt idx="4">
                  <c:v>71329.876000000004</c:v>
                </c:pt>
                <c:pt idx="5">
                  <c:v>55707.942999999999</c:v>
                </c:pt>
                <c:pt idx="6">
                  <c:v>92005.611000000004</c:v>
                </c:pt>
                <c:pt idx="7">
                  <c:v>149676.72500000001</c:v>
                </c:pt>
                <c:pt idx="8">
                  <c:v>75138.25</c:v>
                </c:pt>
                <c:pt idx="9">
                  <c:v>41086.735000000001</c:v>
                </c:pt>
                <c:pt idx="10">
                  <c:v>42628.800000000003</c:v>
                </c:pt>
                <c:pt idx="11">
                  <c:v>21334.2</c:v>
                </c:pt>
                <c:pt idx="12">
                  <c:v>43474.65</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Dat_01!$C$201:$O$201</c:f>
              <c:numCache>
                <c:formatCode>#,##0.0</c:formatCode>
                <c:ptCount val="13"/>
                <c:pt idx="0">
                  <c:v>5.15</c:v>
                </c:pt>
                <c:pt idx="1">
                  <c:v>28.95</c:v>
                </c:pt>
                <c:pt idx="2">
                  <c:v>6.75</c:v>
                </c:pt>
                <c:pt idx="3">
                  <c:v>23.632999999999999</c:v>
                </c:pt>
                <c:pt idx="4">
                  <c:v>8.4250000000000007</c:v>
                </c:pt>
                <c:pt idx="5">
                  <c:v>4.7</c:v>
                </c:pt>
                <c:pt idx="6">
                  <c:v>15.625</c:v>
                </c:pt>
                <c:pt idx="7">
                  <c:v>16.25</c:v>
                </c:pt>
                <c:pt idx="8">
                  <c:v>3</c:v>
                </c:pt>
                <c:pt idx="9">
                  <c:v>0</c:v>
                </c:pt>
                <c:pt idx="10">
                  <c:v>140</c:v>
                </c:pt>
                <c:pt idx="11">
                  <c:v>52.5</c:v>
                </c:pt>
                <c:pt idx="12">
                  <c:v>92.75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Dat_01!$C$202:$O$202</c:f>
              <c:numCache>
                <c:formatCode>#,##0.0</c:formatCode>
                <c:ptCount val="13"/>
                <c:pt idx="0">
                  <c:v>24589.24</c:v>
                </c:pt>
                <c:pt idx="1">
                  <c:v>35192.391000000003</c:v>
                </c:pt>
                <c:pt idx="2">
                  <c:v>33501.832999999999</c:v>
                </c:pt>
                <c:pt idx="3">
                  <c:v>27203.424999999999</c:v>
                </c:pt>
                <c:pt idx="4">
                  <c:v>25004.131000000001</c:v>
                </c:pt>
                <c:pt idx="5">
                  <c:v>19519.491000000002</c:v>
                </c:pt>
                <c:pt idx="6">
                  <c:v>14910.407999999999</c:v>
                </c:pt>
                <c:pt idx="7">
                  <c:v>17618.241999999998</c:v>
                </c:pt>
                <c:pt idx="8">
                  <c:v>30294.2</c:v>
                </c:pt>
                <c:pt idx="9">
                  <c:v>10732.416999999999</c:v>
                </c:pt>
                <c:pt idx="10">
                  <c:v>30167.8</c:v>
                </c:pt>
                <c:pt idx="11">
                  <c:v>25127.55</c:v>
                </c:pt>
                <c:pt idx="12">
                  <c:v>28512.400000000001</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Dat_01!$C$204:$O$204</c:f>
              <c:numCache>
                <c:formatCode>#,##0.0</c:formatCode>
                <c:ptCount val="13"/>
                <c:pt idx="0">
                  <c:v>18793.464</c:v>
                </c:pt>
                <c:pt idx="1">
                  <c:v>19769.831999999999</c:v>
                </c:pt>
                <c:pt idx="2">
                  <c:v>27242.550999999999</c:v>
                </c:pt>
                <c:pt idx="3">
                  <c:v>18314.178</c:v>
                </c:pt>
                <c:pt idx="4">
                  <c:v>14389.375</c:v>
                </c:pt>
                <c:pt idx="5">
                  <c:v>24306.028999999999</c:v>
                </c:pt>
                <c:pt idx="6">
                  <c:v>13826.055</c:v>
                </c:pt>
                <c:pt idx="7">
                  <c:v>22650.025000000001</c:v>
                </c:pt>
                <c:pt idx="8">
                  <c:v>24907.05</c:v>
                </c:pt>
                <c:pt idx="9">
                  <c:v>9668.9809999999998</c:v>
                </c:pt>
                <c:pt idx="10">
                  <c:v>31429.5</c:v>
                </c:pt>
                <c:pt idx="11">
                  <c:v>27448.1</c:v>
                </c:pt>
                <c:pt idx="12">
                  <c:v>43167.925000000003</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extLst xmlns:c15="http://schemas.microsoft.com/office/drawing/2012/chart"/>
            </c:strRef>
          </c:cat>
          <c:val>
            <c:numRef>
              <c:f>Dat_01!$C$209:$O$209</c:f>
              <c:numCache>
                <c:formatCode>#,##0.0</c:formatCode>
                <c:ptCount val="13"/>
                <c:pt idx="0">
                  <c:v>0</c:v>
                </c:pt>
                <c:pt idx="1">
                  <c:v>0</c:v>
                </c:pt>
                <c:pt idx="2">
                  <c:v>0</c:v>
                </c:pt>
                <c:pt idx="3">
                  <c:v>0</c:v>
                </c:pt>
                <c:pt idx="4">
                  <c:v>0</c:v>
                </c:pt>
                <c:pt idx="5">
                  <c:v>0</c:v>
                </c:pt>
                <c:pt idx="6">
                  <c:v>0</c:v>
                </c:pt>
                <c:pt idx="7">
                  <c:v>8416.4750000000004</c:v>
                </c:pt>
                <c:pt idx="8">
                  <c:v>34556.9</c:v>
                </c:pt>
                <c:pt idx="9">
                  <c:v>28098.799999999999</c:v>
                </c:pt>
                <c:pt idx="10">
                  <c:v>34080.6</c:v>
                </c:pt>
                <c:pt idx="11">
                  <c:v>26275.474999999999</c:v>
                </c:pt>
                <c:pt idx="12">
                  <c:v>35039.25</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Dat_01!$C$207:$O$207</c:f>
              <c:numCache>
                <c:formatCode>#,##0.0</c:formatCode>
                <c:ptCount val="13"/>
                <c:pt idx="0">
                  <c:v>34258.17</c:v>
                </c:pt>
                <c:pt idx="1">
                  <c:v>52189.11</c:v>
                </c:pt>
                <c:pt idx="2">
                  <c:v>44286.06</c:v>
                </c:pt>
                <c:pt idx="3">
                  <c:v>45614.728999999999</c:v>
                </c:pt>
                <c:pt idx="4">
                  <c:v>21337.156999999999</c:v>
                </c:pt>
                <c:pt idx="5">
                  <c:v>36443.067999999999</c:v>
                </c:pt>
                <c:pt idx="6">
                  <c:v>25115.334999999999</c:v>
                </c:pt>
                <c:pt idx="7">
                  <c:v>46447.163</c:v>
                </c:pt>
                <c:pt idx="8">
                  <c:v>30091.7</c:v>
                </c:pt>
                <c:pt idx="9">
                  <c:v>17178.798999999999</c:v>
                </c:pt>
                <c:pt idx="10">
                  <c:v>34297.5</c:v>
                </c:pt>
                <c:pt idx="11">
                  <c:v>36084.15</c:v>
                </c:pt>
                <c:pt idx="12">
                  <c:v>30711.75</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Dat_01!$C$210:$O$210</c:f>
              <c:numCache>
                <c:formatCode>#,##0.0</c:formatCode>
                <c:ptCount val="13"/>
                <c:pt idx="0">
                  <c:v>318.7</c:v>
                </c:pt>
                <c:pt idx="1">
                  <c:v>7.2</c:v>
                </c:pt>
                <c:pt idx="2">
                  <c:v>522.85</c:v>
                </c:pt>
                <c:pt idx="3">
                  <c:v>0</c:v>
                </c:pt>
                <c:pt idx="4">
                  <c:v>0</c:v>
                </c:pt>
                <c:pt idx="5">
                  <c:v>0</c:v>
                </c:pt>
                <c:pt idx="6">
                  <c:v>100.05</c:v>
                </c:pt>
                <c:pt idx="7">
                  <c:v>30</c:v>
                </c:pt>
                <c:pt idx="8">
                  <c:v>139.15</c:v>
                </c:pt>
                <c:pt idx="9">
                  <c:v>0</c:v>
                </c:pt>
                <c:pt idx="10">
                  <c:v>359.05</c:v>
                </c:pt>
                <c:pt idx="11">
                  <c:v>364</c:v>
                </c:pt>
                <c:pt idx="12">
                  <c:v>1965.25</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Dat_01!$C$211:$O$211</c:f>
              <c:numCache>
                <c:formatCode>#,##0.0</c:formatCode>
                <c:ptCount val="13"/>
                <c:pt idx="0">
                  <c:v>0</c:v>
                </c:pt>
                <c:pt idx="1">
                  <c:v>9</c:v>
                </c:pt>
                <c:pt idx="2">
                  <c:v>60.5</c:v>
                </c:pt>
                <c:pt idx="3">
                  <c:v>299.625</c:v>
                </c:pt>
                <c:pt idx="4">
                  <c:v>284.55</c:v>
                </c:pt>
                <c:pt idx="5">
                  <c:v>361.459</c:v>
                </c:pt>
                <c:pt idx="6">
                  <c:v>76.349999999999994</c:v>
                </c:pt>
                <c:pt idx="7">
                  <c:v>47.25</c:v>
                </c:pt>
                <c:pt idx="8">
                  <c:v>85</c:v>
                </c:pt>
                <c:pt idx="9">
                  <c:v>17.25</c:v>
                </c:pt>
                <c:pt idx="10">
                  <c:v>304.89999999999998</c:v>
                </c:pt>
                <c:pt idx="11">
                  <c:v>301.3</c:v>
                </c:pt>
                <c:pt idx="12">
                  <c:v>1099.6500000000001</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Dat_01!$C$213:$O$213</c:f>
              <c:numCache>
                <c:formatCode>#,##0.0</c:formatCode>
                <c:ptCount val="13"/>
                <c:pt idx="0">
                  <c:v>12342.802</c:v>
                </c:pt>
                <c:pt idx="1">
                  <c:v>5942.2259999999997</c:v>
                </c:pt>
                <c:pt idx="2">
                  <c:v>11715.717000000001</c:v>
                </c:pt>
                <c:pt idx="3">
                  <c:v>6043.3620000000001</c:v>
                </c:pt>
                <c:pt idx="4">
                  <c:v>3037.88</c:v>
                </c:pt>
                <c:pt idx="5">
                  <c:v>4937.223</c:v>
                </c:pt>
                <c:pt idx="6">
                  <c:v>2907.0349999999999</c:v>
                </c:pt>
                <c:pt idx="7">
                  <c:v>3403.0250000000001</c:v>
                </c:pt>
                <c:pt idx="8">
                  <c:v>3800</c:v>
                </c:pt>
                <c:pt idx="9">
                  <c:v>2360.9009999999998</c:v>
                </c:pt>
                <c:pt idx="10">
                  <c:v>6670.45</c:v>
                </c:pt>
                <c:pt idx="11">
                  <c:v>9866.9</c:v>
                </c:pt>
                <c:pt idx="12">
                  <c:v>14137.575000000001</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Dat_01!$C$214:$O$214</c:f>
              <c:numCache>
                <c:formatCode>#,##0.0</c:formatCode>
                <c:ptCount val="13"/>
                <c:pt idx="0">
                  <c:v>10.925000000000001</c:v>
                </c:pt>
                <c:pt idx="1">
                  <c:v>17.5</c:v>
                </c:pt>
                <c:pt idx="2">
                  <c:v>0</c:v>
                </c:pt>
                <c:pt idx="3">
                  <c:v>42.45</c:v>
                </c:pt>
                <c:pt idx="4">
                  <c:v>35.475000000000001</c:v>
                </c:pt>
                <c:pt idx="5">
                  <c:v>19.399999999999999</c:v>
                </c:pt>
                <c:pt idx="6">
                  <c:v>6.7</c:v>
                </c:pt>
                <c:pt idx="7">
                  <c:v>9.25</c:v>
                </c:pt>
                <c:pt idx="8">
                  <c:v>15.25</c:v>
                </c:pt>
                <c:pt idx="9">
                  <c:v>4.75</c:v>
                </c:pt>
                <c:pt idx="10">
                  <c:v>62.75</c:v>
                </c:pt>
                <c:pt idx="11">
                  <c:v>157.75</c:v>
                </c:pt>
                <c:pt idx="12">
                  <c:v>300.5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Dat_01!$C$215:$O$215</c:f>
              <c:numCache>
                <c:formatCode>#,##0.0</c:formatCode>
                <c:ptCount val="13"/>
                <c:pt idx="0">
                  <c:v>41513.373</c:v>
                </c:pt>
                <c:pt idx="1">
                  <c:v>26517.401000000002</c:v>
                </c:pt>
                <c:pt idx="2">
                  <c:v>25433.624</c:v>
                </c:pt>
                <c:pt idx="3">
                  <c:v>17591.724999999999</c:v>
                </c:pt>
                <c:pt idx="4">
                  <c:v>23246.357</c:v>
                </c:pt>
                <c:pt idx="5">
                  <c:v>14903.813</c:v>
                </c:pt>
                <c:pt idx="6">
                  <c:v>9228.6530000000002</c:v>
                </c:pt>
                <c:pt idx="7">
                  <c:v>13417.55</c:v>
                </c:pt>
                <c:pt idx="8">
                  <c:v>19331.099999999999</c:v>
                </c:pt>
                <c:pt idx="9">
                  <c:v>5627</c:v>
                </c:pt>
                <c:pt idx="10">
                  <c:v>14804.75</c:v>
                </c:pt>
                <c:pt idx="11">
                  <c:v>16764.75</c:v>
                </c:pt>
                <c:pt idx="12">
                  <c:v>23021.55</c:v>
                </c:pt>
              </c:numCache>
            </c:numRef>
          </c:val>
          <c:extLst>
            <c:ext xmlns:c16="http://schemas.microsoft.com/office/drawing/2014/chart" uri="{C3380CC4-5D6E-409C-BE32-E72D297353CC}">
              <c16:uniqueId val="{00000008-2655-43B4-8799-F66FBECD481A}"/>
            </c:ext>
          </c:extLst>
        </c:ser>
        <c:ser>
          <c:idx val="10"/>
          <c:order val="15"/>
          <c:tx>
            <c:strRef>
              <c:f>Dat_01!$B$206</c:f>
              <c:strCache>
                <c:ptCount val="1"/>
                <c:pt idx="0">
                  <c:v>Hibridación</c:v>
                </c:pt>
              </c:strCache>
            </c:strRef>
          </c:tx>
          <c:spPr>
            <a:solidFill>
              <a:srgbClr val="28A064"/>
            </a:solidFill>
            <a:ln>
              <a:noFill/>
            </a:ln>
            <a:effectLst/>
          </c:spPr>
          <c:invertIfNegative val="0"/>
          <c:val>
            <c:numRef>
              <c:f>Dat_01!$C$206:$O$206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7DB-44F0-B5DD-BF0F149D1642}"/>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6"/>
          <c:tx>
            <c:v>Precio medio subir</c:v>
          </c:tx>
          <c:spPr>
            <a:ln w="28575" cap="rnd">
              <a:solidFill>
                <a:srgbClr val="004563"/>
              </a:solidFill>
              <a:round/>
            </a:ln>
            <a:effectLst/>
          </c:spPr>
          <c:marker>
            <c:symbol val="none"/>
          </c:marker>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Dat_01!$C$416:$O$416</c:f>
              <c:numCache>
                <c:formatCode>#,##0.00</c:formatCode>
                <c:ptCount val="13"/>
                <c:pt idx="0">
                  <c:v>64.074680799000006</c:v>
                </c:pt>
                <c:pt idx="1">
                  <c:v>93.701156764000004</c:v>
                </c:pt>
                <c:pt idx="2">
                  <c:v>97.325009448100005</c:v>
                </c:pt>
                <c:pt idx="3">
                  <c:v>114.6892769159</c:v>
                </c:pt>
                <c:pt idx="4">
                  <c:v>106.6717990865</c:v>
                </c:pt>
                <c:pt idx="5">
                  <c:v>96.757878917900001</c:v>
                </c:pt>
                <c:pt idx="6">
                  <c:v>130.18347199920001</c:v>
                </c:pt>
                <c:pt idx="7">
                  <c:v>143.12100996730001</c:v>
                </c:pt>
                <c:pt idx="8">
                  <c:v>128.90381284489999</c:v>
                </c:pt>
                <c:pt idx="9">
                  <c:v>120.5025753649</c:v>
                </c:pt>
                <c:pt idx="10">
                  <c:v>90.112878959900002</c:v>
                </c:pt>
                <c:pt idx="11">
                  <c:v>58.207753859599997</c:v>
                </c:pt>
                <c:pt idx="12">
                  <c:v>55.693702808300003</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5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0</c:v>
                </c:pt>
                <c:pt idx="1">
                  <c:v>41.5</c:v>
                </c:pt>
                <c:pt idx="2">
                  <c:v>412.6</c:v>
                </c:pt>
                <c:pt idx="3">
                  <c:v>381</c:v>
                </c:pt>
                <c:pt idx="4">
                  <c:v>406</c:v>
                </c:pt>
                <c:pt idx="5">
                  <c:v>833.8</c:v>
                </c:pt>
                <c:pt idx="6">
                  <c:v>128.25</c:v>
                </c:pt>
                <c:pt idx="7">
                  <c:v>200.75</c:v>
                </c:pt>
                <c:pt idx="8">
                  <c:v>810</c:v>
                </c:pt>
                <c:pt idx="9">
                  <c:v>132</c:v>
                </c:pt>
                <c:pt idx="10">
                  <c:v>28.75</c:v>
                </c:pt>
                <c:pt idx="11">
                  <c:v>155.75</c:v>
                </c:pt>
                <c:pt idx="12">
                  <c:v>0</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6791.0749999999998</c:v>
                </c:pt>
                <c:pt idx="1">
                  <c:v>13289.825000000001</c:v>
                </c:pt>
                <c:pt idx="2">
                  <c:v>16226.75</c:v>
                </c:pt>
                <c:pt idx="3">
                  <c:v>19143.775000000001</c:v>
                </c:pt>
                <c:pt idx="4">
                  <c:v>23707.275000000001</c:v>
                </c:pt>
                <c:pt idx="5">
                  <c:v>20838.625</c:v>
                </c:pt>
                <c:pt idx="6">
                  <c:v>20258.349999999999</c:v>
                </c:pt>
                <c:pt idx="7">
                  <c:v>23259.55</c:v>
                </c:pt>
                <c:pt idx="8">
                  <c:v>40918.074999999997</c:v>
                </c:pt>
                <c:pt idx="9">
                  <c:v>55261.525000000001</c:v>
                </c:pt>
                <c:pt idx="10">
                  <c:v>35693.599999999999</c:v>
                </c:pt>
                <c:pt idx="11">
                  <c:v>15588.025</c:v>
                </c:pt>
                <c:pt idx="12">
                  <c:v>9638.65</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60.15</c:v>
                </c:pt>
                <c:pt idx="1">
                  <c:v>142.65</c:v>
                </c:pt>
                <c:pt idx="2">
                  <c:v>350.52499999999998</c:v>
                </c:pt>
                <c:pt idx="3">
                  <c:v>574.29999999999995</c:v>
                </c:pt>
                <c:pt idx="4">
                  <c:v>336.55</c:v>
                </c:pt>
                <c:pt idx="5">
                  <c:v>485.85</c:v>
                </c:pt>
                <c:pt idx="6">
                  <c:v>367.02499999999998</c:v>
                </c:pt>
                <c:pt idx="7">
                  <c:v>136.5</c:v>
                </c:pt>
                <c:pt idx="8">
                  <c:v>765.1</c:v>
                </c:pt>
                <c:pt idx="9">
                  <c:v>17</c:v>
                </c:pt>
                <c:pt idx="10">
                  <c:v>461.27499999999998</c:v>
                </c:pt>
                <c:pt idx="11">
                  <c:v>424</c:v>
                </c:pt>
                <c:pt idx="12">
                  <c:v>44.6</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45527.15</c:v>
                </c:pt>
                <c:pt idx="1">
                  <c:v>45937.275000000001</c:v>
                </c:pt>
                <c:pt idx="2">
                  <c:v>43872.800000000003</c:v>
                </c:pt>
                <c:pt idx="3">
                  <c:v>85489</c:v>
                </c:pt>
                <c:pt idx="4">
                  <c:v>57096.4</c:v>
                </c:pt>
                <c:pt idx="5">
                  <c:v>57520.25</c:v>
                </c:pt>
                <c:pt idx="6">
                  <c:v>40508.199999999997</c:v>
                </c:pt>
                <c:pt idx="7">
                  <c:v>40637.15</c:v>
                </c:pt>
                <c:pt idx="8">
                  <c:v>50389.4</c:v>
                </c:pt>
                <c:pt idx="9">
                  <c:v>53214.7</c:v>
                </c:pt>
                <c:pt idx="10">
                  <c:v>66433.399999999994</c:v>
                </c:pt>
                <c:pt idx="11">
                  <c:v>61311.05</c:v>
                </c:pt>
                <c:pt idx="12">
                  <c:v>30223.3</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120354.125</c:v>
                </c:pt>
                <c:pt idx="1">
                  <c:v>92592.25</c:v>
                </c:pt>
                <c:pt idx="2">
                  <c:v>91542.55</c:v>
                </c:pt>
                <c:pt idx="3">
                  <c:v>130294.325</c:v>
                </c:pt>
                <c:pt idx="4">
                  <c:v>162821.57500000001</c:v>
                </c:pt>
                <c:pt idx="5">
                  <c:v>154544.22500000001</c:v>
                </c:pt>
                <c:pt idx="6">
                  <c:v>104938.175</c:v>
                </c:pt>
                <c:pt idx="7">
                  <c:v>76241.225000000006</c:v>
                </c:pt>
                <c:pt idx="8">
                  <c:v>101824.35</c:v>
                </c:pt>
                <c:pt idx="9">
                  <c:v>121282.75</c:v>
                </c:pt>
                <c:pt idx="10">
                  <c:v>183823.9</c:v>
                </c:pt>
                <c:pt idx="11">
                  <c:v>144046.39999999999</c:v>
                </c:pt>
                <c:pt idx="12">
                  <c:v>40362.474999999999</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22738.424999999999</c:v>
                </c:pt>
                <c:pt idx="1">
                  <c:v>25203.9</c:v>
                </c:pt>
                <c:pt idx="2">
                  <c:v>22661.65</c:v>
                </c:pt>
                <c:pt idx="3">
                  <c:v>24531.674999999999</c:v>
                </c:pt>
                <c:pt idx="4">
                  <c:v>29122.674999999999</c:v>
                </c:pt>
                <c:pt idx="5">
                  <c:v>48937.175000000003</c:v>
                </c:pt>
                <c:pt idx="6">
                  <c:v>28066.5</c:v>
                </c:pt>
                <c:pt idx="7">
                  <c:v>55051.875</c:v>
                </c:pt>
                <c:pt idx="8">
                  <c:v>49899.25</c:v>
                </c:pt>
                <c:pt idx="9">
                  <c:v>69284.95</c:v>
                </c:pt>
                <c:pt idx="10">
                  <c:v>84328.975000000006</c:v>
                </c:pt>
                <c:pt idx="11">
                  <c:v>67307.55</c:v>
                </c:pt>
                <c:pt idx="12">
                  <c:v>28568.724999999999</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495.25</c:v>
                </c:pt>
                <c:pt idx="1">
                  <c:v>140</c:v>
                </c:pt>
                <c:pt idx="2">
                  <c:v>787.42499999999995</c:v>
                </c:pt>
                <c:pt idx="3">
                  <c:v>137</c:v>
                </c:pt>
                <c:pt idx="4">
                  <c:v>120</c:v>
                </c:pt>
                <c:pt idx="5">
                  <c:v>0</c:v>
                </c:pt>
                <c:pt idx="6">
                  <c:v>175.97499999999999</c:v>
                </c:pt>
                <c:pt idx="7">
                  <c:v>243.75</c:v>
                </c:pt>
                <c:pt idx="8">
                  <c:v>855.6</c:v>
                </c:pt>
                <c:pt idx="9">
                  <c:v>2488.5</c:v>
                </c:pt>
                <c:pt idx="10">
                  <c:v>368.6</c:v>
                </c:pt>
                <c:pt idx="11">
                  <c:v>1670.625</c:v>
                </c:pt>
                <c:pt idx="12">
                  <c:v>4390.55</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177.25</c:v>
                </c:pt>
                <c:pt idx="1">
                  <c:v>47.75</c:v>
                </c:pt>
                <c:pt idx="2">
                  <c:v>81.75</c:v>
                </c:pt>
                <c:pt idx="3">
                  <c:v>152.5</c:v>
                </c:pt>
                <c:pt idx="4">
                  <c:v>335.75</c:v>
                </c:pt>
                <c:pt idx="5">
                  <c:v>196.5</c:v>
                </c:pt>
                <c:pt idx="6">
                  <c:v>252</c:v>
                </c:pt>
                <c:pt idx="7">
                  <c:v>18</c:v>
                </c:pt>
                <c:pt idx="8">
                  <c:v>51</c:v>
                </c:pt>
                <c:pt idx="9">
                  <c:v>147</c:v>
                </c:pt>
                <c:pt idx="10">
                  <c:v>6</c:v>
                </c:pt>
                <c:pt idx="11">
                  <c:v>406.75</c:v>
                </c:pt>
                <c:pt idx="12">
                  <c:v>112</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105239.4</c:v>
                </c:pt>
                <c:pt idx="1">
                  <c:v>73395.25</c:v>
                </c:pt>
                <c:pt idx="2">
                  <c:v>57932.775000000001</c:v>
                </c:pt>
                <c:pt idx="3">
                  <c:v>56016.35</c:v>
                </c:pt>
                <c:pt idx="4">
                  <c:v>54552.375</c:v>
                </c:pt>
                <c:pt idx="5">
                  <c:v>20732.650000000001</c:v>
                </c:pt>
                <c:pt idx="6">
                  <c:v>21085.15</c:v>
                </c:pt>
                <c:pt idx="7">
                  <c:v>18646.599999999999</c:v>
                </c:pt>
                <c:pt idx="8">
                  <c:v>23535.525000000001</c:v>
                </c:pt>
                <c:pt idx="9">
                  <c:v>42195.45</c:v>
                </c:pt>
                <c:pt idx="10">
                  <c:v>96803.75</c:v>
                </c:pt>
                <c:pt idx="11">
                  <c:v>146364.54999999999</c:v>
                </c:pt>
                <c:pt idx="12">
                  <c:v>92281.725000000006</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164.75</c:v>
                </c:pt>
                <c:pt idx="1">
                  <c:v>10.55</c:v>
                </c:pt>
                <c:pt idx="2">
                  <c:v>0</c:v>
                </c:pt>
                <c:pt idx="3">
                  <c:v>1854.825</c:v>
                </c:pt>
                <c:pt idx="4">
                  <c:v>7491.5</c:v>
                </c:pt>
                <c:pt idx="5">
                  <c:v>13007.775</c:v>
                </c:pt>
                <c:pt idx="6">
                  <c:v>19087.900000000001</c:v>
                </c:pt>
                <c:pt idx="7">
                  <c:v>14697</c:v>
                </c:pt>
                <c:pt idx="8">
                  <c:v>17053.275000000001</c:v>
                </c:pt>
                <c:pt idx="9">
                  <c:v>17562.8</c:v>
                </c:pt>
                <c:pt idx="10">
                  <c:v>11071.275</c:v>
                </c:pt>
                <c:pt idx="11">
                  <c:v>9746.75</c:v>
                </c:pt>
                <c:pt idx="12">
                  <c:v>3151.25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24725.375</c:v>
                </c:pt>
                <c:pt idx="1">
                  <c:v>21775.599999999999</c:v>
                </c:pt>
                <c:pt idx="2">
                  <c:v>16501.599999999999</c:v>
                </c:pt>
                <c:pt idx="3">
                  <c:v>17942.75</c:v>
                </c:pt>
                <c:pt idx="4">
                  <c:v>24462.5</c:v>
                </c:pt>
                <c:pt idx="5">
                  <c:v>27379.85</c:v>
                </c:pt>
                <c:pt idx="6">
                  <c:v>27583.724999999999</c:v>
                </c:pt>
                <c:pt idx="7">
                  <c:v>25957.25</c:v>
                </c:pt>
                <c:pt idx="8">
                  <c:v>46658.175000000003</c:v>
                </c:pt>
                <c:pt idx="9">
                  <c:v>51895.625</c:v>
                </c:pt>
                <c:pt idx="10">
                  <c:v>37795.15</c:v>
                </c:pt>
                <c:pt idx="11">
                  <c:v>27303.9</c:v>
                </c:pt>
                <c:pt idx="12">
                  <c:v>14841.9</c:v>
                </c:pt>
              </c:numCache>
            </c:numRef>
          </c:val>
          <c:extLst>
            <c:ext xmlns:c16="http://schemas.microsoft.com/office/drawing/2014/chart" uri="{C3380CC4-5D6E-409C-BE32-E72D297353CC}">
              <c16:uniqueId val="{00000001-5E88-4874-99F0-5BC45A3953B0}"/>
            </c:ext>
          </c:extLst>
        </c:ser>
        <c:ser>
          <c:idx val="14"/>
          <c:order val="12"/>
          <c:tx>
            <c:strRef>
              <c:f>Dat_01!$B$288</c:f>
              <c:strCache>
                <c:ptCount val="1"/>
                <c:pt idx="0">
                  <c:v>Hibridación</c:v>
                </c:pt>
              </c:strCache>
            </c:strRef>
          </c:tx>
          <c:spPr>
            <a:solidFill>
              <a:srgbClr val="28A064"/>
            </a:solidFill>
            <a:ln>
              <a:noFill/>
            </a:ln>
            <a:effectLst/>
          </c:spPr>
          <c:invertIfNegative val="0"/>
          <c:val>
            <c:numRef>
              <c:f>Dat_01!$C$288:$O$288</c:f>
              <c:numCache>
                <c:formatCode>#,##0.0</c:formatCode>
                <c:ptCount val="13"/>
                <c:pt idx="0">
                  <c:v>0</c:v>
                </c:pt>
                <c:pt idx="1">
                  <c:v>0</c:v>
                </c:pt>
                <c:pt idx="2">
                  <c:v>0</c:v>
                </c:pt>
                <c:pt idx="3">
                  <c:v>0</c:v>
                </c:pt>
                <c:pt idx="4">
                  <c:v>0</c:v>
                </c:pt>
                <c:pt idx="5">
                  <c:v>0</c:v>
                </c:pt>
                <c:pt idx="6">
                  <c:v>0</c:v>
                </c:pt>
                <c:pt idx="7">
                  <c:v>0</c:v>
                </c:pt>
                <c:pt idx="8">
                  <c:v>0</c:v>
                </c:pt>
                <c:pt idx="9">
                  <c:v>0</c:v>
                </c:pt>
                <c:pt idx="10">
                  <c:v>0</c:v>
                </c:pt>
                <c:pt idx="11">
                  <c:v>27</c:v>
                </c:pt>
                <c:pt idx="12">
                  <c:v>41.875</c:v>
                </c:pt>
              </c:numCache>
            </c:numRef>
          </c:val>
          <c:extLst>
            <c:ext xmlns:c16="http://schemas.microsoft.com/office/drawing/2014/chart" uri="{C3380CC4-5D6E-409C-BE32-E72D297353CC}">
              <c16:uniqueId val="{00000000-7E4A-44B8-A65C-3D2FDD8E42E5}"/>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3"/>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4"/>
          <c:tx>
            <c:v>Precio ponderado necesidades a bajar</c:v>
          </c:tx>
          <c:spPr>
            <a:ln w="28575" cap="rnd">
              <a:solidFill>
                <a:srgbClr val="404040"/>
              </a:solidFill>
              <a:round/>
            </a:ln>
            <a:effectLst/>
          </c:spPr>
          <c:marker>
            <c:symbol val="none"/>
          </c:marker>
          <c:val>
            <c:numRef>
              <c:f>Dat_01!$C$419:$O$419</c:f>
              <c:numCache>
                <c:formatCode>#,##0.00</c:formatCode>
                <c:ptCount val="13"/>
                <c:pt idx="0">
                  <c:v>0.64371816849999997</c:v>
                </c:pt>
                <c:pt idx="1">
                  <c:v>8.7326280057000005</c:v>
                </c:pt>
                <c:pt idx="2">
                  <c:v>21.612704861400001</c:v>
                </c:pt>
                <c:pt idx="3">
                  <c:v>31.9436785561</c:v>
                </c:pt>
                <c:pt idx="4">
                  <c:v>25.912088802</c:v>
                </c:pt>
                <c:pt idx="5">
                  <c:v>35.972563547599997</c:v>
                </c:pt>
                <c:pt idx="6">
                  <c:v>59.567486707100002</c:v>
                </c:pt>
                <c:pt idx="7">
                  <c:v>71.541896375299999</c:v>
                </c:pt>
                <c:pt idx="8">
                  <c:v>54.339434263699999</c:v>
                </c:pt>
                <c:pt idx="9">
                  <c:v>56.6349303597</c:v>
                </c:pt>
                <c:pt idx="10">
                  <c:v>3.8096046056000001</c:v>
                </c:pt>
                <c:pt idx="11">
                  <c:v>-1.4470105132</c:v>
                </c:pt>
                <c:pt idx="12">
                  <c:v>-4.0810580168000001</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1.2558492965081875E-2"/>
          <c:y val="0.7338937374681167"/>
          <c:w val="0.96757061352840057"/>
          <c:h val="0.250178327033751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Dat_01!$C$262:$O$262</c:f>
              <c:numCache>
                <c:formatCode>#,##0.0</c:formatCode>
                <c:ptCount val="13"/>
                <c:pt idx="0">
                  <c:v>0</c:v>
                </c:pt>
                <c:pt idx="1">
                  <c:v>8.25</c:v>
                </c:pt>
                <c:pt idx="2">
                  <c:v>0</c:v>
                </c:pt>
                <c:pt idx="3">
                  <c:v>0</c:v>
                </c:pt>
                <c:pt idx="4">
                  <c:v>127.5</c:v>
                </c:pt>
                <c:pt idx="5">
                  <c:v>362</c:v>
                </c:pt>
                <c:pt idx="6">
                  <c:v>1633</c:v>
                </c:pt>
                <c:pt idx="7">
                  <c:v>2088.5</c:v>
                </c:pt>
                <c:pt idx="8">
                  <c:v>693</c:v>
                </c:pt>
                <c:pt idx="9">
                  <c:v>260</c:v>
                </c:pt>
                <c:pt idx="10">
                  <c:v>897.77499999999998</c:v>
                </c:pt>
                <c:pt idx="11">
                  <c:v>298.75</c:v>
                </c:pt>
                <c:pt idx="12">
                  <c:v>0</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Dat_01!$C$263:$O$263</c:f>
              <c:numCache>
                <c:formatCode>#,##0.0</c:formatCode>
                <c:ptCount val="13"/>
                <c:pt idx="0">
                  <c:v>32926.224999999999</c:v>
                </c:pt>
                <c:pt idx="1">
                  <c:v>64006.1</c:v>
                </c:pt>
                <c:pt idx="2">
                  <c:v>163340.42499999999</c:v>
                </c:pt>
                <c:pt idx="3">
                  <c:v>165694.04999999999</c:v>
                </c:pt>
                <c:pt idx="4">
                  <c:v>125756.45</c:v>
                </c:pt>
                <c:pt idx="5">
                  <c:v>89216.125</c:v>
                </c:pt>
                <c:pt idx="6">
                  <c:v>197862.55</c:v>
                </c:pt>
                <c:pt idx="7">
                  <c:v>213803.25</c:v>
                </c:pt>
                <c:pt idx="8">
                  <c:v>129121.52499999999</c:v>
                </c:pt>
                <c:pt idx="9">
                  <c:v>119835.95</c:v>
                </c:pt>
                <c:pt idx="10">
                  <c:v>65766.524999999994</c:v>
                </c:pt>
                <c:pt idx="11">
                  <c:v>18888.825000000001</c:v>
                </c:pt>
                <c:pt idx="12">
                  <c:v>20152.424999999999</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Dat_01!$C$264:$O$264</c:f>
              <c:numCache>
                <c:formatCode>#,##0.0</c:formatCode>
                <c:ptCount val="13"/>
                <c:pt idx="0">
                  <c:v>8.25</c:v>
                </c:pt>
                <c:pt idx="1">
                  <c:v>103.2</c:v>
                </c:pt>
                <c:pt idx="2">
                  <c:v>13.175000000000001</c:v>
                </c:pt>
                <c:pt idx="3">
                  <c:v>45.65</c:v>
                </c:pt>
                <c:pt idx="4">
                  <c:v>14.25</c:v>
                </c:pt>
                <c:pt idx="5">
                  <c:v>24.5</c:v>
                </c:pt>
                <c:pt idx="6">
                  <c:v>6</c:v>
                </c:pt>
                <c:pt idx="7">
                  <c:v>2.75</c:v>
                </c:pt>
                <c:pt idx="8">
                  <c:v>0</c:v>
                </c:pt>
                <c:pt idx="9">
                  <c:v>0</c:v>
                </c:pt>
                <c:pt idx="10">
                  <c:v>99.275000000000006</c:v>
                </c:pt>
                <c:pt idx="11">
                  <c:v>7.25</c:v>
                </c:pt>
                <c:pt idx="12">
                  <c:v>35.174999999999997</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Dat_01!$C$265:$O$265</c:f>
              <c:numCache>
                <c:formatCode>#,##0.0</c:formatCode>
                <c:ptCount val="13"/>
                <c:pt idx="0">
                  <c:v>9859.75</c:v>
                </c:pt>
                <c:pt idx="1">
                  <c:v>17882.150000000001</c:v>
                </c:pt>
                <c:pt idx="2">
                  <c:v>15875.5</c:v>
                </c:pt>
                <c:pt idx="3">
                  <c:v>8039.05</c:v>
                </c:pt>
                <c:pt idx="4">
                  <c:v>7439.25</c:v>
                </c:pt>
                <c:pt idx="5">
                  <c:v>12368</c:v>
                </c:pt>
                <c:pt idx="6">
                  <c:v>6237.75</c:v>
                </c:pt>
                <c:pt idx="7">
                  <c:v>7032</c:v>
                </c:pt>
                <c:pt idx="8">
                  <c:v>12204.95</c:v>
                </c:pt>
                <c:pt idx="9">
                  <c:v>6649.75</c:v>
                </c:pt>
                <c:pt idx="10">
                  <c:v>13922</c:v>
                </c:pt>
                <c:pt idx="11">
                  <c:v>7157.5749999999998</c:v>
                </c:pt>
                <c:pt idx="12">
                  <c:v>13771.375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Dat_01!$C$267:$O$267</c:f>
              <c:numCache>
                <c:formatCode>#,##0.0</c:formatCode>
                <c:ptCount val="13"/>
                <c:pt idx="0">
                  <c:v>13277.424999999999</c:v>
                </c:pt>
                <c:pt idx="1">
                  <c:v>17743.05</c:v>
                </c:pt>
                <c:pt idx="2">
                  <c:v>20474.400000000001</c:v>
                </c:pt>
                <c:pt idx="3">
                  <c:v>12857.125</c:v>
                </c:pt>
                <c:pt idx="4">
                  <c:v>10297.075000000001</c:v>
                </c:pt>
                <c:pt idx="5">
                  <c:v>17407.400000000001</c:v>
                </c:pt>
                <c:pt idx="6">
                  <c:v>18914.650000000001</c:v>
                </c:pt>
                <c:pt idx="7">
                  <c:v>19104.8</c:v>
                </c:pt>
                <c:pt idx="8">
                  <c:v>19423.2</c:v>
                </c:pt>
                <c:pt idx="9">
                  <c:v>12835.85</c:v>
                </c:pt>
                <c:pt idx="10">
                  <c:v>17127.724999999999</c:v>
                </c:pt>
                <c:pt idx="11">
                  <c:v>14921.8</c:v>
                </c:pt>
                <c:pt idx="12">
                  <c:v>16516.95</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Dat_01!$C$270:$O$270</c:f>
              <c:numCache>
                <c:formatCode>#,##0.0</c:formatCode>
                <c:ptCount val="13"/>
                <c:pt idx="0">
                  <c:v>27349.875</c:v>
                </c:pt>
                <c:pt idx="1">
                  <c:v>34456.25</c:v>
                </c:pt>
                <c:pt idx="2">
                  <c:v>28817.424999999999</c:v>
                </c:pt>
                <c:pt idx="3">
                  <c:v>18607.349999999999</c:v>
                </c:pt>
                <c:pt idx="4">
                  <c:v>15957.25</c:v>
                </c:pt>
                <c:pt idx="5">
                  <c:v>25102.724999999999</c:v>
                </c:pt>
                <c:pt idx="6">
                  <c:v>20039.8</c:v>
                </c:pt>
                <c:pt idx="7">
                  <c:v>26686.775000000001</c:v>
                </c:pt>
                <c:pt idx="8">
                  <c:v>30557.85</c:v>
                </c:pt>
                <c:pt idx="9">
                  <c:v>23615.575000000001</c:v>
                </c:pt>
                <c:pt idx="10">
                  <c:v>26903.4</c:v>
                </c:pt>
                <c:pt idx="11">
                  <c:v>24686.325000000001</c:v>
                </c:pt>
                <c:pt idx="12">
                  <c:v>20361.7</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Dat_01!$C$273:$O$273</c:f>
              <c:numCache>
                <c:formatCode>#,##0.0</c:formatCode>
                <c:ptCount val="13"/>
                <c:pt idx="0">
                  <c:v>201.3</c:v>
                </c:pt>
                <c:pt idx="1">
                  <c:v>1.325</c:v>
                </c:pt>
                <c:pt idx="2">
                  <c:v>238.82499999999999</c:v>
                </c:pt>
                <c:pt idx="3">
                  <c:v>342</c:v>
                </c:pt>
                <c:pt idx="4">
                  <c:v>0</c:v>
                </c:pt>
                <c:pt idx="5">
                  <c:v>0</c:v>
                </c:pt>
                <c:pt idx="6">
                  <c:v>119.52500000000001</c:v>
                </c:pt>
                <c:pt idx="7">
                  <c:v>15.75</c:v>
                </c:pt>
                <c:pt idx="8">
                  <c:v>369.95</c:v>
                </c:pt>
                <c:pt idx="9">
                  <c:v>0</c:v>
                </c:pt>
                <c:pt idx="10">
                  <c:v>384.25</c:v>
                </c:pt>
                <c:pt idx="11">
                  <c:v>324.5</c:v>
                </c:pt>
                <c:pt idx="12">
                  <c:v>1562.875</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9</c:v>
                </c:pt>
                <c:pt idx="1">
                  <c:v>6</c:v>
                </c:pt>
                <c:pt idx="2">
                  <c:v>13</c:v>
                </c:pt>
                <c:pt idx="3">
                  <c:v>0</c:v>
                </c:pt>
                <c:pt idx="4">
                  <c:v>2</c:v>
                </c:pt>
                <c:pt idx="5">
                  <c:v>10</c:v>
                </c:pt>
                <c:pt idx="6">
                  <c:v>0</c:v>
                </c:pt>
                <c:pt idx="7">
                  <c:v>0</c:v>
                </c:pt>
                <c:pt idx="8">
                  <c:v>0</c:v>
                </c:pt>
                <c:pt idx="9">
                  <c:v>28</c:v>
                </c:pt>
                <c:pt idx="10">
                  <c:v>266.25</c:v>
                </c:pt>
                <c:pt idx="11">
                  <c:v>44.25</c:v>
                </c:pt>
                <c:pt idx="12">
                  <c:v>17.75</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Dat_01!$C$276:$O$276</c:f>
              <c:numCache>
                <c:formatCode>#,##0.0</c:formatCode>
                <c:ptCount val="13"/>
                <c:pt idx="0">
                  <c:v>2653.85</c:v>
                </c:pt>
                <c:pt idx="1">
                  <c:v>4092.125</c:v>
                </c:pt>
                <c:pt idx="2">
                  <c:v>7436.6</c:v>
                </c:pt>
                <c:pt idx="3">
                  <c:v>5419.0249999999996</c:v>
                </c:pt>
                <c:pt idx="4">
                  <c:v>3986.1750000000002</c:v>
                </c:pt>
                <c:pt idx="5">
                  <c:v>5834.9250000000002</c:v>
                </c:pt>
                <c:pt idx="6">
                  <c:v>8104.85</c:v>
                </c:pt>
                <c:pt idx="7">
                  <c:v>5803.45</c:v>
                </c:pt>
                <c:pt idx="8">
                  <c:v>4828.8</c:v>
                </c:pt>
                <c:pt idx="9">
                  <c:v>5984.15</c:v>
                </c:pt>
                <c:pt idx="10">
                  <c:v>6692.5249999999996</c:v>
                </c:pt>
                <c:pt idx="11">
                  <c:v>4274.6750000000002</c:v>
                </c:pt>
                <c:pt idx="12">
                  <c:v>6754.4</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Dat_01!$C$277:$O$277</c:f>
              <c:numCache>
                <c:formatCode>#,##0.0</c:formatCode>
                <c:ptCount val="13"/>
                <c:pt idx="0">
                  <c:v>36.25</c:v>
                </c:pt>
                <c:pt idx="1">
                  <c:v>1</c:v>
                </c:pt>
                <c:pt idx="2">
                  <c:v>0</c:v>
                </c:pt>
                <c:pt idx="3">
                  <c:v>129</c:v>
                </c:pt>
                <c:pt idx="4">
                  <c:v>100.75</c:v>
                </c:pt>
                <c:pt idx="5">
                  <c:v>79.5</c:v>
                </c:pt>
                <c:pt idx="6">
                  <c:v>169</c:v>
                </c:pt>
                <c:pt idx="7">
                  <c:v>76.75</c:v>
                </c:pt>
                <c:pt idx="8">
                  <c:v>103.5</c:v>
                </c:pt>
                <c:pt idx="9">
                  <c:v>86</c:v>
                </c:pt>
                <c:pt idx="10">
                  <c:v>265.75</c:v>
                </c:pt>
                <c:pt idx="11">
                  <c:v>984</c:v>
                </c:pt>
                <c:pt idx="12">
                  <c:v>815.25</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Dat_01!$C$278:$O$278</c:f>
              <c:numCache>
                <c:formatCode>#,##0.0</c:formatCode>
                <c:ptCount val="13"/>
                <c:pt idx="0">
                  <c:v>40992.875</c:v>
                </c:pt>
                <c:pt idx="1">
                  <c:v>19780.849999999999</c:v>
                </c:pt>
                <c:pt idx="2">
                  <c:v>24586.275000000001</c:v>
                </c:pt>
                <c:pt idx="3">
                  <c:v>12669</c:v>
                </c:pt>
                <c:pt idx="4">
                  <c:v>25155.45</c:v>
                </c:pt>
                <c:pt idx="5">
                  <c:v>19543.974999999999</c:v>
                </c:pt>
                <c:pt idx="6">
                  <c:v>11408.825000000001</c:v>
                </c:pt>
                <c:pt idx="7">
                  <c:v>14501.075000000001</c:v>
                </c:pt>
                <c:pt idx="8">
                  <c:v>15439.674999999999</c:v>
                </c:pt>
                <c:pt idx="9">
                  <c:v>8457.2749999999996</c:v>
                </c:pt>
                <c:pt idx="10">
                  <c:v>13758.475</c:v>
                </c:pt>
                <c:pt idx="11">
                  <c:v>13137.825000000001</c:v>
                </c:pt>
                <c:pt idx="12">
                  <c:v>16514.55</c:v>
                </c:pt>
              </c:numCache>
            </c:numRef>
          </c:val>
          <c:extLst>
            <c:ext xmlns:c16="http://schemas.microsoft.com/office/drawing/2014/chart" uri="{C3380CC4-5D6E-409C-BE32-E72D297353CC}">
              <c16:uniqueId val="{00000007-FAA4-4CCE-8D4F-74A3A14856A0}"/>
            </c:ext>
          </c:extLst>
        </c:ser>
        <c:ser>
          <c:idx val="6"/>
          <c:order val="12"/>
          <c:tx>
            <c:strRef>
              <c:f>Dat_01!$B$269</c:f>
              <c:strCache>
                <c:ptCount val="1"/>
                <c:pt idx="0">
                  <c:v>Hibridación</c:v>
                </c:pt>
              </c:strCache>
            </c:strRef>
          </c:tx>
          <c:spPr>
            <a:solidFill>
              <a:srgbClr val="28A064"/>
            </a:solidFill>
            <a:ln>
              <a:noFill/>
            </a:ln>
            <a:effectLst/>
          </c:spPr>
          <c:invertIfNegative val="0"/>
          <c:val>
            <c:numRef>
              <c:f>Dat_01!$C$269:$O$269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C7A0-414B-B189-4CEEB41D219B}"/>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3"/>
          <c:tx>
            <c:v>Precio ponderado necesidades a subir</c:v>
          </c:tx>
          <c:spPr>
            <a:ln w="28575" cap="rnd">
              <a:solidFill>
                <a:srgbClr val="004563"/>
              </a:solidFill>
              <a:round/>
            </a:ln>
            <a:effectLst/>
          </c:spPr>
          <c:marker>
            <c:symbol val="none"/>
          </c:marker>
          <c:cat>
            <c:numRef>
              <c:f>Dat_01!$C$234:$O$234</c:f>
              <c:numCache>
                <c:formatCode>#,##0.0</c:formatCode>
                <c:ptCount val="13"/>
                <c:pt idx="0">
                  <c:v>27594.224999999999</c:v>
                </c:pt>
                <c:pt idx="1">
                  <c:v>16767.825000000001</c:v>
                </c:pt>
                <c:pt idx="2">
                  <c:v>8009.9250000000002</c:v>
                </c:pt>
                <c:pt idx="3">
                  <c:v>8058.9750000000004</c:v>
                </c:pt>
                <c:pt idx="4">
                  <c:v>17383.25</c:v>
                </c:pt>
                <c:pt idx="5">
                  <c:v>19175.525000000001</c:v>
                </c:pt>
                <c:pt idx="6">
                  <c:v>10980.45</c:v>
                </c:pt>
                <c:pt idx="7">
                  <c:v>9205.7000000000007</c:v>
                </c:pt>
                <c:pt idx="8">
                  <c:v>28796.799999999999</c:v>
                </c:pt>
                <c:pt idx="9">
                  <c:v>30971.184000000001</c:v>
                </c:pt>
                <c:pt idx="10">
                  <c:v>23083.05</c:v>
                </c:pt>
                <c:pt idx="11">
                  <c:v>24323</c:v>
                </c:pt>
                <c:pt idx="12">
                  <c:v>15956.517</c:v>
                </c:pt>
              </c:numCache>
            </c:numRef>
          </c:cat>
          <c:val>
            <c:numRef>
              <c:f>Dat_01!$C$415:$O$415</c:f>
              <c:numCache>
                <c:formatCode>#,##0.00</c:formatCode>
                <c:ptCount val="13"/>
                <c:pt idx="0">
                  <c:v>60.628175665999997</c:v>
                </c:pt>
                <c:pt idx="1">
                  <c:v>89.108096908600004</c:v>
                </c:pt>
                <c:pt idx="2">
                  <c:v>97.5221057535</c:v>
                </c:pt>
                <c:pt idx="3">
                  <c:v>115.105830533</c:v>
                </c:pt>
                <c:pt idx="4">
                  <c:v>110.71596343</c:v>
                </c:pt>
                <c:pt idx="5">
                  <c:v>87.959738396199995</c:v>
                </c:pt>
                <c:pt idx="6">
                  <c:v>130.5386133415</c:v>
                </c:pt>
                <c:pt idx="7">
                  <c:v>147.46420178290001</c:v>
                </c:pt>
                <c:pt idx="8">
                  <c:v>132.73885826060001</c:v>
                </c:pt>
                <c:pt idx="9">
                  <c:v>118.5079301281</c:v>
                </c:pt>
                <c:pt idx="10">
                  <c:v>85.189289887900003</c:v>
                </c:pt>
                <c:pt idx="11">
                  <c:v>52.314215232599999</c:v>
                </c:pt>
                <c:pt idx="12">
                  <c:v>55.672629718300001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4"/>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27594.224999999999</c:v>
                </c:pt>
                <c:pt idx="1">
                  <c:v>16767.825000000001</c:v>
                </c:pt>
                <c:pt idx="2">
                  <c:v>8009.9250000000002</c:v>
                </c:pt>
                <c:pt idx="3">
                  <c:v>8058.9750000000004</c:v>
                </c:pt>
                <c:pt idx="4">
                  <c:v>17383.25</c:v>
                </c:pt>
                <c:pt idx="5">
                  <c:v>19175.525000000001</c:v>
                </c:pt>
                <c:pt idx="6">
                  <c:v>10980.45</c:v>
                </c:pt>
                <c:pt idx="7">
                  <c:v>9205.7000000000007</c:v>
                </c:pt>
                <c:pt idx="8">
                  <c:v>28796.799999999999</c:v>
                </c:pt>
                <c:pt idx="9">
                  <c:v>30971.184000000001</c:v>
                </c:pt>
                <c:pt idx="10">
                  <c:v>23083.05</c:v>
                </c:pt>
                <c:pt idx="11">
                  <c:v>24323</c:v>
                </c:pt>
                <c:pt idx="12">
                  <c:v>15956.517</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Dat_01!$C$279:$O$279</c:f>
              <c:numCache>
                <c:formatCode>#,##0.0</c:formatCode>
                <c:ptCount val="13"/>
                <c:pt idx="0">
                  <c:v>127314.8</c:v>
                </c:pt>
                <c:pt idx="1">
                  <c:v>158080.29999999999</c:v>
                </c:pt>
                <c:pt idx="2">
                  <c:v>260795.625</c:v>
                </c:pt>
                <c:pt idx="3">
                  <c:v>223802.25</c:v>
                </c:pt>
                <c:pt idx="4">
                  <c:v>188836.15</c:v>
                </c:pt>
                <c:pt idx="5">
                  <c:v>169949.15</c:v>
                </c:pt>
                <c:pt idx="6">
                  <c:v>264495.95</c:v>
                </c:pt>
                <c:pt idx="7">
                  <c:v>289115.09999999998</c:v>
                </c:pt>
                <c:pt idx="8">
                  <c:v>212742.45</c:v>
                </c:pt>
                <c:pt idx="9">
                  <c:v>177752.55</c:v>
                </c:pt>
                <c:pt idx="10">
                  <c:v>146083.95000000001</c:v>
                </c:pt>
                <c:pt idx="11">
                  <c:v>84725.774999999994</c:v>
                </c:pt>
                <c:pt idx="12">
                  <c:v>96502.45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Dat_01!$D$323:$P$323</c:f>
              <c:numCache>
                <c:formatCode>#,##0.0</c:formatCode>
                <c:ptCount val="13"/>
                <c:pt idx="0">
                  <c:v>6692</c:v>
                </c:pt>
                <c:pt idx="1">
                  <c:v>5900</c:v>
                </c:pt>
                <c:pt idx="2">
                  <c:v>5752.1</c:v>
                </c:pt>
                <c:pt idx="3">
                  <c:v>2420</c:v>
                </c:pt>
                <c:pt idx="4">
                  <c:v>3714</c:v>
                </c:pt>
                <c:pt idx="5">
                  <c:v>6616</c:v>
                </c:pt>
                <c:pt idx="6">
                  <c:v>11168.4</c:v>
                </c:pt>
                <c:pt idx="7">
                  <c:v>9655</c:v>
                </c:pt>
                <c:pt idx="8">
                  <c:v>18787</c:v>
                </c:pt>
                <c:pt idx="9">
                  <c:v>12671</c:v>
                </c:pt>
                <c:pt idx="10">
                  <c:v>13320.25</c:v>
                </c:pt>
                <c:pt idx="11">
                  <c:v>681.75</c:v>
                </c:pt>
                <c:pt idx="12">
                  <c:v>287.25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Dat_01!$D$324:$P$324</c:f>
              <c:numCache>
                <c:formatCode>#,##0.0</c:formatCode>
                <c:ptCount val="13"/>
                <c:pt idx="0">
                  <c:v>141126.39999999999</c:v>
                </c:pt>
                <c:pt idx="1">
                  <c:v>125705</c:v>
                </c:pt>
                <c:pt idx="2">
                  <c:v>136962</c:v>
                </c:pt>
                <c:pt idx="3">
                  <c:v>164237</c:v>
                </c:pt>
                <c:pt idx="4">
                  <c:v>104951</c:v>
                </c:pt>
                <c:pt idx="5">
                  <c:v>134927</c:v>
                </c:pt>
                <c:pt idx="6">
                  <c:v>91782</c:v>
                </c:pt>
                <c:pt idx="7">
                  <c:v>114637.2</c:v>
                </c:pt>
                <c:pt idx="8">
                  <c:v>67725.7</c:v>
                </c:pt>
                <c:pt idx="9">
                  <c:v>37653.699999999997</c:v>
                </c:pt>
                <c:pt idx="10">
                  <c:v>90855.824999999997</c:v>
                </c:pt>
                <c:pt idx="11">
                  <c:v>107349.6</c:v>
                </c:pt>
                <c:pt idx="12">
                  <c:v>45497.95</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89311.5</c:v>
                </c:pt>
                <c:pt idx="1">
                  <c:v>127607.75</c:v>
                </c:pt>
                <c:pt idx="2">
                  <c:v>199179.5</c:v>
                </c:pt>
                <c:pt idx="3">
                  <c:v>129470.5</c:v>
                </c:pt>
                <c:pt idx="4">
                  <c:v>94718.25</c:v>
                </c:pt>
                <c:pt idx="5">
                  <c:v>109914.5</c:v>
                </c:pt>
                <c:pt idx="6">
                  <c:v>123489</c:v>
                </c:pt>
                <c:pt idx="7">
                  <c:v>186787.25</c:v>
                </c:pt>
                <c:pt idx="8">
                  <c:v>90348.25</c:v>
                </c:pt>
                <c:pt idx="9">
                  <c:v>44962.25</c:v>
                </c:pt>
                <c:pt idx="10">
                  <c:v>68619</c:v>
                </c:pt>
                <c:pt idx="11">
                  <c:v>41863.5</c:v>
                </c:pt>
                <c:pt idx="12">
                  <c:v>74085.75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7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326272.95</c:v>
                </c:pt>
                <c:pt idx="1">
                  <c:v>272576.55</c:v>
                </c:pt>
                <c:pt idx="2">
                  <c:v>250370.42499999999</c:v>
                </c:pt>
                <c:pt idx="3">
                  <c:v>336517.5</c:v>
                </c:pt>
                <c:pt idx="4">
                  <c:v>360452.6</c:v>
                </c:pt>
                <c:pt idx="5">
                  <c:v>344476.7</c:v>
                </c:pt>
                <c:pt idx="6">
                  <c:v>262451.25</c:v>
                </c:pt>
                <c:pt idx="7">
                  <c:v>255089.65</c:v>
                </c:pt>
                <c:pt idx="8">
                  <c:v>332759.75</c:v>
                </c:pt>
                <c:pt idx="9">
                  <c:v>413482.3</c:v>
                </c:pt>
                <c:pt idx="10">
                  <c:v>516814.67499999999</c:v>
                </c:pt>
                <c:pt idx="11">
                  <c:v>474352.35</c:v>
                </c:pt>
                <c:pt idx="12">
                  <c:v>223657.05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26707</c:v>
                </c:pt>
                <c:pt idx="1">
                  <c:v>24345.4</c:v>
                </c:pt>
                <c:pt idx="2">
                  <c:v>40017.800000000003</c:v>
                </c:pt>
                <c:pt idx="3">
                  <c:v>47585.5</c:v>
                </c:pt>
                <c:pt idx="4">
                  <c:v>30360.7</c:v>
                </c:pt>
                <c:pt idx="5">
                  <c:v>55216.2</c:v>
                </c:pt>
                <c:pt idx="6">
                  <c:v>55068</c:v>
                </c:pt>
                <c:pt idx="7">
                  <c:v>32982.699999999997</c:v>
                </c:pt>
                <c:pt idx="8">
                  <c:v>25033</c:v>
                </c:pt>
                <c:pt idx="9">
                  <c:v>30692</c:v>
                </c:pt>
                <c:pt idx="10">
                  <c:v>11006.25</c:v>
                </c:pt>
                <c:pt idx="11">
                  <c:v>7049</c:v>
                </c:pt>
                <c:pt idx="12">
                  <c:v>2391.75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48172.5</c:v>
                </c:pt>
                <c:pt idx="1">
                  <c:v>42929.599999999999</c:v>
                </c:pt>
                <c:pt idx="2">
                  <c:v>32491</c:v>
                </c:pt>
                <c:pt idx="3">
                  <c:v>37214</c:v>
                </c:pt>
                <c:pt idx="4">
                  <c:v>55114.6</c:v>
                </c:pt>
                <c:pt idx="5">
                  <c:v>85933.9</c:v>
                </c:pt>
                <c:pt idx="6">
                  <c:v>85446.1</c:v>
                </c:pt>
                <c:pt idx="7">
                  <c:v>61412.2</c:v>
                </c:pt>
                <c:pt idx="8">
                  <c:v>117100.4</c:v>
                </c:pt>
                <c:pt idx="9">
                  <c:v>135901.20000000001</c:v>
                </c:pt>
                <c:pt idx="10">
                  <c:v>69626.600000000006</c:v>
                </c:pt>
                <c:pt idx="11">
                  <c:v>72019.05</c:v>
                </c:pt>
                <c:pt idx="12">
                  <c:v>38927.1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215330.75</c:v>
                </c:pt>
                <c:pt idx="1">
                  <c:v>177774</c:v>
                </c:pt>
                <c:pt idx="2">
                  <c:v>118924</c:v>
                </c:pt>
                <c:pt idx="3">
                  <c:v>160328.25</c:v>
                </c:pt>
                <c:pt idx="4">
                  <c:v>243145</c:v>
                </c:pt>
                <c:pt idx="5">
                  <c:v>284049</c:v>
                </c:pt>
                <c:pt idx="6">
                  <c:v>159008</c:v>
                </c:pt>
                <c:pt idx="7">
                  <c:v>122864.5</c:v>
                </c:pt>
                <c:pt idx="8">
                  <c:v>265986.25</c:v>
                </c:pt>
                <c:pt idx="9">
                  <c:v>396960.5</c:v>
                </c:pt>
                <c:pt idx="10">
                  <c:v>417916.5</c:v>
                </c:pt>
                <c:pt idx="11">
                  <c:v>402526.75</c:v>
                </c:pt>
                <c:pt idx="12">
                  <c:v>196774</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120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0</c:v>
                </c:pt>
                <c:pt idx="1">
                  <c:v>1365.3</c:v>
                </c:pt>
                <c:pt idx="2">
                  <c:v>3894.75</c:v>
                </c:pt>
                <c:pt idx="3">
                  <c:v>3825.5839999999998</c:v>
                </c:pt>
                <c:pt idx="4">
                  <c:v>1455.4469999999999</c:v>
                </c:pt>
                <c:pt idx="5">
                  <c:v>2701.1750000000002</c:v>
                </c:pt>
                <c:pt idx="6">
                  <c:v>217.3</c:v>
                </c:pt>
                <c:pt idx="7">
                  <c:v>8987.6</c:v>
                </c:pt>
                <c:pt idx="8">
                  <c:v>690.8</c:v>
                </c:pt>
                <c:pt idx="9">
                  <c:v>0</c:v>
                </c:pt>
                <c:pt idx="10">
                  <c:v>7.65</c:v>
                </c:pt>
                <c:pt idx="11">
                  <c:v>139.28299999999999</c:v>
                </c:pt>
                <c:pt idx="12">
                  <c:v>2.5000000000000001E-2</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1088.4359999999999</c:v>
                </c:pt>
                <c:pt idx="1">
                  <c:v>1965.856</c:v>
                </c:pt>
                <c:pt idx="2">
                  <c:v>2542.4380000000001</c:v>
                </c:pt>
                <c:pt idx="3">
                  <c:v>1938.558</c:v>
                </c:pt>
                <c:pt idx="4">
                  <c:v>847.53599999999994</c:v>
                </c:pt>
                <c:pt idx="5">
                  <c:v>1318.671</c:v>
                </c:pt>
                <c:pt idx="6">
                  <c:v>32.625</c:v>
                </c:pt>
                <c:pt idx="7">
                  <c:v>840.12099999999998</c:v>
                </c:pt>
                <c:pt idx="8">
                  <c:v>17.097000000000001</c:v>
                </c:pt>
                <c:pt idx="9">
                  <c:v>18.25</c:v>
                </c:pt>
                <c:pt idx="10">
                  <c:v>352.702</c:v>
                </c:pt>
                <c:pt idx="11">
                  <c:v>1314.1389999999999</c:v>
                </c:pt>
                <c:pt idx="12">
                  <c:v>893.82399999999996</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7774.2160000000003</c:v>
                </c:pt>
                <c:pt idx="1">
                  <c:v>1115.75</c:v>
                </c:pt>
                <c:pt idx="2">
                  <c:v>2546.0500000000002</c:v>
                </c:pt>
                <c:pt idx="3">
                  <c:v>3493.634</c:v>
                </c:pt>
                <c:pt idx="4">
                  <c:v>2673.65</c:v>
                </c:pt>
                <c:pt idx="5">
                  <c:v>11020.95</c:v>
                </c:pt>
                <c:pt idx="6">
                  <c:v>20239.797999999999</c:v>
                </c:pt>
                <c:pt idx="7">
                  <c:v>13384.6</c:v>
                </c:pt>
                <c:pt idx="8">
                  <c:v>14398.216</c:v>
                </c:pt>
                <c:pt idx="9">
                  <c:v>2875.8339999999998</c:v>
                </c:pt>
                <c:pt idx="10">
                  <c:v>1714.424</c:v>
                </c:pt>
                <c:pt idx="11">
                  <c:v>2159.3330000000001</c:v>
                </c:pt>
                <c:pt idx="12">
                  <c:v>5583.5</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30.225000000000001</c:v>
                </c:pt>
                <c:pt idx="11">
                  <c:v>42.7</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23862.542000000001</c:v>
                </c:pt>
                <c:pt idx="1">
                  <c:v>17546.748</c:v>
                </c:pt>
                <c:pt idx="2">
                  <c:v>38321.057000000001</c:v>
                </c:pt>
                <c:pt idx="3">
                  <c:v>57683.41</c:v>
                </c:pt>
                <c:pt idx="4">
                  <c:v>51036.108999999997</c:v>
                </c:pt>
                <c:pt idx="5">
                  <c:v>38607.135999999999</c:v>
                </c:pt>
                <c:pt idx="6">
                  <c:v>17134.645</c:v>
                </c:pt>
                <c:pt idx="7">
                  <c:v>29817.697</c:v>
                </c:pt>
                <c:pt idx="8">
                  <c:v>16272.343999999999</c:v>
                </c:pt>
                <c:pt idx="9">
                  <c:v>5190.7349999999997</c:v>
                </c:pt>
                <c:pt idx="10">
                  <c:v>21109.850999999999</c:v>
                </c:pt>
                <c:pt idx="11">
                  <c:v>10600.206</c:v>
                </c:pt>
                <c:pt idx="12">
                  <c:v>15107.638999999999</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42.920999999999999</c:v>
                </c:pt>
                <c:pt idx="2">
                  <c:v>23.96</c:v>
                </c:pt>
                <c:pt idx="3">
                  <c:v>21.622</c:v>
                </c:pt>
                <c:pt idx="4">
                  <c:v>0</c:v>
                </c:pt>
                <c:pt idx="5">
                  <c:v>152.154</c:v>
                </c:pt>
                <c:pt idx="6">
                  <c:v>85.46</c:v>
                </c:pt>
                <c:pt idx="7">
                  <c:v>414.49799999999999</c:v>
                </c:pt>
                <c:pt idx="8">
                  <c:v>4.125</c:v>
                </c:pt>
                <c:pt idx="9">
                  <c:v>14.95</c:v>
                </c:pt>
                <c:pt idx="10">
                  <c:v>639.66700000000003</c:v>
                </c:pt>
                <c:pt idx="11">
                  <c:v>1319.4960000000001</c:v>
                </c:pt>
                <c:pt idx="12">
                  <c:v>943.077</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712.31700000000001</c:v>
                </c:pt>
                <c:pt idx="1">
                  <c:v>365.18</c:v>
                </c:pt>
                <c:pt idx="2">
                  <c:v>1415.2339999999999</c:v>
                </c:pt>
                <c:pt idx="3">
                  <c:v>183.179</c:v>
                </c:pt>
                <c:pt idx="4">
                  <c:v>614.29399999999998</c:v>
                </c:pt>
                <c:pt idx="5">
                  <c:v>562.18100000000004</c:v>
                </c:pt>
                <c:pt idx="6">
                  <c:v>119.363</c:v>
                </c:pt>
                <c:pt idx="7">
                  <c:v>524.98400000000004</c:v>
                </c:pt>
                <c:pt idx="8">
                  <c:v>735.99199999999996</c:v>
                </c:pt>
                <c:pt idx="9">
                  <c:v>42.469000000000001</c:v>
                </c:pt>
                <c:pt idx="10">
                  <c:v>65.772999999999996</c:v>
                </c:pt>
                <c:pt idx="11">
                  <c:v>2249.5949999999998</c:v>
                </c:pt>
                <c:pt idx="12">
                  <c:v>2043.925</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rgbClr val="E5DDB7"/>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490.61900000000003</c:v>
                </c:pt>
                <c:pt idx="1">
                  <c:v>598.42600000000004</c:v>
                </c:pt>
                <c:pt idx="2">
                  <c:v>669.4</c:v>
                </c:pt>
                <c:pt idx="3">
                  <c:v>1386.989</c:v>
                </c:pt>
                <c:pt idx="4">
                  <c:v>1121.5920000000001</c:v>
                </c:pt>
                <c:pt idx="5">
                  <c:v>696.14200000000005</c:v>
                </c:pt>
                <c:pt idx="6">
                  <c:v>21.475000000000001</c:v>
                </c:pt>
                <c:pt idx="7">
                  <c:v>673.13300000000004</c:v>
                </c:pt>
                <c:pt idx="8">
                  <c:v>10.464</c:v>
                </c:pt>
                <c:pt idx="9">
                  <c:v>0</c:v>
                </c:pt>
                <c:pt idx="10">
                  <c:v>274.47500000000002</c:v>
                </c:pt>
                <c:pt idx="11">
                  <c:v>1254.827</c:v>
                </c:pt>
                <c:pt idx="12">
                  <c:v>1793.0419999999999</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78.733000000000004</c:v>
                </c:pt>
                <c:pt idx="1">
                  <c:v>91.48</c:v>
                </c:pt>
                <c:pt idx="2">
                  <c:v>168.80799999999999</c:v>
                </c:pt>
                <c:pt idx="3">
                  <c:v>378.25400000000002</c:v>
                </c:pt>
                <c:pt idx="4">
                  <c:v>0</c:v>
                </c:pt>
                <c:pt idx="5">
                  <c:v>6.06</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8387.5049999999992</c:v>
                </c:pt>
                <c:pt idx="1">
                  <c:v>11010.724</c:v>
                </c:pt>
                <c:pt idx="2">
                  <c:v>10833.011</c:v>
                </c:pt>
                <c:pt idx="3">
                  <c:v>4597.1080000000002</c:v>
                </c:pt>
                <c:pt idx="4">
                  <c:v>4121.2039999999997</c:v>
                </c:pt>
                <c:pt idx="5">
                  <c:v>6669.0439999999999</c:v>
                </c:pt>
                <c:pt idx="6">
                  <c:v>4289.0709999999999</c:v>
                </c:pt>
                <c:pt idx="7">
                  <c:v>580.30200000000002</c:v>
                </c:pt>
                <c:pt idx="8">
                  <c:v>297.23099999999999</c:v>
                </c:pt>
                <c:pt idx="9">
                  <c:v>1129.2550000000001</c:v>
                </c:pt>
                <c:pt idx="10">
                  <c:v>38619.468999999997</c:v>
                </c:pt>
                <c:pt idx="11">
                  <c:v>36877.692000000003</c:v>
                </c:pt>
                <c:pt idx="12">
                  <c:v>51981.506999999998</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12018.695</c:v>
                </c:pt>
                <c:pt idx="1">
                  <c:v>10891.841</c:v>
                </c:pt>
                <c:pt idx="2">
                  <c:v>5665.9579999999996</c:v>
                </c:pt>
                <c:pt idx="3">
                  <c:v>13777.802</c:v>
                </c:pt>
                <c:pt idx="4">
                  <c:v>8695.57</c:v>
                </c:pt>
                <c:pt idx="5">
                  <c:v>685.92</c:v>
                </c:pt>
                <c:pt idx="6">
                  <c:v>0</c:v>
                </c:pt>
                <c:pt idx="7">
                  <c:v>12.4</c:v>
                </c:pt>
                <c:pt idx="8">
                  <c:v>102.47499999999999</c:v>
                </c:pt>
                <c:pt idx="9">
                  <c:v>151.67500000000001</c:v>
                </c:pt>
                <c:pt idx="10">
                  <c:v>2600.2660000000001</c:v>
                </c:pt>
                <c:pt idx="11">
                  <c:v>15191.608</c:v>
                </c:pt>
                <c:pt idx="12">
                  <c:v>25605.382000000001</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157.5</c:v>
                </c:pt>
                <c:pt idx="1">
                  <c:v>0</c:v>
                </c:pt>
                <c:pt idx="2">
                  <c:v>1978.1659999999999</c:v>
                </c:pt>
                <c:pt idx="3">
                  <c:v>0</c:v>
                </c:pt>
                <c:pt idx="4">
                  <c:v>996.77499999999998</c:v>
                </c:pt>
                <c:pt idx="5">
                  <c:v>3929.3</c:v>
                </c:pt>
                <c:pt idx="6">
                  <c:v>3606.1</c:v>
                </c:pt>
                <c:pt idx="7">
                  <c:v>4997.3999999999996</c:v>
                </c:pt>
                <c:pt idx="8">
                  <c:v>649.82500000000005</c:v>
                </c:pt>
                <c:pt idx="9">
                  <c:v>0</c:v>
                </c:pt>
                <c:pt idx="10">
                  <c:v>1116.925</c:v>
                </c:pt>
                <c:pt idx="11">
                  <c:v>147.36600000000001</c:v>
                </c:pt>
                <c:pt idx="12">
                  <c:v>3262.7249999999999</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-1.8577352138184799</c:v>
                </c:pt>
                <c:pt idx="1">
                  <c:v>-4.4592792234274699</c:v>
                </c:pt>
                <c:pt idx="2">
                  <c:v>-6.9976926164704096</c:v>
                </c:pt>
                <c:pt idx="3">
                  <c:v>-11.445581946156199</c:v>
                </c:pt>
                <c:pt idx="4">
                  <c:v>-16.474276763016899</c:v>
                </c:pt>
                <c:pt idx="5">
                  <c:v>6.6043489614488999</c:v>
                </c:pt>
                <c:pt idx="6">
                  <c:v>33.4109724621281</c:v>
                </c:pt>
                <c:pt idx="7">
                  <c:v>21.356870173270401</c:v>
                </c:pt>
                <c:pt idx="8">
                  <c:v>34.347338602035499</c:v>
                </c:pt>
                <c:pt idx="9">
                  <c:v>32.386280461199497</c:v>
                </c:pt>
                <c:pt idx="10">
                  <c:v>-105.857374548515</c:v>
                </c:pt>
                <c:pt idx="11">
                  <c:v>-112.795199412413</c:v>
                </c:pt>
                <c:pt idx="12">
                  <c:v>-136.53120391948099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9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60"/>
          <c:min val="-18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 con p=&lt;0</c:v>
                </c:pt>
              </c:strCache>
            </c:strRef>
          </c:tx>
          <c:spPr>
            <a:solidFill>
              <a:srgbClr val="0090D1"/>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Dat_01!$C$426:$C$438</c:f>
              <c:numCache>
                <c:formatCode>#,##0.00</c:formatCode>
                <c:ptCount val="13"/>
                <c:pt idx="0">
                  <c:v>14.78494623655914</c:v>
                </c:pt>
                <c:pt idx="1">
                  <c:v>10.972222222222221</c:v>
                </c:pt>
                <c:pt idx="2">
                  <c:v>7.661290322580645</c:v>
                </c:pt>
                <c:pt idx="3">
                  <c:v>4.704301075268817</c:v>
                </c:pt>
                <c:pt idx="4">
                  <c:v>7.9166666666666661</c:v>
                </c:pt>
                <c:pt idx="5">
                  <c:v>2.0134228187919461</c:v>
                </c:pt>
                <c:pt idx="6">
                  <c:v>0</c:v>
                </c:pt>
                <c:pt idx="7">
                  <c:v>0</c:v>
                </c:pt>
                <c:pt idx="8">
                  <c:v>0.13440860215053765</c:v>
                </c:pt>
                <c:pt idx="9">
                  <c:v>0</c:v>
                </c:pt>
                <c:pt idx="10">
                  <c:v>9.690444145356663</c:v>
                </c:pt>
                <c:pt idx="11">
                  <c:v>24.861111111111111</c:v>
                </c:pt>
                <c:pt idx="12">
                  <c:v>36.155913978494624</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%h con 0&lt;p=&lt;50</c:v>
                </c:pt>
              </c:strCache>
            </c:strRef>
          </c:tx>
          <c:spPr>
            <a:solidFill>
              <a:srgbClr val="00B050"/>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Dat_01!$D$426:$D$438</c:f>
              <c:numCache>
                <c:formatCode>#,##0.00</c:formatCode>
                <c:ptCount val="13"/>
                <c:pt idx="0">
                  <c:v>62.903225806451616</c:v>
                </c:pt>
                <c:pt idx="1">
                  <c:v>39.027777777777779</c:v>
                </c:pt>
                <c:pt idx="2">
                  <c:v>18.14516129032258</c:v>
                </c:pt>
                <c:pt idx="3">
                  <c:v>7.795698924731183</c:v>
                </c:pt>
                <c:pt idx="4">
                  <c:v>20.833333333333336</c:v>
                </c:pt>
                <c:pt idx="5">
                  <c:v>25.906040268456376</c:v>
                </c:pt>
                <c:pt idx="6">
                  <c:v>10.138888888888889</c:v>
                </c:pt>
                <c:pt idx="7">
                  <c:v>11.155913978494624</c:v>
                </c:pt>
                <c:pt idx="8">
                  <c:v>22.58064516129032</c:v>
                </c:pt>
                <c:pt idx="9">
                  <c:v>9.2261904761904763</c:v>
                </c:pt>
                <c:pt idx="10">
                  <c:v>40.107671601615074</c:v>
                </c:pt>
                <c:pt idx="11">
                  <c:v>55.000000000000007</c:v>
                </c:pt>
                <c:pt idx="12">
                  <c:v>54.166666666666664</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%h con 50&lt;p=&lt;100</c:v>
                </c:pt>
              </c:strCache>
            </c:strRef>
          </c:tx>
          <c:spPr>
            <a:solidFill>
              <a:srgbClr val="FF9900"/>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Dat_01!$E$426:$E$438</c:f>
              <c:numCache>
                <c:formatCode>#,##0.00</c:formatCode>
                <c:ptCount val="13"/>
                <c:pt idx="0">
                  <c:v>21.50537634408602</c:v>
                </c:pt>
                <c:pt idx="1">
                  <c:v>32.361111111111114</c:v>
                </c:pt>
                <c:pt idx="2">
                  <c:v>45.833333333333329</c:v>
                </c:pt>
                <c:pt idx="3">
                  <c:v>34.543010752688176</c:v>
                </c:pt>
                <c:pt idx="4">
                  <c:v>37.777777777777779</c:v>
                </c:pt>
                <c:pt idx="5">
                  <c:v>55.302013422818796</c:v>
                </c:pt>
                <c:pt idx="6">
                  <c:v>27.222222222222221</c:v>
                </c:pt>
                <c:pt idx="7">
                  <c:v>16.532258064516128</c:v>
                </c:pt>
                <c:pt idx="8">
                  <c:v>19.489247311827956</c:v>
                </c:pt>
                <c:pt idx="9">
                  <c:v>28.125</c:v>
                </c:pt>
                <c:pt idx="10">
                  <c:v>33.109017496635261</c:v>
                </c:pt>
                <c:pt idx="11">
                  <c:v>15.416666666666668</c:v>
                </c:pt>
                <c:pt idx="12">
                  <c:v>7.795698924731183</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%h con 100&lt;p=&lt;150</c:v>
                </c:pt>
              </c:strCache>
            </c:strRef>
          </c:tx>
          <c:spPr>
            <a:solidFill>
              <a:srgbClr val="9999FF"/>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Dat_01!$F$426:$F$438</c:f>
              <c:numCache>
                <c:formatCode>#,##0.00</c:formatCode>
                <c:ptCount val="13"/>
                <c:pt idx="0">
                  <c:v>0.80645161290322576</c:v>
                </c:pt>
                <c:pt idx="1">
                  <c:v>17.083333333333332</c:v>
                </c:pt>
                <c:pt idx="2">
                  <c:v>28.360215053763444</c:v>
                </c:pt>
                <c:pt idx="3">
                  <c:v>51.881720430107528</c:v>
                </c:pt>
                <c:pt idx="4">
                  <c:v>32.638888888888893</c:v>
                </c:pt>
                <c:pt idx="5">
                  <c:v>15.302013422818792</c:v>
                </c:pt>
                <c:pt idx="6">
                  <c:v>57.222222222222221</c:v>
                </c:pt>
                <c:pt idx="7">
                  <c:v>59.005376344086024</c:v>
                </c:pt>
                <c:pt idx="8">
                  <c:v>45.833333333333329</c:v>
                </c:pt>
                <c:pt idx="9">
                  <c:v>47.916666666666671</c:v>
                </c:pt>
                <c:pt idx="10">
                  <c:v>15.343203230148047</c:v>
                </c:pt>
                <c:pt idx="11">
                  <c:v>3.8888888888888888</c:v>
                </c:pt>
                <c:pt idx="12">
                  <c:v>1.881720430107527</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%h con p&gt;150</c:v>
                </c:pt>
              </c:strCache>
            </c:strRef>
          </c:tx>
          <c:spPr>
            <a:solidFill>
              <a:srgbClr val="FF0000"/>
            </a:solidFill>
            <a:ln w="25400">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Dat_01!$G$426:$G$438</c:f>
              <c:numCache>
                <c:formatCode>#,##0.00</c:formatCode>
                <c:ptCount val="13"/>
                <c:pt idx="0">
                  <c:v>0</c:v>
                </c:pt>
                <c:pt idx="1">
                  <c:v>0.55555555555555558</c:v>
                </c:pt>
                <c:pt idx="2">
                  <c:v>0</c:v>
                </c:pt>
                <c:pt idx="3">
                  <c:v>1.0752688172043012</c:v>
                </c:pt>
                <c:pt idx="4">
                  <c:v>0.83333333333333337</c:v>
                </c:pt>
                <c:pt idx="5">
                  <c:v>1.476510067114094</c:v>
                </c:pt>
                <c:pt idx="6">
                  <c:v>5.416666666666667</c:v>
                </c:pt>
                <c:pt idx="7">
                  <c:v>13.306451612903224</c:v>
                </c:pt>
                <c:pt idx="8">
                  <c:v>11.96236559139785</c:v>
                </c:pt>
                <c:pt idx="9">
                  <c:v>14.732142857142858</c:v>
                </c:pt>
                <c:pt idx="10">
                  <c:v>1.7496635262449527</c:v>
                </c:pt>
                <c:pt idx="11">
                  <c:v>0.83333333333333337</c:v>
                </c:pt>
                <c:pt idx="12">
                  <c:v>0</c:v>
                </c:pt>
              </c:numCache>
            </c:numRef>
          </c:val>
          <c:extLst>
            <c:ext xmlns:c16="http://schemas.microsoft.com/office/drawing/2014/chart" uri="{C3380CC4-5D6E-409C-BE32-E72D297353CC}">
              <c16:uniqueId val="{00000004-1098-4846-8912-87805C30CFB4}"/>
            </c:ext>
          </c:extLst>
        </c:ser>
        <c:dLbls>
          <c:showLegendKey val="0"/>
          <c:showVal val="0"/>
          <c:showCatName val="0"/>
          <c:showSerName val="0"/>
          <c:showPercent val="0"/>
          <c:showBubbleSize val="0"/>
        </c:dLbls>
        <c:gapWidth val="8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Dat_01!$C$341:$O$341</c:f>
              <c:numCache>
                <c:formatCode>#,##0.0</c:formatCode>
                <c:ptCount val="13"/>
                <c:pt idx="0">
                  <c:v>0</c:v>
                </c:pt>
                <c:pt idx="1">
                  <c:v>4632.6000000000004</c:v>
                </c:pt>
                <c:pt idx="2">
                  <c:v>10899</c:v>
                </c:pt>
                <c:pt idx="3">
                  <c:v>3159</c:v>
                </c:pt>
                <c:pt idx="4">
                  <c:v>6921</c:v>
                </c:pt>
                <c:pt idx="5">
                  <c:v>28142.167000000001</c:v>
                </c:pt>
                <c:pt idx="6">
                  <c:v>22436</c:v>
                </c:pt>
                <c:pt idx="7">
                  <c:v>15140</c:v>
                </c:pt>
                <c:pt idx="8">
                  <c:v>14285</c:v>
                </c:pt>
                <c:pt idx="9">
                  <c:v>20485</c:v>
                </c:pt>
                <c:pt idx="10">
                  <c:v>7623.75</c:v>
                </c:pt>
                <c:pt idx="11">
                  <c:v>3547.56</c:v>
                </c:pt>
                <c:pt idx="12">
                  <c:v>0</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Dat_01!$C$342:$O$342</c:f>
              <c:numCache>
                <c:formatCode>#,##0.0</c:formatCode>
                <c:ptCount val="13"/>
                <c:pt idx="0">
                  <c:v>292755.49599999998</c:v>
                </c:pt>
                <c:pt idx="1">
                  <c:v>305769.40000000002</c:v>
                </c:pt>
                <c:pt idx="2">
                  <c:v>417951.071</c:v>
                </c:pt>
                <c:pt idx="3">
                  <c:v>452723.04200000002</c:v>
                </c:pt>
                <c:pt idx="4">
                  <c:v>430782.21600000001</c:v>
                </c:pt>
                <c:pt idx="5">
                  <c:v>609242.973</c:v>
                </c:pt>
                <c:pt idx="6">
                  <c:v>435419.359</c:v>
                </c:pt>
                <c:pt idx="7">
                  <c:v>394503.52399999998</c:v>
                </c:pt>
                <c:pt idx="8">
                  <c:v>451588.02500000002</c:v>
                </c:pt>
                <c:pt idx="9">
                  <c:v>797594.67099999997</c:v>
                </c:pt>
                <c:pt idx="10">
                  <c:v>640773.63699999999</c:v>
                </c:pt>
                <c:pt idx="11">
                  <c:v>339272.77500000002</c:v>
                </c:pt>
                <c:pt idx="12">
                  <c:v>190030.19</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Dat_01!$C$343:$O$343</c:f>
              <c:numCache>
                <c:formatCode>#,##0.0</c:formatCode>
                <c:ptCount val="13"/>
                <c:pt idx="0">
                  <c:v>0</c:v>
                </c:pt>
                <c:pt idx="1">
                  <c:v>0</c:v>
                </c:pt>
                <c:pt idx="2">
                  <c:v>8.61</c:v>
                </c:pt>
                <c:pt idx="3">
                  <c:v>0</c:v>
                </c:pt>
                <c:pt idx="4">
                  <c:v>0</c:v>
                </c:pt>
                <c:pt idx="5">
                  <c:v>1.546</c:v>
                </c:pt>
                <c:pt idx="6">
                  <c:v>0</c:v>
                </c:pt>
                <c:pt idx="7">
                  <c:v>0</c:v>
                </c:pt>
                <c:pt idx="8">
                  <c:v>0</c:v>
                </c:pt>
                <c:pt idx="9">
                  <c:v>0</c:v>
                </c:pt>
                <c:pt idx="10">
                  <c:v>0</c:v>
                </c:pt>
                <c:pt idx="11">
                  <c:v>0</c:v>
                </c:pt>
                <c:pt idx="12">
                  <c:v>48.424999999999997</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Dat_01!$C$344:$O$344</c:f>
              <c:numCache>
                <c:formatCode>#,##0.0</c:formatCode>
                <c:ptCount val="13"/>
                <c:pt idx="0">
                  <c:v>1162.867</c:v>
                </c:pt>
                <c:pt idx="1">
                  <c:v>1212.25</c:v>
                </c:pt>
                <c:pt idx="2">
                  <c:v>5738.7330000000002</c:v>
                </c:pt>
                <c:pt idx="3">
                  <c:v>9876.75</c:v>
                </c:pt>
                <c:pt idx="4">
                  <c:v>408.33300000000003</c:v>
                </c:pt>
                <c:pt idx="5">
                  <c:v>583</c:v>
                </c:pt>
                <c:pt idx="6">
                  <c:v>5128.25</c:v>
                </c:pt>
                <c:pt idx="7">
                  <c:v>267.5</c:v>
                </c:pt>
                <c:pt idx="8">
                  <c:v>1875</c:v>
                </c:pt>
                <c:pt idx="9">
                  <c:v>2238.683</c:v>
                </c:pt>
                <c:pt idx="10">
                  <c:v>5818.2749999999996</c:v>
                </c:pt>
                <c:pt idx="11">
                  <c:v>2631.1329999999998</c:v>
                </c:pt>
                <c:pt idx="12">
                  <c:v>948.5</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Dat_01!$C$345:$O$345</c:f>
              <c:numCache>
                <c:formatCode>#,##0.0</c:formatCode>
                <c:ptCount val="13"/>
                <c:pt idx="0">
                  <c:v>1163.7</c:v>
                </c:pt>
                <c:pt idx="1">
                  <c:v>2708.7</c:v>
                </c:pt>
                <c:pt idx="2">
                  <c:v>0</c:v>
                </c:pt>
                <c:pt idx="3">
                  <c:v>2741.6</c:v>
                </c:pt>
                <c:pt idx="4">
                  <c:v>372</c:v>
                </c:pt>
                <c:pt idx="5">
                  <c:v>1567.5</c:v>
                </c:pt>
                <c:pt idx="6">
                  <c:v>190</c:v>
                </c:pt>
                <c:pt idx="7">
                  <c:v>102</c:v>
                </c:pt>
                <c:pt idx="8">
                  <c:v>40</c:v>
                </c:pt>
                <c:pt idx="9">
                  <c:v>1099.2</c:v>
                </c:pt>
                <c:pt idx="10">
                  <c:v>729.7</c:v>
                </c:pt>
                <c:pt idx="11">
                  <c:v>554.1</c:v>
                </c:pt>
                <c:pt idx="12">
                  <c:v>910.22500000000002</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Dat_01!$C$346:$O$346</c:f>
              <c:numCache>
                <c:formatCode>#,##0.0</c:formatCode>
                <c:ptCount val="13"/>
                <c:pt idx="0">
                  <c:v>0</c:v>
                </c:pt>
                <c:pt idx="1">
                  <c:v>0</c:v>
                </c:pt>
                <c:pt idx="2">
                  <c:v>0</c:v>
                </c:pt>
                <c:pt idx="3">
                  <c:v>0</c:v>
                </c:pt>
                <c:pt idx="4">
                  <c:v>116.667</c:v>
                </c:pt>
                <c:pt idx="5">
                  <c:v>0.17299999999999999</c:v>
                </c:pt>
                <c:pt idx="6">
                  <c:v>0</c:v>
                </c:pt>
                <c:pt idx="7">
                  <c:v>0</c:v>
                </c:pt>
                <c:pt idx="8">
                  <c:v>0</c:v>
                </c:pt>
                <c:pt idx="9">
                  <c:v>0</c:v>
                </c:pt>
                <c:pt idx="10">
                  <c:v>0</c:v>
                </c:pt>
                <c:pt idx="11">
                  <c:v>0</c:v>
                </c:pt>
                <c:pt idx="12">
                  <c:v>5.8</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Dat_01!$C$348:$O$348</c:f>
              <c:numCache>
                <c:formatCode>#,##0.0</c:formatCode>
                <c:ptCount val="13"/>
                <c:pt idx="0">
                  <c:v>489</c:v>
                </c:pt>
                <c:pt idx="1">
                  <c:v>0</c:v>
                </c:pt>
                <c:pt idx="2">
                  <c:v>755.27</c:v>
                </c:pt>
                <c:pt idx="3">
                  <c:v>0</c:v>
                </c:pt>
                <c:pt idx="4">
                  <c:v>0</c:v>
                </c:pt>
                <c:pt idx="5">
                  <c:v>51.587000000000003</c:v>
                </c:pt>
                <c:pt idx="6">
                  <c:v>0</c:v>
                </c:pt>
                <c:pt idx="7">
                  <c:v>138</c:v>
                </c:pt>
                <c:pt idx="8">
                  <c:v>0</c:v>
                </c:pt>
                <c:pt idx="9">
                  <c:v>2</c:v>
                </c:pt>
                <c:pt idx="10">
                  <c:v>481.66699999999997</c:v>
                </c:pt>
                <c:pt idx="11">
                  <c:v>5753.75</c:v>
                </c:pt>
                <c:pt idx="12">
                  <c:v>7951.9669999999996</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Dat_01!$C$350:$O$350</c:f>
              <c:numCache>
                <c:formatCode>#,##0.0</c:formatCode>
                <c:ptCount val="13"/>
                <c:pt idx="0">
                  <c:v>0</c:v>
                </c:pt>
                <c:pt idx="1">
                  <c:v>0</c:v>
                </c:pt>
                <c:pt idx="2">
                  <c:v>0</c:v>
                </c:pt>
                <c:pt idx="3">
                  <c:v>0</c:v>
                </c:pt>
                <c:pt idx="4">
                  <c:v>18.332999999999998</c:v>
                </c:pt>
                <c:pt idx="5">
                  <c:v>0</c:v>
                </c:pt>
                <c:pt idx="6">
                  <c:v>0</c:v>
                </c:pt>
                <c:pt idx="7">
                  <c:v>6190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Dat_01!$C$351:$O$351</c:f>
              <c:numCache>
                <c:formatCode>#,##0.0</c:formatCode>
                <c:ptCount val="13"/>
                <c:pt idx="0">
                  <c:v>0</c:v>
                </c:pt>
                <c:pt idx="1">
                  <c:v>0</c:v>
                </c:pt>
                <c:pt idx="2">
                  <c:v>20.260000000000002</c:v>
                </c:pt>
                <c:pt idx="3">
                  <c:v>0</c:v>
                </c:pt>
                <c:pt idx="4">
                  <c:v>0</c:v>
                </c:pt>
                <c:pt idx="5">
                  <c:v>4.1210000000000004</c:v>
                </c:pt>
                <c:pt idx="6">
                  <c:v>0</c:v>
                </c:pt>
                <c:pt idx="7">
                  <c:v>0</c:v>
                </c:pt>
                <c:pt idx="8">
                  <c:v>0</c:v>
                </c:pt>
                <c:pt idx="9">
                  <c:v>0</c:v>
                </c:pt>
                <c:pt idx="10">
                  <c:v>0</c:v>
                </c:pt>
                <c:pt idx="11">
                  <c:v>4387.5</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Dat_01!$C$352:$O$352</c:f>
              <c:numCache>
                <c:formatCode>#,##0.0</c:formatCode>
                <c:ptCount val="13"/>
                <c:pt idx="0">
                  <c:v>0</c:v>
                </c:pt>
                <c:pt idx="1">
                  <c:v>0</c:v>
                </c:pt>
                <c:pt idx="2">
                  <c:v>29.28</c:v>
                </c:pt>
                <c:pt idx="3">
                  <c:v>0</c:v>
                </c:pt>
                <c:pt idx="4">
                  <c:v>0</c:v>
                </c:pt>
                <c:pt idx="5">
                  <c:v>17.093</c:v>
                </c:pt>
                <c:pt idx="6">
                  <c:v>0</c:v>
                </c:pt>
                <c:pt idx="7">
                  <c:v>0</c:v>
                </c:pt>
                <c:pt idx="8">
                  <c:v>0</c:v>
                </c:pt>
                <c:pt idx="9">
                  <c:v>0</c:v>
                </c:pt>
                <c:pt idx="10">
                  <c:v>6</c:v>
                </c:pt>
                <c:pt idx="11">
                  <c:v>0</c:v>
                </c:pt>
                <c:pt idx="12">
                  <c:v>5.5</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Dat_01!$C$353:$O$353</c:f>
              <c:numCache>
                <c:formatCode>#,##0.0</c:formatCode>
                <c:ptCount val="13"/>
                <c:pt idx="0">
                  <c:v>0</c:v>
                </c:pt>
                <c:pt idx="1">
                  <c:v>0</c:v>
                </c:pt>
                <c:pt idx="2">
                  <c:v>2.4500000000000002</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Dat_01!$C$354:$O$354</c:f>
              <c:numCache>
                <c:formatCode>#,##0.0</c:formatCode>
                <c:ptCount val="13"/>
                <c:pt idx="0">
                  <c:v>0</c:v>
                </c:pt>
                <c:pt idx="1">
                  <c:v>0</c:v>
                </c:pt>
                <c:pt idx="2">
                  <c:v>0</c:v>
                </c:pt>
                <c:pt idx="3">
                  <c:v>0</c:v>
                </c:pt>
                <c:pt idx="4">
                  <c:v>0</c:v>
                </c:pt>
                <c:pt idx="5">
                  <c:v>0.44</c:v>
                </c:pt>
                <c:pt idx="6">
                  <c:v>0</c:v>
                </c:pt>
                <c:pt idx="7">
                  <c:v>0</c:v>
                </c:pt>
                <c:pt idx="8">
                  <c:v>0.27500000000000002</c:v>
                </c:pt>
                <c:pt idx="9">
                  <c:v>0</c:v>
                </c:pt>
                <c:pt idx="10">
                  <c:v>0.17499999999999999</c:v>
                </c:pt>
                <c:pt idx="11">
                  <c:v>0</c:v>
                </c:pt>
                <c:pt idx="12">
                  <c:v>3.5</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2343.8330000000001</c:v>
                </c:pt>
                <c:pt idx="1">
                  <c:v>854.25</c:v>
                </c:pt>
                <c:pt idx="2">
                  <c:v>6969.8</c:v>
                </c:pt>
                <c:pt idx="3">
                  <c:v>24880.207999999999</c:v>
                </c:pt>
                <c:pt idx="4">
                  <c:v>110</c:v>
                </c:pt>
                <c:pt idx="5">
                  <c:v>458.57299999999998</c:v>
                </c:pt>
                <c:pt idx="6">
                  <c:v>850</c:v>
                </c:pt>
                <c:pt idx="7">
                  <c:v>540.75</c:v>
                </c:pt>
                <c:pt idx="8">
                  <c:v>66.5</c:v>
                </c:pt>
                <c:pt idx="9">
                  <c:v>1200</c:v>
                </c:pt>
                <c:pt idx="10">
                  <c:v>1179.3330000000001</c:v>
                </c:pt>
                <c:pt idx="11">
                  <c:v>497.25</c:v>
                </c:pt>
                <c:pt idx="12">
                  <c:v>325</c:v>
                </c:pt>
              </c:numCache>
            </c:numRef>
          </c:val>
          <c:extLst>
            <c:ext xmlns:c16="http://schemas.microsoft.com/office/drawing/2014/chart" uri="{C3380CC4-5D6E-409C-BE32-E72D297353CC}">
              <c16:uniqueId val="{00000000-7E6A-4DA1-8B41-9F54BBC1A5D8}"/>
            </c:ext>
          </c:extLst>
        </c:ser>
        <c:ser>
          <c:idx val="16"/>
          <c:order val="14"/>
          <c:tx>
            <c:strRef>
              <c:f>Dat_01!$B$347</c:f>
              <c:strCache>
                <c:ptCount val="1"/>
                <c:pt idx="0">
                  <c:v>Hibridación</c:v>
                </c:pt>
              </c:strCache>
            </c:strRef>
          </c:tx>
          <c:spPr>
            <a:solidFill>
              <a:srgbClr val="28A064"/>
            </a:solidFill>
            <a:ln>
              <a:noFill/>
            </a:ln>
          </c:spPr>
          <c:invertIfNegative val="0"/>
          <c:val>
            <c:numRef>
              <c:f>Dat_01!$C$347:$O$347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4-C350-4BF4-A327-BEF16DBD47D3}"/>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5"/>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240.31007922480001</c:v>
                </c:pt>
                <c:pt idx="1">
                  <c:v>243.8197242377</c:v>
                </c:pt>
                <c:pt idx="2">
                  <c:v>225.28143922699999</c:v>
                </c:pt>
                <c:pt idx="3">
                  <c:v>235.40917235090001</c:v>
                </c:pt>
                <c:pt idx="4">
                  <c:v>250.48584114369999</c:v>
                </c:pt>
                <c:pt idx="5">
                  <c:v>255.80172168359999</c:v>
                </c:pt>
                <c:pt idx="6">
                  <c:v>282.72443626889998</c:v>
                </c:pt>
                <c:pt idx="7">
                  <c:v>303.92478247470001</c:v>
                </c:pt>
                <c:pt idx="8">
                  <c:v>295.70636464559999</c:v>
                </c:pt>
                <c:pt idx="9">
                  <c:v>305.10105866020001</c:v>
                </c:pt>
                <c:pt idx="10">
                  <c:v>264.02750658399998</c:v>
                </c:pt>
                <c:pt idx="11">
                  <c:v>244.68324036039999</c:v>
                </c:pt>
                <c:pt idx="12">
                  <c:v>220.30349203919999</c:v>
                </c:pt>
              </c:numCache>
            </c:numRef>
          </c:val>
          <c:smooth val="0"/>
          <c:extLst>
            <c:ext xmlns:c16="http://schemas.microsoft.com/office/drawing/2014/chart" uri="{C3380CC4-5D6E-409C-BE32-E72D297353CC}">
              <c16:uniqueId val="{00000078-05DA-4902-9FAE-7020D488BF82}"/>
            </c:ext>
          </c:extLst>
        </c:ser>
        <c:ser>
          <c:idx val="2"/>
          <c:order val="16"/>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60"/>
          <c:min val="-18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noFill/>
        <a:ln w="25400">
          <a:noFill/>
        </a:ln>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Dat_01!$D$454:$D$466</c:f>
              <c:numCache>
                <c:formatCode>0.00</c:formatCode>
                <c:ptCount val="13"/>
                <c:pt idx="0">
                  <c:v>30.07</c:v>
                </c:pt>
                <c:pt idx="1">
                  <c:v>56.730000000000004</c:v>
                </c:pt>
                <c:pt idx="2">
                  <c:v>72.56</c:v>
                </c:pt>
                <c:pt idx="3">
                  <c:v>91.18</c:v>
                </c:pt>
                <c:pt idx="4">
                  <c:v>72.83</c:v>
                </c:pt>
                <c:pt idx="5">
                  <c:v>70.040000000000006</c:v>
                </c:pt>
                <c:pt idx="6">
                  <c:v>106.64999999999999</c:v>
                </c:pt>
                <c:pt idx="7">
                  <c:v>113.93</c:v>
                </c:pt>
                <c:pt idx="8">
                  <c:v>100.25</c:v>
                </c:pt>
                <c:pt idx="9">
                  <c:v>110.66000000000001</c:v>
                </c:pt>
                <c:pt idx="10">
                  <c:v>55.46</c:v>
                </c:pt>
                <c:pt idx="11">
                  <c:v>29.11</c:v>
                </c:pt>
                <c:pt idx="12">
                  <c:v>17.79</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Dat_01!$E$454:$E$466</c:f>
              <c:numCache>
                <c:formatCode>0.00</c:formatCode>
                <c:ptCount val="13"/>
                <c:pt idx="0">
                  <c:v>14.15</c:v>
                </c:pt>
                <c:pt idx="1">
                  <c:v>11.397</c:v>
                </c:pt>
                <c:pt idx="2">
                  <c:v>8.1419999999999977</c:v>
                </c:pt>
                <c:pt idx="3">
                  <c:v>8.73</c:v>
                </c:pt>
                <c:pt idx="4">
                  <c:v>10.83</c:v>
                </c:pt>
                <c:pt idx="5">
                  <c:v>14.280000000000001</c:v>
                </c:pt>
                <c:pt idx="6">
                  <c:v>12.036000000000001</c:v>
                </c:pt>
                <c:pt idx="7">
                  <c:v>10.530000000000001</c:v>
                </c:pt>
                <c:pt idx="8">
                  <c:v>10.969999999999999</c:v>
                </c:pt>
                <c:pt idx="9">
                  <c:v>15.880000000000003</c:v>
                </c:pt>
                <c:pt idx="10">
                  <c:v>15.400000000000002</c:v>
                </c:pt>
                <c:pt idx="11">
                  <c:v>18.189999999999998</c:v>
                </c:pt>
                <c:pt idx="12">
                  <c:v>25.997999999999998</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Dat_01!$F$454:$F$466</c:f>
              <c:numCache>
                <c:formatCode>0.00</c:formatCode>
                <c:ptCount val="13"/>
                <c:pt idx="0">
                  <c:v>0.15</c:v>
                </c:pt>
                <c:pt idx="1">
                  <c:v>0.15</c:v>
                </c:pt>
                <c:pt idx="2">
                  <c:v>0.31</c:v>
                </c:pt>
                <c:pt idx="3">
                  <c:v>0.16</c:v>
                </c:pt>
                <c:pt idx="4">
                  <c:v>0.16</c:v>
                </c:pt>
                <c:pt idx="5">
                  <c:v>0.16</c:v>
                </c:pt>
                <c:pt idx="6">
                  <c:v>0.19</c:v>
                </c:pt>
                <c:pt idx="7">
                  <c:v>0.28000000000000003</c:v>
                </c:pt>
                <c:pt idx="8">
                  <c:v>0.27</c:v>
                </c:pt>
                <c:pt idx="9">
                  <c:v>0.27</c:v>
                </c:pt>
                <c:pt idx="10">
                  <c:v>0.18</c:v>
                </c:pt>
                <c:pt idx="11">
                  <c:v>0.14000000000000001</c:v>
                </c:pt>
                <c:pt idx="12">
                  <c:v>0.13</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897846272270956"/>
                  <c:y val="-0.14506504326253813"/>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20907473633005649"/>
                  <c:y val="-0.12938268609105202"/>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17.79</c:v>
                </c:pt>
                <c:pt idx="1">
                  <c:v>0.13</c:v>
                </c:pt>
                <c:pt idx="2">
                  <c:v>0</c:v>
                </c:pt>
                <c:pt idx="3">
                  <c:v>25.997999999999998</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17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Dat_01!$B$82:$N$82</c:f>
              <c:numCache>
                <c:formatCode>#,##0.00</c:formatCode>
                <c:ptCount val="13"/>
                <c:pt idx="0">
                  <c:v>8.98</c:v>
                </c:pt>
                <c:pt idx="1">
                  <c:v>5.5339999999999998</c:v>
                </c:pt>
                <c:pt idx="2">
                  <c:v>3.4</c:v>
                </c:pt>
                <c:pt idx="3">
                  <c:v>3.4</c:v>
                </c:pt>
                <c:pt idx="4">
                  <c:v>4.47</c:v>
                </c:pt>
                <c:pt idx="5">
                  <c:v>4.8499999999999996</c:v>
                </c:pt>
                <c:pt idx="6">
                  <c:v>4.9829999999999997</c:v>
                </c:pt>
                <c:pt idx="7">
                  <c:v>4.12</c:v>
                </c:pt>
                <c:pt idx="8">
                  <c:v>4.22</c:v>
                </c:pt>
                <c:pt idx="9">
                  <c:v>4.08</c:v>
                </c:pt>
                <c:pt idx="10">
                  <c:v>6.62</c:v>
                </c:pt>
                <c:pt idx="11">
                  <c:v>11.35</c:v>
                </c:pt>
                <c:pt idx="12">
                  <c:v>21.974</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Dat_01!$B$83:$N$83</c:f>
              <c:numCache>
                <c:formatCode>#,##0.00</c:formatCode>
                <c:ptCount val="13"/>
                <c:pt idx="0">
                  <c:v>3.07</c:v>
                </c:pt>
                <c:pt idx="1">
                  <c:v>2.6030000000000002</c:v>
                </c:pt>
                <c:pt idx="2">
                  <c:v>2.79</c:v>
                </c:pt>
                <c:pt idx="3">
                  <c:v>3.18</c:v>
                </c:pt>
                <c:pt idx="4">
                  <c:v>3.62</c:v>
                </c:pt>
                <c:pt idx="5">
                  <c:v>5.5</c:v>
                </c:pt>
                <c:pt idx="6">
                  <c:v>4.04</c:v>
                </c:pt>
                <c:pt idx="7">
                  <c:v>3.61</c:v>
                </c:pt>
                <c:pt idx="8">
                  <c:v>3.58</c:v>
                </c:pt>
                <c:pt idx="9">
                  <c:v>7.11</c:v>
                </c:pt>
                <c:pt idx="10">
                  <c:v>5.86</c:v>
                </c:pt>
                <c:pt idx="11">
                  <c:v>4.51</c:v>
                </c:pt>
                <c:pt idx="12">
                  <c:v>2.93</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Dat_01!$B$84:$N$84</c:f>
              <c:numCache>
                <c:formatCode>#,##0.00</c:formatCode>
                <c:ptCount val="13"/>
                <c:pt idx="0">
                  <c:v>2.5499999999999998</c:v>
                </c:pt>
                <c:pt idx="1">
                  <c:v>3.6599999999999997</c:v>
                </c:pt>
                <c:pt idx="2">
                  <c:v>2.2159999999999997</c:v>
                </c:pt>
                <c:pt idx="3">
                  <c:v>2.17</c:v>
                </c:pt>
                <c:pt idx="4">
                  <c:v>2.6799999999999997</c:v>
                </c:pt>
                <c:pt idx="5">
                  <c:v>3.6799999999999993</c:v>
                </c:pt>
                <c:pt idx="6">
                  <c:v>3.7929999999999997</c:v>
                </c:pt>
                <c:pt idx="7">
                  <c:v>4.16</c:v>
                </c:pt>
                <c:pt idx="8">
                  <c:v>4.3199999999999994</c:v>
                </c:pt>
                <c:pt idx="9">
                  <c:v>4.6400000000000006</c:v>
                </c:pt>
                <c:pt idx="10">
                  <c:v>3.6139999999999999</c:v>
                </c:pt>
                <c:pt idx="11">
                  <c:v>3</c:v>
                </c:pt>
                <c:pt idx="12">
                  <c:v>2.4899999999999998</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Dat_01!$B$85:$N$85</c:f>
              <c:numCache>
                <c:formatCode>#,##0.00</c:formatCode>
                <c:ptCount val="13"/>
                <c:pt idx="0">
                  <c:v>-0.06</c:v>
                </c:pt>
                <c:pt idx="1">
                  <c:v>-0.09</c:v>
                </c:pt>
                <c:pt idx="2">
                  <c:v>-7.0000000000000007E-2</c:v>
                </c:pt>
                <c:pt idx="3">
                  <c:v>-0.08</c:v>
                </c:pt>
                <c:pt idx="4">
                  <c:v>-0.1</c:v>
                </c:pt>
                <c:pt idx="5">
                  <c:v>-0.12</c:v>
                </c:pt>
                <c:pt idx="6">
                  <c:v>-0.53</c:v>
                </c:pt>
                <c:pt idx="7">
                  <c:v>-1</c:v>
                </c:pt>
                <c:pt idx="8">
                  <c:v>-0.73</c:v>
                </c:pt>
                <c:pt idx="9">
                  <c:v>-0.81</c:v>
                </c:pt>
                <c:pt idx="10">
                  <c:v>-0.6</c:v>
                </c:pt>
                <c:pt idx="11">
                  <c:v>-0.43</c:v>
                </c:pt>
                <c:pt idx="12">
                  <c:v>-0.2</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Dat_01!$B$86:$N$86</c:f>
              <c:numCache>
                <c:formatCode>#,##0.00</c:formatCode>
                <c:ptCount val="13"/>
                <c:pt idx="0">
                  <c:v>0.36</c:v>
                </c:pt>
                <c:pt idx="1">
                  <c:v>0.36</c:v>
                </c:pt>
                <c:pt idx="2">
                  <c:v>0.30599999999999999</c:v>
                </c:pt>
                <c:pt idx="3">
                  <c:v>0.43</c:v>
                </c:pt>
                <c:pt idx="4">
                  <c:v>0.43</c:v>
                </c:pt>
                <c:pt idx="5">
                  <c:v>0.42</c:v>
                </c:pt>
                <c:pt idx="6">
                  <c:v>0.31</c:v>
                </c:pt>
                <c:pt idx="7">
                  <c:v>0.34</c:v>
                </c:pt>
                <c:pt idx="8">
                  <c:v>0.62</c:v>
                </c:pt>
                <c:pt idx="9">
                  <c:v>0.51</c:v>
                </c:pt>
                <c:pt idx="10">
                  <c:v>0.5</c:v>
                </c:pt>
                <c:pt idx="11">
                  <c:v>0.5</c:v>
                </c:pt>
                <c:pt idx="12">
                  <c:v>0.314</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Dat_01!$B$87:$N$87</c:f>
              <c:numCache>
                <c:formatCode>#,##0.00</c:formatCode>
                <c:ptCount val="13"/>
                <c:pt idx="0">
                  <c:v>0</c:v>
                </c:pt>
                <c:pt idx="1">
                  <c:v>0.02</c:v>
                </c:pt>
                <c:pt idx="2">
                  <c:v>0.09</c:v>
                </c:pt>
                <c:pt idx="3">
                  <c:v>0.23</c:v>
                </c:pt>
                <c:pt idx="4">
                  <c:v>0.43</c:v>
                </c:pt>
                <c:pt idx="5">
                  <c:v>0.66</c:v>
                </c:pt>
                <c:pt idx="6">
                  <c:v>0.1</c:v>
                </c:pt>
                <c:pt idx="7">
                  <c:v>-0.11</c:v>
                </c:pt>
                <c:pt idx="8">
                  <c:v>0.11</c:v>
                </c:pt>
                <c:pt idx="9">
                  <c:v>1.55</c:v>
                </c:pt>
                <c:pt idx="10">
                  <c:v>0.59</c:v>
                </c:pt>
                <c:pt idx="11">
                  <c:v>0.59</c:v>
                </c:pt>
                <c:pt idx="12">
                  <c:v>-0.21</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Dat_01!$B$88:$N$88</c:f>
              <c:numCache>
                <c:formatCode>#,##0.00</c:formatCode>
                <c:ptCount val="13"/>
                <c:pt idx="0">
                  <c:v>-0.13</c:v>
                </c:pt>
                <c:pt idx="1">
                  <c:v>-0.11</c:v>
                </c:pt>
                <c:pt idx="2">
                  <c:v>-0.09</c:v>
                </c:pt>
                <c:pt idx="3">
                  <c:v>-0.1</c:v>
                </c:pt>
                <c:pt idx="4">
                  <c:v>-0.12</c:v>
                </c:pt>
                <c:pt idx="5">
                  <c:v>-0.11</c:v>
                </c:pt>
                <c:pt idx="6">
                  <c:v>-0.12</c:v>
                </c:pt>
                <c:pt idx="7">
                  <c:v>-0.1</c:v>
                </c:pt>
                <c:pt idx="8">
                  <c:v>-0.12</c:v>
                </c:pt>
                <c:pt idx="9">
                  <c:v>-0.09</c:v>
                </c:pt>
                <c:pt idx="10">
                  <c:v>-0.1</c:v>
                </c:pt>
                <c:pt idx="11">
                  <c:v>-0.12</c:v>
                </c:pt>
                <c:pt idx="12">
                  <c:v>-0.11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-0.67</c:v>
                </c:pt>
                <c:pt idx="1">
                  <c:v>-0.62</c:v>
                </c:pt>
                <c:pt idx="2">
                  <c:v>-0.55999999999999994</c:v>
                </c:pt>
                <c:pt idx="3">
                  <c:v>-0.53999999999999992</c:v>
                </c:pt>
                <c:pt idx="4">
                  <c:v>-0.62</c:v>
                </c:pt>
                <c:pt idx="5">
                  <c:v>-0.66</c:v>
                </c:pt>
                <c:pt idx="6">
                  <c:v>-0.6</c:v>
                </c:pt>
                <c:pt idx="7">
                  <c:v>-0.51</c:v>
                </c:pt>
                <c:pt idx="8">
                  <c:v>-1.08</c:v>
                </c:pt>
                <c:pt idx="9">
                  <c:v>-1.1599999999999999</c:v>
                </c:pt>
                <c:pt idx="10">
                  <c:v>-1.1339999999999999</c:v>
                </c:pt>
                <c:pt idx="11">
                  <c:v>-1.25</c:v>
                </c:pt>
                <c:pt idx="12">
                  <c:v>-1.23</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Dat_01!$B$90:$N$90</c:f>
              <c:numCache>
                <c:formatCode>0.00</c:formatCode>
                <c:ptCount val="13"/>
                <c:pt idx="0">
                  <c:v>0.05</c:v>
                </c:pt>
                <c:pt idx="1">
                  <c:v>0.04</c:v>
                </c:pt>
                <c:pt idx="2">
                  <c:v>0.06</c:v>
                </c:pt>
                <c:pt idx="3">
                  <c:v>0.04</c:v>
                </c:pt>
                <c:pt idx="4">
                  <c:v>0.04</c:v>
                </c:pt>
                <c:pt idx="5">
                  <c:v>0.06</c:v>
                </c:pt>
                <c:pt idx="6">
                  <c:v>0.06</c:v>
                </c:pt>
                <c:pt idx="7">
                  <c:v>0.02</c:v>
                </c:pt>
                <c:pt idx="8">
                  <c:v>0.05</c:v>
                </c:pt>
                <c:pt idx="9">
                  <c:v>0.05</c:v>
                </c:pt>
                <c:pt idx="10">
                  <c:v>0.05</c:v>
                </c:pt>
                <c:pt idx="11">
                  <c:v>0.04</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2025 Mayo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2846.3042</c:v>
                </c:pt>
                <c:pt idx="1">
                  <c:v>306.53352799999999</c:v>
                </c:pt>
                <c:pt idx="2">
                  <c:v>196.68978899999999</c:v>
                </c:pt>
                <c:pt idx="3">
                  <c:v>440.84383300000002</c:v>
                </c:pt>
                <c:pt idx="4">
                  <c:v>270.85975000000002</c:v>
                </c:pt>
                <c:pt idx="5">
                  <c:v>123.86064399999999</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2024 Mayo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1910.998</c:v>
                </c:pt>
                <c:pt idx="1">
                  <c:v>351.32175899999999</c:v>
                </c:pt>
                <c:pt idx="2">
                  <c:v>385.87475699999999</c:v>
                </c:pt>
                <c:pt idx="3">
                  <c:v>428.39341999999999</c:v>
                </c:pt>
                <c:pt idx="4">
                  <c:v>304.64224999999999</c:v>
                </c:pt>
                <c:pt idx="5">
                  <c:v>90.427827000000008</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Dat_01!$C$137:$O$137</c:f>
              <c:numCache>
                <c:formatCode>#,##0;\(#,##0\)</c:formatCode>
                <c:ptCount val="13"/>
                <c:pt idx="0">
                  <c:v>178457</c:v>
                </c:pt>
                <c:pt idx="1">
                  <c:v>118330</c:v>
                </c:pt>
                <c:pt idx="2">
                  <c:v>157282</c:v>
                </c:pt>
                <c:pt idx="3">
                  <c:v>161811</c:v>
                </c:pt>
                <c:pt idx="4">
                  <c:v>252325.6</c:v>
                </c:pt>
                <c:pt idx="5">
                  <c:v>216291.20000000001</c:v>
                </c:pt>
                <c:pt idx="6">
                  <c:v>128228.3</c:v>
                </c:pt>
                <c:pt idx="7">
                  <c:v>113359.5</c:v>
                </c:pt>
                <c:pt idx="8">
                  <c:v>136200</c:v>
                </c:pt>
                <c:pt idx="9">
                  <c:v>176818</c:v>
                </c:pt>
                <c:pt idx="10">
                  <c:v>161347</c:v>
                </c:pt>
                <c:pt idx="11">
                  <c:v>128080</c:v>
                </c:pt>
                <c:pt idx="12">
                  <c:v>122215</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Dat_01!$C$139:$O$139</c:f>
              <c:numCache>
                <c:formatCode>#,##0;\(#,##0\)</c:formatCode>
                <c:ptCount val="13"/>
                <c:pt idx="0">
                  <c:v>870770.7</c:v>
                </c:pt>
                <c:pt idx="1">
                  <c:v>665201</c:v>
                </c:pt>
                <c:pt idx="2">
                  <c:v>684982.3</c:v>
                </c:pt>
                <c:pt idx="3">
                  <c:v>699616.5</c:v>
                </c:pt>
                <c:pt idx="4">
                  <c:v>690114.2</c:v>
                </c:pt>
                <c:pt idx="5">
                  <c:v>768114.9</c:v>
                </c:pt>
                <c:pt idx="6">
                  <c:v>887929.3</c:v>
                </c:pt>
                <c:pt idx="7">
                  <c:v>742981.5</c:v>
                </c:pt>
                <c:pt idx="8">
                  <c:v>683064</c:v>
                </c:pt>
                <c:pt idx="9">
                  <c:v>653295.19999999995</c:v>
                </c:pt>
                <c:pt idx="10">
                  <c:v>793527.4</c:v>
                </c:pt>
                <c:pt idx="11">
                  <c:v>1154419.5</c:v>
                </c:pt>
                <c:pt idx="12">
                  <c:v>2188300.1</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Dat_01!$C$143:$O$143</c:f>
              <c:numCache>
                <c:formatCode>#,##0;\(#,##0\)</c:formatCode>
                <c:ptCount val="13"/>
                <c:pt idx="0">
                  <c:v>0.2</c:v>
                </c:pt>
                <c:pt idx="1">
                  <c:v>0</c:v>
                </c:pt>
                <c:pt idx="2">
                  <c:v>0</c:v>
                </c:pt>
                <c:pt idx="3">
                  <c:v>0</c:v>
                </c:pt>
                <c:pt idx="4">
                  <c:v>0</c:v>
                </c:pt>
                <c:pt idx="5">
                  <c:v>3132.9</c:v>
                </c:pt>
                <c:pt idx="6">
                  <c:v>987.5</c:v>
                </c:pt>
                <c:pt idx="7">
                  <c:v>0</c:v>
                </c:pt>
                <c:pt idx="8">
                  <c:v>0</c:v>
                </c:pt>
                <c:pt idx="9">
                  <c:v>0</c:v>
                </c:pt>
                <c:pt idx="10">
                  <c:v>18750.8</c:v>
                </c:pt>
                <c:pt idx="11">
                  <c:v>10370.9</c:v>
                </c:pt>
                <c:pt idx="12">
                  <c:v>17487.5</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Dat_01!$C$146:$O$146</c:f>
              <c:numCache>
                <c:formatCode>#,##0;\(#,##0\)</c:formatCode>
                <c:ptCount val="13"/>
                <c:pt idx="0">
                  <c:v>0</c:v>
                </c:pt>
                <c:pt idx="1">
                  <c:v>0</c:v>
                </c:pt>
                <c:pt idx="2">
                  <c:v>6619.1</c:v>
                </c:pt>
                <c:pt idx="3">
                  <c:v>0</c:v>
                </c:pt>
                <c:pt idx="4">
                  <c:v>184</c:v>
                </c:pt>
                <c:pt idx="5">
                  <c:v>230</c:v>
                </c:pt>
                <c:pt idx="6">
                  <c:v>6140.4</c:v>
                </c:pt>
                <c:pt idx="7">
                  <c:v>918</c:v>
                </c:pt>
                <c:pt idx="8">
                  <c:v>0</c:v>
                </c:pt>
                <c:pt idx="9">
                  <c:v>189</c:v>
                </c:pt>
                <c:pt idx="10">
                  <c:v>146</c:v>
                </c:pt>
                <c:pt idx="11">
                  <c:v>1600</c:v>
                </c:pt>
                <c:pt idx="12">
                  <c:v>1600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31.6</c:v>
                </c:pt>
                <c:pt idx="11">
                  <c:v>1.3</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Dat_01!$C$134:$O$134</c:f>
              <c:numCache>
                <c:formatCode>#,##0;\(#,##0\)</c:formatCode>
                <c:ptCount val="13"/>
                <c:pt idx="0">
                  <c:v>0</c:v>
                </c:pt>
                <c:pt idx="1">
                  <c:v>0</c:v>
                </c:pt>
                <c:pt idx="2">
                  <c:v>0</c:v>
                </c:pt>
                <c:pt idx="3">
                  <c:v>0</c:v>
                </c:pt>
                <c:pt idx="4">
                  <c:v>0</c:v>
                </c:pt>
                <c:pt idx="5">
                  <c:v>0</c:v>
                </c:pt>
                <c:pt idx="6">
                  <c:v>0</c:v>
                </c:pt>
                <c:pt idx="7">
                  <c:v>0</c:v>
                </c:pt>
                <c:pt idx="8">
                  <c:v>58.4</c:v>
                </c:pt>
                <c:pt idx="9">
                  <c:v>0</c:v>
                </c:pt>
                <c:pt idx="10">
                  <c:v>0</c:v>
                </c:pt>
                <c:pt idx="11">
                  <c:v>20382.3</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Dat_01!$C$144:$O$144</c:f>
              <c:numCache>
                <c:formatCode>#,##0;\(#,##0\)</c:formatCode>
                <c:ptCount val="13"/>
                <c:pt idx="0">
                  <c:v>0</c:v>
                </c:pt>
                <c:pt idx="1">
                  <c:v>0</c:v>
                </c:pt>
                <c:pt idx="2">
                  <c:v>0</c:v>
                </c:pt>
                <c:pt idx="3">
                  <c:v>0</c:v>
                </c:pt>
                <c:pt idx="4">
                  <c:v>0</c:v>
                </c:pt>
                <c:pt idx="5">
                  <c:v>767.5</c:v>
                </c:pt>
                <c:pt idx="6">
                  <c:v>0</c:v>
                </c:pt>
                <c:pt idx="7">
                  <c:v>0</c:v>
                </c:pt>
                <c:pt idx="8">
                  <c:v>0</c:v>
                </c:pt>
                <c:pt idx="9">
                  <c:v>0</c:v>
                </c:pt>
                <c:pt idx="10">
                  <c:v>1176.5999999999999</c:v>
                </c:pt>
                <c:pt idx="11">
                  <c:v>2988</c:v>
                </c:pt>
                <c:pt idx="12">
                  <c:v>3603.7</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Dat_01!$C$135:$O$135</c:f>
              <c:numCache>
                <c:formatCode>#,##0;\(#,##0\)</c:formatCode>
                <c:ptCount val="13"/>
                <c:pt idx="0">
                  <c:v>4370</c:v>
                </c:pt>
                <c:pt idx="1">
                  <c:v>0.6</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464394"/>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Dat_01!$C$136:$O$136</c:f>
              <c:numCache>
                <c:formatCode>#,##0;\(#,##0\)</c:formatCode>
                <c:ptCount val="13"/>
                <c:pt idx="0">
                  <c:v>697817.8</c:v>
                </c:pt>
                <c:pt idx="1">
                  <c:v>435935.9</c:v>
                </c:pt>
                <c:pt idx="2">
                  <c:v>60001.7</c:v>
                </c:pt>
                <c:pt idx="3">
                  <c:v>0</c:v>
                </c:pt>
                <c:pt idx="4">
                  <c:v>0</c:v>
                </c:pt>
                <c:pt idx="5">
                  <c:v>0</c:v>
                </c:pt>
                <c:pt idx="6">
                  <c:v>13528</c:v>
                </c:pt>
                <c:pt idx="7">
                  <c:v>0</c:v>
                </c:pt>
                <c:pt idx="8">
                  <c:v>1486.2</c:v>
                </c:pt>
                <c:pt idx="9">
                  <c:v>0</c:v>
                </c:pt>
                <c:pt idx="10">
                  <c:v>260114.1</c:v>
                </c:pt>
                <c:pt idx="11">
                  <c:v>267559.5</c:v>
                </c:pt>
                <c:pt idx="12">
                  <c:v>363944.9</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114.750116874</c:v>
                </c:pt>
                <c:pt idx="1">
                  <c:v>119.53299055479999</c:v>
                </c:pt>
                <c:pt idx="2">
                  <c:v>142.29953853699999</c:v>
                </c:pt>
                <c:pt idx="3">
                  <c:v>169.8250358736</c:v>
                </c:pt>
                <c:pt idx="4">
                  <c:v>155.87385113639999</c:v>
                </c:pt>
                <c:pt idx="5">
                  <c:v>156.48894517759999</c:v>
                </c:pt>
                <c:pt idx="6">
                  <c:v>180.21856425760001</c:v>
                </c:pt>
                <c:pt idx="7">
                  <c:v>189.98390589690001</c:v>
                </c:pt>
                <c:pt idx="8">
                  <c:v>194.01727648470001</c:v>
                </c:pt>
                <c:pt idx="9">
                  <c:v>191.6424222304</c:v>
                </c:pt>
                <c:pt idx="10">
                  <c:v>147.56577655929999</c:v>
                </c:pt>
                <c:pt idx="11">
                  <c:v>143.7360433998</c:v>
                </c:pt>
                <c:pt idx="12">
                  <c:v>154.99768451989999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crossAx val="403140224"/>
        <c:crosses val="autoZero"/>
        <c:crossBetween val="between"/>
        <c:majorUnit val="4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10"/>
        </c:scaling>
        <c:delete val="0"/>
        <c:axPos val="r"/>
        <c:numFmt formatCode="#,##0" sourceLinked="0"/>
        <c:majorTickMark val="out"/>
        <c:minorTickMark val="none"/>
        <c:tickLblPos val="nextTo"/>
        <c:spPr>
          <a:ln>
            <a:noFill/>
          </a:ln>
        </c:sp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0</c:v>
                </c:pt>
                <c:pt idx="1">
                  <c:v>0</c:v>
                </c:pt>
                <c:pt idx="2">
                  <c:v>212.3</c:v>
                </c:pt>
                <c:pt idx="3">
                  <c:v>168.2</c:v>
                </c:pt>
                <c:pt idx="4">
                  <c:v>1706.2</c:v>
                </c:pt>
                <c:pt idx="5">
                  <c:v>2400.8000000000002</c:v>
                </c:pt>
                <c:pt idx="6">
                  <c:v>0</c:v>
                </c:pt>
                <c:pt idx="7">
                  <c:v>15185.5</c:v>
                </c:pt>
                <c:pt idx="8">
                  <c:v>0</c:v>
                </c:pt>
                <c:pt idx="9">
                  <c:v>0</c:v>
                </c:pt>
                <c:pt idx="10">
                  <c:v>0</c:v>
                </c:pt>
                <c:pt idx="11">
                  <c:v>0</c:v>
                </c:pt>
                <c:pt idx="12">
                  <c:v>0</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0</c:v>
                </c:pt>
                <c:pt idx="4">
                  <c:v>0</c:v>
                </c:pt>
                <c:pt idx="5">
                  <c:v>308</c:v>
                </c:pt>
                <c:pt idx="6">
                  <c:v>0</c:v>
                </c:pt>
                <c:pt idx="7">
                  <c:v>0</c:v>
                </c:pt>
                <c:pt idx="8">
                  <c:v>0</c:v>
                </c:pt>
                <c:pt idx="9">
                  <c:v>0</c:v>
                </c:pt>
                <c:pt idx="10">
                  <c:v>190</c:v>
                </c:pt>
                <c:pt idx="11">
                  <c:v>0</c:v>
                </c:pt>
                <c:pt idx="12">
                  <c:v>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#,##0;\(#,##0\)</c:formatCode>
                <c:ptCount val="13"/>
                <c:pt idx="0">
                  <c:v>17285.900000000001</c:v>
                </c:pt>
                <c:pt idx="1">
                  <c:v>8829.7999999999993</c:v>
                </c:pt>
                <c:pt idx="2">
                  <c:v>15027.8</c:v>
                </c:pt>
                <c:pt idx="3">
                  <c:v>5587.1</c:v>
                </c:pt>
                <c:pt idx="4">
                  <c:v>13252.9</c:v>
                </c:pt>
                <c:pt idx="5">
                  <c:v>5966.6</c:v>
                </c:pt>
                <c:pt idx="6">
                  <c:v>583</c:v>
                </c:pt>
                <c:pt idx="7">
                  <c:v>837.6</c:v>
                </c:pt>
                <c:pt idx="8">
                  <c:v>3429</c:v>
                </c:pt>
                <c:pt idx="9">
                  <c:v>111.1</c:v>
                </c:pt>
                <c:pt idx="10">
                  <c:v>859.2</c:v>
                </c:pt>
                <c:pt idx="11">
                  <c:v>4456.8999999999996</c:v>
                </c:pt>
                <c:pt idx="12">
                  <c:v>4609.7</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0</c:v>
                </c:pt>
                <c:pt idx="4">
                  <c:v>0</c:v>
                </c:pt>
                <c:pt idx="5">
                  <c:v>242.7</c:v>
                </c:pt>
                <c:pt idx="6">
                  <c:v>820.6</c:v>
                </c:pt>
                <c:pt idx="7">
                  <c:v>588.70000000000005</c:v>
                </c:pt>
                <c:pt idx="8">
                  <c:v>844.6</c:v>
                </c:pt>
                <c:pt idx="9">
                  <c:v>129.19999999999999</c:v>
                </c:pt>
                <c:pt idx="10">
                  <c:v>1191.4000000000001</c:v>
                </c:pt>
                <c:pt idx="11">
                  <c:v>512.9</c:v>
                </c:pt>
                <c:pt idx="12">
                  <c:v>3501.6</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4948.3999999999996</c:v>
                </c:pt>
                <c:pt idx="1">
                  <c:v>4108.3</c:v>
                </c:pt>
                <c:pt idx="2">
                  <c:v>3881.8</c:v>
                </c:pt>
                <c:pt idx="3">
                  <c:v>2395.8000000000002</c:v>
                </c:pt>
                <c:pt idx="4">
                  <c:v>2369.3000000000002</c:v>
                </c:pt>
                <c:pt idx="5">
                  <c:v>2467.9</c:v>
                </c:pt>
                <c:pt idx="6">
                  <c:v>3355.5</c:v>
                </c:pt>
                <c:pt idx="7">
                  <c:v>2291.6999999999998</c:v>
                </c:pt>
                <c:pt idx="8">
                  <c:v>1202</c:v>
                </c:pt>
                <c:pt idx="9">
                  <c:v>143.30000000000001</c:v>
                </c:pt>
                <c:pt idx="10">
                  <c:v>655.7</c:v>
                </c:pt>
                <c:pt idx="11">
                  <c:v>2348.1</c:v>
                </c:pt>
                <c:pt idx="12">
                  <c:v>9496.2999999999993</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56267.3</c:v>
                </c:pt>
                <c:pt idx="1">
                  <c:v>51644.4</c:v>
                </c:pt>
                <c:pt idx="2">
                  <c:v>121172.4</c:v>
                </c:pt>
                <c:pt idx="3">
                  <c:v>45324.7</c:v>
                </c:pt>
                <c:pt idx="4">
                  <c:v>86223.9</c:v>
                </c:pt>
                <c:pt idx="5">
                  <c:v>68222.2</c:v>
                </c:pt>
                <c:pt idx="6">
                  <c:v>231610.6</c:v>
                </c:pt>
                <c:pt idx="7">
                  <c:v>118243.7</c:v>
                </c:pt>
                <c:pt idx="8">
                  <c:v>118105.1</c:v>
                </c:pt>
                <c:pt idx="9">
                  <c:v>19851.3</c:v>
                </c:pt>
                <c:pt idx="10">
                  <c:v>29282.9</c:v>
                </c:pt>
                <c:pt idx="11">
                  <c:v>23186.2</c:v>
                </c:pt>
                <c:pt idx="12">
                  <c:v>17699.400000000001</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2274.3000000000002</c:v>
                </c:pt>
                <c:pt idx="1">
                  <c:v>1971.9</c:v>
                </c:pt>
                <c:pt idx="2">
                  <c:v>9240.7999999999993</c:v>
                </c:pt>
                <c:pt idx="3">
                  <c:v>2766.6</c:v>
                </c:pt>
                <c:pt idx="4">
                  <c:v>4253.3</c:v>
                </c:pt>
                <c:pt idx="5">
                  <c:v>1216.3</c:v>
                </c:pt>
                <c:pt idx="6">
                  <c:v>274.10000000000002</c:v>
                </c:pt>
                <c:pt idx="7">
                  <c:v>678.2</c:v>
                </c:pt>
                <c:pt idx="8">
                  <c:v>1474.8</c:v>
                </c:pt>
                <c:pt idx="9">
                  <c:v>12</c:v>
                </c:pt>
                <c:pt idx="10">
                  <c:v>485.5</c:v>
                </c:pt>
                <c:pt idx="11">
                  <c:v>2920.3</c:v>
                </c:pt>
                <c:pt idx="12">
                  <c:v>3843</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344</c:v>
                </c:pt>
                <c:pt idx="1">
                  <c:v>0</c:v>
                </c:pt>
                <c:pt idx="2">
                  <c:v>150</c:v>
                </c:pt>
                <c:pt idx="3">
                  <c:v>100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48396.6</c:v>
                </c:pt>
                <c:pt idx="1">
                  <c:v>30094.799999999999</c:v>
                </c:pt>
                <c:pt idx="2">
                  <c:v>57890.400000000001</c:v>
                </c:pt>
                <c:pt idx="3">
                  <c:v>34473.199999999997</c:v>
                </c:pt>
                <c:pt idx="4">
                  <c:v>19002.7</c:v>
                </c:pt>
                <c:pt idx="5">
                  <c:v>16033.9</c:v>
                </c:pt>
                <c:pt idx="6">
                  <c:v>28940.6</c:v>
                </c:pt>
                <c:pt idx="7">
                  <c:v>9850</c:v>
                </c:pt>
                <c:pt idx="8">
                  <c:v>23597.4</c:v>
                </c:pt>
                <c:pt idx="9">
                  <c:v>11181.5</c:v>
                </c:pt>
                <c:pt idx="10">
                  <c:v>28184.799999999999</c:v>
                </c:pt>
                <c:pt idx="11">
                  <c:v>17070.3</c:v>
                </c:pt>
                <c:pt idx="12">
                  <c:v>74426.899999999994</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29937.8</c:v>
                </c:pt>
                <c:pt idx="1">
                  <c:v>30825.7</c:v>
                </c:pt>
                <c:pt idx="2">
                  <c:v>133882.4</c:v>
                </c:pt>
                <c:pt idx="3">
                  <c:v>45551.6</c:v>
                </c:pt>
                <c:pt idx="4">
                  <c:v>4378</c:v>
                </c:pt>
                <c:pt idx="5">
                  <c:v>4831.1000000000004</c:v>
                </c:pt>
                <c:pt idx="6">
                  <c:v>1321.5</c:v>
                </c:pt>
                <c:pt idx="7">
                  <c:v>3510.4</c:v>
                </c:pt>
                <c:pt idx="8">
                  <c:v>2970.4</c:v>
                </c:pt>
                <c:pt idx="9">
                  <c:v>6509.7</c:v>
                </c:pt>
                <c:pt idx="10">
                  <c:v>18812.8</c:v>
                </c:pt>
                <c:pt idx="11">
                  <c:v>4704.6000000000004</c:v>
                </c:pt>
                <c:pt idx="12">
                  <c:v>35576.1</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95B3D7"/>
            </a:solidFill>
          </c:spPr>
          <c:invertIfNegative val="0"/>
          <c:val>
            <c:numRef>
              <c:f>Dat_01!$C$155:$O$155</c:f>
              <c:numCache>
                <c:formatCode>#,##0;\(#,##0\)</c:formatCode>
                <c:ptCount val="13"/>
                <c:pt idx="0">
                  <c:v>128</c:v>
                </c:pt>
                <c:pt idx="1">
                  <c:v>0</c:v>
                </c:pt>
                <c:pt idx="2">
                  <c:v>0</c:v>
                </c:pt>
                <c:pt idx="3">
                  <c:v>0</c:v>
                </c:pt>
                <c:pt idx="4">
                  <c:v>464</c:v>
                </c:pt>
                <c:pt idx="5">
                  <c:v>0</c:v>
                </c:pt>
                <c:pt idx="6">
                  <c:v>1125.2</c:v>
                </c:pt>
                <c:pt idx="7">
                  <c:v>346.9</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18.889523041299999</c:v>
                </c:pt>
                <c:pt idx="1">
                  <c:v>35.244959526499997</c:v>
                </c:pt>
                <c:pt idx="2">
                  <c:v>63.399845817299997</c:v>
                </c:pt>
                <c:pt idx="3">
                  <c:v>86.755411534900006</c:v>
                </c:pt>
                <c:pt idx="4">
                  <c:v>67.661076487499997</c:v>
                </c:pt>
                <c:pt idx="5">
                  <c:v>62.673256377999998</c:v>
                </c:pt>
                <c:pt idx="6">
                  <c:v>92.2735799222</c:v>
                </c:pt>
                <c:pt idx="7">
                  <c:v>93.843193179599993</c:v>
                </c:pt>
                <c:pt idx="8">
                  <c:v>83.688895800300003</c:v>
                </c:pt>
                <c:pt idx="9">
                  <c:v>97.485909316600001</c:v>
                </c:pt>
                <c:pt idx="10">
                  <c:v>34.8353287288</c:v>
                </c:pt>
                <c:pt idx="11">
                  <c:v>16.158549877799999</c:v>
                </c:pt>
                <c:pt idx="12">
                  <c:v>4.9698002248000002</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4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Dat_01!$B$183:$N$183</c:f>
              <c:numCache>
                <c:formatCode>#,##0</c:formatCode>
                <c:ptCount val="13"/>
                <c:pt idx="0">
                  <c:v>860.69455645162498</c:v>
                </c:pt>
                <c:pt idx="1">
                  <c:v>909.48680555554995</c:v>
                </c:pt>
                <c:pt idx="2">
                  <c:v>895.87533602149995</c:v>
                </c:pt>
                <c:pt idx="3">
                  <c:v>896.60181451612505</c:v>
                </c:pt>
                <c:pt idx="4">
                  <c:v>904.94791666667504</c:v>
                </c:pt>
                <c:pt idx="5">
                  <c:v>1016.8244966443</c:v>
                </c:pt>
                <c:pt idx="6">
                  <c:v>1105.60625</c:v>
                </c:pt>
                <c:pt idx="7">
                  <c:v>1182.3212365591501</c:v>
                </c:pt>
                <c:pt idx="8">
                  <c:v>1150.9126344086001</c:v>
                </c:pt>
                <c:pt idx="9">
                  <c:v>1147.5163690476249</c:v>
                </c:pt>
                <c:pt idx="10">
                  <c:v>1173.7688425302749</c:v>
                </c:pt>
                <c:pt idx="11">
                  <c:v>1183.2381944444501</c:v>
                </c:pt>
                <c:pt idx="12">
                  <c:v>1193.7315188171999</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28.805418648700002</c:v>
                </c:pt>
                <c:pt idx="1">
                  <c:v>46.174349017799997</c:v>
                </c:pt>
                <c:pt idx="2">
                  <c:v>28.550093757900001</c:v>
                </c:pt>
                <c:pt idx="3">
                  <c:v>27.663462874099999</c:v>
                </c:pt>
                <c:pt idx="4">
                  <c:v>32.211216648799997</c:v>
                </c:pt>
                <c:pt idx="5">
                  <c:v>40.765020854699998</c:v>
                </c:pt>
                <c:pt idx="6">
                  <c:v>38.264322053299999</c:v>
                </c:pt>
                <c:pt idx="7">
                  <c:v>57.2527025045</c:v>
                </c:pt>
                <c:pt idx="8">
                  <c:v>51.890255956300003</c:v>
                </c:pt>
                <c:pt idx="9">
                  <c:v>67.585589426400006</c:v>
                </c:pt>
                <c:pt idx="10">
                  <c:v>35.5284746281</c:v>
                </c:pt>
                <c:pt idx="11">
                  <c:v>21.380955623399998</c:v>
                </c:pt>
                <c:pt idx="12">
                  <c:v>11.0326904909</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2"/>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2"/>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0.75549</cdr:x>
      <cdr:y>0.92868</cdr:y>
    </cdr:from>
    <cdr:to>
      <cdr:x>0.84592</cdr:x>
      <cdr:y>0.98962</cdr:y>
    </cdr:to>
    <cdr:sp macro="" textlink="">
      <cdr:nvSpPr>
        <cdr:cNvPr id="3" name="CuadroTexto 1"/>
        <cdr:cNvSpPr txBox="1"/>
      </cdr:nvSpPr>
      <cdr:spPr>
        <a:xfrm xmlns:a="http://schemas.openxmlformats.org/drawingml/2006/main">
          <a:off x="5345253" y="2713859"/>
          <a:ext cx="639814"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0.31283</cdr:x>
      <cdr:y>0.93158</cdr:y>
    </cdr:from>
    <cdr:to>
      <cdr:x>0.39264</cdr:x>
      <cdr:y>0.99674</cdr:y>
    </cdr:to>
    <cdr:sp macro="" textlink="">
      <cdr:nvSpPr>
        <cdr:cNvPr id="4" name="CuadroTexto 1"/>
        <cdr:cNvSpPr txBox="1"/>
      </cdr:nvSpPr>
      <cdr:spPr>
        <a:xfrm xmlns:a="http://schemas.openxmlformats.org/drawingml/2006/main">
          <a:off x="2213320" y="2722330"/>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9</xdr:col>
      <xdr:colOff>440746</xdr:colOff>
      <xdr:row>20</xdr:row>
      <xdr:rowOff>58244</xdr:rowOff>
    </xdr:from>
    <xdr:to>
      <xdr:col>10</xdr:col>
      <xdr:colOff>74999</xdr:colOff>
      <xdr:row>21</xdr:row>
      <xdr:rowOff>57716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7539567" y="3293150"/>
          <a:ext cx="398050" cy="161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2025</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0.60923</cdr:x>
      <cdr:y>0.12497</cdr:y>
    </cdr:from>
    <cdr:to>
      <cdr:x>0.61048</cdr:x>
      <cdr:y>0.84108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667025" y="312259"/>
          <a:ext cx="9611" cy="17892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0.32518</cdr:x>
      <cdr:y>0.93855</cdr:y>
    </cdr:from>
    <cdr:to>
      <cdr:x>0.36394</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2491066" y="2345088"/>
          <a:ext cx="296923" cy="1535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0.61232</cdr:x>
      <cdr:y>0.06427</cdr:y>
    </cdr:from>
    <cdr:to>
      <cdr:x>0.6124</cdr:x>
      <cdr:y>0.76837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4690691" y="158594"/>
          <a:ext cx="600" cy="17374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0.61166</cdr:x>
      <cdr:y>0.10758</cdr:y>
    </cdr:from>
    <cdr:to>
      <cdr:x>0.6124</cdr:x>
      <cdr:y>0.79863</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4608958" y="249226"/>
          <a:ext cx="5576" cy="16009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0.75127</cdr:x>
      <cdr:y>0.89327</cdr:y>
    </cdr:from>
    <cdr:to>
      <cdr:x>0.82607</cdr:x>
      <cdr:y>0.97186</cdr:y>
    </cdr:to>
    <cdr:sp macro="" textlink="">
      <cdr:nvSpPr>
        <cdr:cNvPr id="4" name="CuadroTexto 1"/>
        <cdr:cNvSpPr txBox="1"/>
      </cdr:nvSpPr>
      <cdr:spPr>
        <a:xfrm xmlns:a="http://schemas.openxmlformats.org/drawingml/2006/main">
          <a:off x="5660921" y="2069394"/>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0.30243</cdr:x>
      <cdr:y>0.88746</cdr:y>
    </cdr:from>
    <cdr:to>
      <cdr:x>0.37723</cdr:x>
      <cdr:y>0.96605</cdr:y>
    </cdr:to>
    <cdr:sp macro="" textlink="">
      <cdr:nvSpPr>
        <cdr:cNvPr id="5" name="CuadroTexto 1"/>
        <cdr:cNvSpPr txBox="1"/>
      </cdr:nvSpPr>
      <cdr:spPr>
        <a:xfrm xmlns:a="http://schemas.openxmlformats.org/drawingml/2006/main">
          <a:off x="2278834" y="2055927"/>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0.61132</cdr:x>
      <cdr:y>0.03648</cdr:y>
    </cdr:from>
    <cdr:to>
      <cdr:x>0.61159</cdr:x>
      <cdr:y>0.86474</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4606919" y="62260"/>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0.68081</cdr:x>
      <cdr:y>0.11664</cdr:y>
    </cdr:from>
    <cdr:to>
      <cdr:x>0.68099</cdr:x>
      <cdr:y>0.81607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5155878" y="279198"/>
          <a:ext cx="1363" cy="16742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0.79222</cdr:x>
      <cdr:y>0.8829</cdr:y>
    </cdr:from>
    <cdr:to>
      <cdr:x>0.86703</cdr:x>
      <cdr:y>0.96068</cdr:y>
    </cdr:to>
    <cdr:sp macro="" textlink="">
      <cdr:nvSpPr>
        <cdr:cNvPr id="4" name="CuadroTexto 1"/>
        <cdr:cNvSpPr txBox="1"/>
      </cdr:nvSpPr>
      <cdr:spPr>
        <a:xfrm xmlns:a="http://schemas.openxmlformats.org/drawingml/2006/main">
          <a:off x="5999619" y="2113375"/>
          <a:ext cx="566552"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0.34348</cdr:x>
      <cdr:y>0.87623</cdr:y>
    </cdr:from>
    <cdr:to>
      <cdr:x>0.41827</cdr:x>
      <cdr:y>0.95401</cdr:y>
    </cdr:to>
    <cdr:sp macro="" textlink="">
      <cdr:nvSpPr>
        <cdr:cNvPr id="5" name="CuadroTexto 1"/>
        <cdr:cNvSpPr txBox="1"/>
      </cdr:nvSpPr>
      <cdr:spPr>
        <a:xfrm xmlns:a="http://schemas.openxmlformats.org/drawingml/2006/main">
          <a:off x="2601243" y="2097418"/>
          <a:ext cx="566399"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0.6816</cdr:x>
      <cdr:y>0.03399</cdr:y>
    </cdr:from>
    <cdr:to>
      <cdr:x>0.6816</cdr:x>
      <cdr:y>0.88334</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5162542" y="60098"/>
          <a:ext cx="0" cy="15019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0.61326</cdr:x>
      <cdr:y>0.0922</cdr:y>
    </cdr:from>
    <cdr:to>
      <cdr:x>0.61384</cdr:x>
      <cdr:y>0.80773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4605129" y="236078"/>
          <a:ext cx="4356" cy="18321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0.61298</cdr:x>
      <cdr:y>0.18001</cdr:y>
    </cdr:from>
    <cdr:to>
      <cdr:x>0.61366</cdr:x>
      <cdr:y>0.86317</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4603027" y="478723"/>
          <a:ext cx="5106" cy="18168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0.75264</cdr:x>
      <cdr:y>0.92955</cdr:y>
    </cdr:from>
    <cdr:to>
      <cdr:x>0.82744</cdr:x>
      <cdr:y>1</cdr:y>
    </cdr:to>
    <cdr:sp macro="" textlink="">
      <cdr:nvSpPr>
        <cdr:cNvPr id="4" name="CuadroTexto 1"/>
        <cdr:cNvSpPr txBox="1"/>
      </cdr:nvSpPr>
      <cdr:spPr>
        <a:xfrm xmlns:a="http://schemas.openxmlformats.org/drawingml/2006/main">
          <a:off x="5651759" y="2472126"/>
          <a:ext cx="56168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0.30624</cdr:x>
      <cdr:y>0.92553</cdr:y>
    </cdr:from>
    <cdr:to>
      <cdr:x>0.38102</cdr:x>
      <cdr:y>0.99598</cdr:y>
    </cdr:to>
    <cdr:sp macro="" textlink="">
      <cdr:nvSpPr>
        <cdr:cNvPr id="5" name="CuadroTexto 1"/>
        <cdr:cNvSpPr txBox="1"/>
      </cdr:nvSpPr>
      <cdr:spPr>
        <a:xfrm xmlns:a="http://schemas.openxmlformats.org/drawingml/2006/main">
          <a:off x="2299617" y="2461435"/>
          <a:ext cx="561538"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0.6146</cdr:x>
      <cdr:y>0.0838</cdr:y>
    </cdr:from>
    <cdr:to>
      <cdr:x>0.61469</cdr:x>
      <cdr:y>0.70713</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4679005" y="267269"/>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0.61188</cdr:x>
      <cdr:y>0.09214</cdr:y>
    </cdr:from>
    <cdr:to>
      <cdr:x>0.61278</cdr:x>
      <cdr:y>0.84976</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4658297" y="230549"/>
          <a:ext cx="6852" cy="18956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0.75717</cdr:x>
      <cdr:y>0.92161</cdr:y>
    </cdr:from>
    <cdr:to>
      <cdr:x>0.83197</cdr:x>
      <cdr:y>0.99207</cdr:y>
    </cdr:to>
    <cdr:sp macro="" textlink="">
      <cdr:nvSpPr>
        <cdr:cNvPr id="4" name="CuadroTexto 1"/>
        <cdr:cNvSpPr txBox="1"/>
      </cdr:nvSpPr>
      <cdr:spPr>
        <a:xfrm xmlns:a="http://schemas.openxmlformats.org/drawingml/2006/main">
          <a:off x="5764387" y="2305947"/>
          <a:ext cx="569459" cy="1762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0.30849</cdr:x>
      <cdr:y>0.92507</cdr:y>
    </cdr:from>
    <cdr:to>
      <cdr:x>0.38328</cdr:x>
      <cdr:y>0.99552</cdr:y>
    </cdr:to>
    <cdr:sp macro="" textlink="">
      <cdr:nvSpPr>
        <cdr:cNvPr id="5" name="CuadroTexto 1"/>
        <cdr:cNvSpPr txBox="1"/>
      </cdr:nvSpPr>
      <cdr:spPr>
        <a:xfrm xmlns:a="http://schemas.openxmlformats.org/drawingml/2006/main">
          <a:off x="2348529" y="2314607"/>
          <a:ext cx="569383"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0.38666</cdr:x>
      <cdr:y>0.18365</cdr:y>
    </cdr:from>
    <cdr:to>
      <cdr:x>0.51615</cdr:x>
      <cdr:y>0.24465</cdr:y>
    </cdr:to>
    <cdr:sp macro="" textlink="">
      <cdr:nvSpPr>
        <cdr:cNvPr id="2" name="Texto 7"/>
        <cdr:cNvSpPr txBox="1">
          <a:spLocks xmlns:a="http://schemas.openxmlformats.org/drawingml/2006/main" noChangeArrowheads="1"/>
        </cdr:cNvSpPr>
      </cdr:nvSpPr>
      <cdr:spPr bwMode="auto">
        <a:xfrm xmlns:a="http://schemas.openxmlformats.org/drawingml/2006/main">
          <a:off x="2180289" y="472299"/>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0.259</cdr:x>
      <cdr:y>0.78262</cdr:y>
    </cdr:from>
    <cdr:to>
      <cdr:x>0.3885</cdr:x>
      <cdr:y>0.84361</cdr:y>
    </cdr:to>
    <cdr:sp macro="" textlink="">
      <cdr:nvSpPr>
        <cdr:cNvPr id="3" name="Texto 7"/>
        <cdr:cNvSpPr txBox="1">
          <a:spLocks xmlns:a="http://schemas.openxmlformats.org/drawingml/2006/main" noChangeArrowheads="1"/>
        </cdr:cNvSpPr>
      </cdr:nvSpPr>
      <cdr:spPr bwMode="auto">
        <a:xfrm xmlns:a="http://schemas.openxmlformats.org/drawingml/2006/main">
          <a:off x="1460477" y="2012695"/>
          <a:ext cx="73022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0.60897</cdr:x>
      <cdr:y>0.09744</cdr:y>
    </cdr:from>
    <cdr:to>
      <cdr:x>0.61096</cdr:x>
      <cdr:y>0.86328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573271" y="255984"/>
          <a:ext cx="14944"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0.75727</cdr:x>
      <cdr:y>0.92954</cdr:y>
    </cdr:from>
    <cdr:to>
      <cdr:x>0.83299</cdr:x>
      <cdr:y>1</cdr:y>
    </cdr:to>
    <cdr:sp macro="" textlink="">
      <cdr:nvSpPr>
        <cdr:cNvPr id="4" name="CuadroTexto 1"/>
        <cdr:cNvSpPr txBox="1"/>
      </cdr:nvSpPr>
      <cdr:spPr>
        <a:xfrm xmlns:a="http://schemas.openxmlformats.org/drawingml/2006/main">
          <a:off x="5686991" y="2442103"/>
          <a:ext cx="568644" cy="1851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0.30407</cdr:x>
      <cdr:y>0.92955</cdr:y>
    </cdr:from>
    <cdr:to>
      <cdr:x>0.37978</cdr:x>
      <cdr:y>1</cdr:y>
    </cdr:to>
    <cdr:sp macro="" textlink="">
      <cdr:nvSpPr>
        <cdr:cNvPr id="5" name="CuadroTexto 1"/>
        <cdr:cNvSpPr txBox="1"/>
      </cdr:nvSpPr>
      <cdr:spPr>
        <a:xfrm xmlns:a="http://schemas.openxmlformats.org/drawingml/2006/main">
          <a:off x="2283519"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0.60779</cdr:x>
      <cdr:y>0.03753</cdr:y>
    </cdr:from>
    <cdr:to>
      <cdr:x>0.60818</cdr:x>
      <cdr:y>0.8053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564397" y="96818"/>
          <a:ext cx="2928" cy="1980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0.60739</cdr:x>
      <cdr:y>0.08953</cdr:y>
    </cdr:from>
    <cdr:to>
      <cdr:x>0.60767</cdr:x>
      <cdr:y>0.76274</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526690" y="266879"/>
          <a:ext cx="2086"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0.74578</cdr:x>
      <cdr:y>0.92954</cdr:y>
    </cdr:from>
    <cdr:to>
      <cdr:x>0.8215</cdr:x>
      <cdr:y>1</cdr:y>
    </cdr:to>
    <cdr:sp macro="" textlink="">
      <cdr:nvSpPr>
        <cdr:cNvPr id="4" name="CuadroTexto 1"/>
        <cdr:cNvSpPr txBox="1"/>
      </cdr:nvSpPr>
      <cdr:spPr>
        <a:xfrm xmlns:a="http://schemas.openxmlformats.org/drawingml/2006/main">
          <a:off x="5562781" y="2400784"/>
          <a:ext cx="56479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0.30058</cdr:x>
      <cdr:y>0.92955</cdr:y>
    </cdr:from>
    <cdr:to>
      <cdr:x>0.37629</cdr:x>
      <cdr:y>1</cdr:y>
    </cdr:to>
    <cdr:sp macro="" textlink="">
      <cdr:nvSpPr>
        <cdr:cNvPr id="5" name="CuadroTexto 1"/>
        <cdr:cNvSpPr txBox="1"/>
      </cdr:nvSpPr>
      <cdr:spPr>
        <a:xfrm xmlns:a="http://schemas.openxmlformats.org/drawingml/2006/main">
          <a:off x="2242035"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0.61103</cdr:x>
      <cdr:y>0.17887</cdr:y>
    </cdr:from>
    <cdr:to>
      <cdr:x>0.61131</cdr:x>
      <cdr:y>0.85208</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557682" y="461979"/>
          <a:ext cx="2089"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0.6226</cdr:x>
      <cdr:y>0.19449</cdr:y>
    </cdr:from>
    <cdr:to>
      <cdr:x>0.62296</cdr:x>
      <cdr:y>0.88004</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4389169" y="591164"/>
          <a:ext cx="2538" cy="208373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0.75859</cdr:x>
      <cdr:y>0.92267</cdr:y>
    </cdr:from>
    <cdr:to>
      <cdr:x>0.8384</cdr:x>
      <cdr:y>0.98474</cdr:y>
    </cdr:to>
    <cdr:sp macro="" textlink="">
      <cdr:nvSpPr>
        <cdr:cNvPr id="5" name="CuadroTexto 1"/>
        <cdr:cNvSpPr txBox="1"/>
      </cdr:nvSpPr>
      <cdr:spPr>
        <a:xfrm xmlns:a="http://schemas.openxmlformats.org/drawingml/2006/main">
          <a:off x="5344625" y="2826727"/>
          <a:ext cx="562297" cy="1901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0.32141</cdr:x>
      <cdr:y>0.91285</cdr:y>
    </cdr:from>
    <cdr:to>
      <cdr:x>0.40122</cdr:x>
      <cdr:y>0.97493</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2264449" y="2796654"/>
          <a:ext cx="562297" cy="1901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0.75918</cdr:x>
      <cdr:y>0.9184</cdr:y>
    </cdr:from>
    <cdr:to>
      <cdr:x>0.83898</cdr:x>
      <cdr:y>0.9819</cdr:y>
    </cdr:to>
    <cdr:sp macro="" textlink="">
      <cdr:nvSpPr>
        <cdr:cNvPr id="4" name="CuadroTexto 1"/>
        <cdr:cNvSpPr txBox="1"/>
      </cdr:nvSpPr>
      <cdr:spPr>
        <a:xfrm xmlns:a="http://schemas.openxmlformats.org/drawingml/2006/main">
          <a:off x="5349243" y="2753805"/>
          <a:ext cx="56228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0.61991</cdr:x>
      <cdr:y>0.15942</cdr:y>
    </cdr:from>
    <cdr:to>
      <cdr:x>0.62275</cdr:x>
      <cdr:y>0.84254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4367943" y="478027"/>
          <a:ext cx="20011" cy="20483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0.32175</cdr:x>
      <cdr:y>0.90921</cdr:y>
    </cdr:from>
    <cdr:to>
      <cdr:x>0.40156</cdr:x>
      <cdr:y>0.97271</cdr:y>
    </cdr:to>
    <cdr:sp macro="" textlink="">
      <cdr:nvSpPr>
        <cdr:cNvPr id="5" name="CuadroTexto 1"/>
        <cdr:cNvSpPr txBox="1"/>
      </cdr:nvSpPr>
      <cdr:spPr>
        <a:xfrm xmlns:a="http://schemas.openxmlformats.org/drawingml/2006/main">
          <a:off x="2267086" y="2726239"/>
          <a:ext cx="56235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4316329</xdr:colOff>
      <xdr:row>10</xdr:row>
      <xdr:rowOff>76835</xdr:rowOff>
    </xdr:from>
    <xdr:to>
      <xdr:col>4</xdr:col>
      <xdr:colOff>4323080</xdr:colOff>
      <xdr:row>22</xdr:row>
      <xdr:rowOff>50131</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6186237" y="1731177"/>
          <a:ext cx="6751" cy="1898349"/>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5" t="s">
        <v>293</v>
      </c>
    </row>
    <row r="2" spans="1:2">
      <c r="A2" t="s">
        <v>284</v>
      </c>
    </row>
    <row r="3" spans="1:2">
      <c r="A3" t="s">
        <v>233</v>
      </c>
    </row>
    <row r="4" spans="1:2">
      <c r="A4" t="s">
        <v>288</v>
      </c>
    </row>
    <row r="5" spans="1:2">
      <c r="A5" t="s">
        <v>287</v>
      </c>
    </row>
    <row r="6" spans="1:2">
      <c r="A6" t="s">
        <v>220</v>
      </c>
    </row>
    <row r="7" spans="1:2">
      <c r="A7" t="s">
        <v>249</v>
      </c>
    </row>
    <row r="8" spans="1:2">
      <c r="A8" t="s">
        <v>290</v>
      </c>
    </row>
    <row r="9" spans="1:2">
      <c r="A9" t="s">
        <v>291</v>
      </c>
    </row>
    <row r="10" spans="1:2">
      <c r="A10" t="s">
        <v>221</v>
      </c>
    </row>
    <row r="11" spans="1:2">
      <c r="A11" t="s">
        <v>289</v>
      </c>
    </row>
    <row r="12" spans="1:2">
      <c r="A12" t="s">
        <v>286</v>
      </c>
    </row>
    <row r="13" spans="1:2">
      <c r="A13" t="s">
        <v>285</v>
      </c>
    </row>
    <row r="14" spans="1:2">
      <c r="A14" t="s">
        <v>294</v>
      </c>
    </row>
    <row r="15" spans="1:2">
      <c r="A15" t="s">
        <v>292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5" zoomScale="106" zoomScaleNormal="106" workbookViewId="0">
      <selection activeCell="S32" sqref="S3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31</v>
      </c>
    </row>
    <row r="2" spans="2:38">
      <c r="L2" s="18" t="str">
        <f>Indice!E3</f>
        <v>Mayo 2025</v>
      </c>
    </row>
    <row r="4" spans="2:38">
      <c r="B4" s="19" t="s">
        <v>30</v>
      </c>
      <c r="P4" s="64" t="s">
        <v>13</v>
      </c>
      <c r="Q4" s="64" t="s">
        <v>5</v>
      </c>
      <c r="R4" s="64" t="s">
        <v>6</v>
      </c>
      <c r="S4" s="64" t="s">
        <v>7</v>
      </c>
      <c r="T4" s="64" t="s">
        <v>8</v>
      </c>
      <c r="U4" s="64" t="s">
        <v>7</v>
      </c>
      <c r="V4" s="64" t="s">
        <v>9</v>
      </c>
      <c r="W4" s="64" t="s">
        <v>9</v>
      </c>
      <c r="X4" s="64" t="s">
        <v>8</v>
      </c>
      <c r="Y4" s="64" t="s">
        <v>10</v>
      </c>
      <c r="Z4" s="64" t="s">
        <v>11</v>
      </c>
      <c r="AA4" s="64" t="s">
        <v>12</v>
      </c>
      <c r="AB4" s="64" t="s">
        <v>13</v>
      </c>
    </row>
    <row r="5" spans="2:38" s="31" customFormat="1"/>
    <row r="6" spans="2:38" s="31" customFormat="1"/>
    <row r="7" spans="2:38" ht="12.75" customHeight="1">
      <c r="B7" s="213" t="s">
        <v>35</v>
      </c>
      <c r="F7" s="32"/>
      <c r="G7" s="32"/>
      <c r="H7" s="33"/>
      <c r="I7" s="33"/>
      <c r="J7" s="33"/>
      <c r="K7" s="33"/>
      <c r="L7" s="33"/>
      <c r="M7" s="33"/>
      <c r="AC7" s="33"/>
      <c r="AD7" s="33"/>
      <c r="AE7" s="33"/>
      <c r="AF7" s="33"/>
      <c r="AG7" s="33"/>
      <c r="AH7" s="33"/>
      <c r="AI7" s="33"/>
      <c r="AJ7" s="33"/>
      <c r="AK7" s="33"/>
      <c r="AL7" s="33"/>
    </row>
    <row r="8" spans="2:38">
      <c r="B8" s="213"/>
      <c r="F8" s="32"/>
      <c r="G8" s="32"/>
      <c r="H8" s="33"/>
      <c r="I8" s="33"/>
      <c r="J8" s="33"/>
      <c r="K8" s="33"/>
      <c r="L8" s="33"/>
      <c r="M8" s="33"/>
      <c r="AC8" s="33"/>
      <c r="AD8" s="33"/>
      <c r="AE8" s="33"/>
      <c r="AF8" s="33"/>
      <c r="AG8" s="33"/>
      <c r="AH8" s="33"/>
      <c r="AI8" s="33"/>
      <c r="AJ8" s="33"/>
      <c r="AK8" s="33"/>
      <c r="AL8" s="33"/>
    </row>
    <row r="9" spans="2:38">
      <c r="B9" s="47" t="s">
        <v>43</v>
      </c>
      <c r="F9" s="32"/>
      <c r="G9" s="32"/>
    </row>
    <row r="10" spans="2:38">
      <c r="B10" s="213"/>
      <c r="F10" s="32"/>
      <c r="G10" s="32"/>
    </row>
    <row r="11" spans="2:38">
      <c r="B11" s="213"/>
      <c r="F11" s="32"/>
      <c r="G11" s="32"/>
    </row>
    <row r="12" spans="2:38" s="31" customFormat="1">
      <c r="B12" s="213"/>
      <c r="F12" s="32"/>
      <c r="G12" s="32"/>
    </row>
    <row r="13" spans="2:38">
      <c r="B13" s="213"/>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S32" sqref="S32"/>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31</v>
      </c>
    </row>
    <row r="2" spans="2:37">
      <c r="L2" s="18" t="str">
        <f>Indice!E3</f>
        <v>Mayo 2025</v>
      </c>
    </row>
    <row r="4" spans="2:37">
      <c r="B4" s="19" t="s">
        <v>30</v>
      </c>
      <c r="O4" s="64" t="s">
        <v>9</v>
      </c>
      <c r="P4" s="64" t="s">
        <v>13</v>
      </c>
      <c r="Q4" s="64" t="s">
        <v>5</v>
      </c>
      <c r="R4" s="64" t="s">
        <v>6</v>
      </c>
      <c r="S4" s="64" t="s">
        <v>7</v>
      </c>
      <c r="T4" s="64" t="s">
        <v>8</v>
      </c>
      <c r="U4" s="64" t="s">
        <v>7</v>
      </c>
      <c r="V4" s="64" t="s">
        <v>9</v>
      </c>
      <c r="W4" s="64" t="s">
        <v>9</v>
      </c>
      <c r="X4" s="64" t="s">
        <v>8</v>
      </c>
      <c r="Y4" s="64" t="s">
        <v>10</v>
      </c>
      <c r="Z4" s="64" t="s">
        <v>11</v>
      </c>
      <c r="AA4" s="64" t="s">
        <v>12</v>
      </c>
    </row>
    <row r="5" spans="2:37" s="31" customFormat="1"/>
    <row r="6" spans="2:37" s="31" customFormat="1"/>
    <row r="7" spans="2:37" ht="12.75" customHeight="1">
      <c r="B7" s="213" t="s">
        <v>227</v>
      </c>
      <c r="F7" s="32"/>
      <c r="G7" s="32"/>
      <c r="H7" s="33"/>
      <c r="I7" s="33"/>
      <c r="J7" s="33"/>
      <c r="K7" s="33"/>
      <c r="L7" s="33"/>
      <c r="M7" s="33"/>
      <c r="AB7" s="33"/>
      <c r="AC7" s="33"/>
      <c r="AD7" s="33"/>
      <c r="AE7" s="33"/>
      <c r="AF7" s="33"/>
      <c r="AG7" s="33"/>
      <c r="AH7" s="33"/>
      <c r="AI7" s="33"/>
      <c r="AJ7" s="33"/>
      <c r="AK7" s="33"/>
    </row>
    <row r="8" spans="2:37">
      <c r="B8" s="213"/>
      <c r="F8" s="32"/>
      <c r="G8" s="32"/>
      <c r="H8" s="33"/>
      <c r="I8" s="33"/>
      <c r="J8" s="33"/>
      <c r="K8" s="33"/>
      <c r="L8" s="33"/>
      <c r="M8" s="33"/>
      <c r="AB8" s="33"/>
      <c r="AC8" s="33"/>
      <c r="AD8" s="33"/>
      <c r="AE8" s="33"/>
      <c r="AF8" s="33"/>
      <c r="AG8" s="33"/>
      <c r="AH8" s="33"/>
      <c r="AI8" s="33"/>
      <c r="AJ8" s="33"/>
      <c r="AK8" s="33"/>
    </row>
    <row r="9" spans="2:37">
      <c r="B9" s="47" t="s">
        <v>131</v>
      </c>
      <c r="F9" s="32"/>
      <c r="G9" s="32"/>
    </row>
    <row r="10" spans="2:37">
      <c r="B10" s="213"/>
      <c r="F10" s="32"/>
      <c r="G10" s="32"/>
    </row>
    <row r="11" spans="2:37" s="31" customFormat="1">
      <c r="B11" s="213"/>
      <c r="F11" s="32"/>
      <c r="G11" s="32"/>
    </row>
    <row r="12" spans="2:37">
      <c r="B12" s="213"/>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U15" sqref="U15"/>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31</v>
      </c>
    </row>
    <row r="2" spans="2:37">
      <c r="L2" s="18" t="str">
        <f>Indice!E3</f>
        <v>Mayo 2025</v>
      </c>
    </row>
    <row r="4" spans="2:37">
      <c r="B4" s="19" t="s">
        <v>30</v>
      </c>
      <c r="O4" s="64" t="s">
        <v>13</v>
      </c>
      <c r="P4" s="64" t="s">
        <v>5</v>
      </c>
      <c r="Q4" s="64" t="s">
        <v>6</v>
      </c>
      <c r="R4" s="64" t="s">
        <v>7</v>
      </c>
      <c r="S4" s="64" t="s">
        <v>8</v>
      </c>
      <c r="T4" s="64" t="s">
        <v>7</v>
      </c>
      <c r="U4" s="64" t="s">
        <v>9</v>
      </c>
      <c r="V4" s="64" t="s">
        <v>9</v>
      </c>
      <c r="W4" s="64" t="s">
        <v>8</v>
      </c>
      <c r="X4" s="64" t="s">
        <v>10</v>
      </c>
      <c r="Y4" s="64" t="s">
        <v>11</v>
      </c>
      <c r="Z4" s="64" t="s">
        <v>12</v>
      </c>
      <c r="AA4" s="64" t="s">
        <v>13</v>
      </c>
    </row>
    <row r="5" spans="2:37" s="31" customFormat="1"/>
    <row r="6" spans="2:37" s="31" customFormat="1"/>
    <row r="7" spans="2:37" ht="12.75" customHeight="1">
      <c r="B7" s="213" t="s">
        <v>64</v>
      </c>
      <c r="F7" s="32"/>
      <c r="G7" s="32"/>
      <c r="H7" s="33"/>
      <c r="I7" s="33"/>
      <c r="J7" s="33"/>
      <c r="K7" s="33"/>
      <c r="L7" s="33"/>
      <c r="M7" s="33"/>
      <c r="AB7" s="33"/>
      <c r="AC7" s="33"/>
      <c r="AD7" s="33"/>
      <c r="AE7" s="33"/>
      <c r="AF7" s="33"/>
      <c r="AG7" s="33"/>
      <c r="AH7" s="33"/>
      <c r="AI7" s="33"/>
      <c r="AJ7" s="33"/>
      <c r="AK7" s="33"/>
    </row>
    <row r="8" spans="2:37">
      <c r="B8" s="213"/>
      <c r="F8" s="32"/>
      <c r="G8" s="32"/>
      <c r="H8" s="33"/>
      <c r="I8" s="33"/>
      <c r="J8" s="33"/>
      <c r="K8" s="33"/>
      <c r="L8" s="33"/>
      <c r="M8" s="33"/>
      <c r="AB8" s="33"/>
      <c r="AC8" s="33"/>
      <c r="AD8" s="33"/>
      <c r="AE8" s="33"/>
      <c r="AF8" s="33"/>
      <c r="AG8" s="33"/>
      <c r="AH8" s="33"/>
      <c r="AI8" s="33"/>
      <c r="AJ8" s="33"/>
      <c r="AK8" s="33"/>
    </row>
    <row r="9" spans="2:37">
      <c r="B9" s="47" t="s">
        <v>43</v>
      </c>
      <c r="F9" s="32"/>
      <c r="G9" s="32"/>
    </row>
    <row r="10" spans="2:37">
      <c r="B10" s="213"/>
      <c r="F10" s="32"/>
      <c r="G10" s="32"/>
    </row>
    <row r="11" spans="2:37" s="31" customFormat="1">
      <c r="B11" s="213"/>
      <c r="F11" s="32"/>
      <c r="G11" s="32"/>
    </row>
    <row r="12" spans="2:37">
      <c r="B12" s="213"/>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69"/>
    </row>
    <row r="21" spans="6:14">
      <c r="F21" s="32"/>
      <c r="G21" s="32"/>
      <c r="N21" s="68"/>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A4" zoomScale="89" zoomScaleNormal="89" workbookViewId="0">
      <selection activeCell="S32" sqref="S3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Mayo 2025</v>
      </c>
    </row>
    <row r="4" spans="2:38">
      <c r="B4" s="19" t="s">
        <v>30</v>
      </c>
      <c r="P4" s="64" t="s">
        <v>9</v>
      </c>
      <c r="Q4" s="64" t="s">
        <v>8</v>
      </c>
      <c r="R4" s="64" t="s">
        <v>10</v>
      </c>
      <c r="S4" s="64" t="s">
        <v>11</v>
      </c>
      <c r="T4" s="64" t="s">
        <v>12</v>
      </c>
      <c r="U4" s="64" t="s">
        <v>13</v>
      </c>
      <c r="V4" s="64" t="s">
        <v>5</v>
      </c>
      <c r="W4" s="64" t="s">
        <v>6</v>
      </c>
      <c r="X4" s="64" t="s">
        <v>7</v>
      </c>
      <c r="Y4" s="64" t="s">
        <v>8</v>
      </c>
      <c r="Z4" s="64" t="s">
        <v>7</v>
      </c>
      <c r="AA4" s="64" t="s">
        <v>9</v>
      </c>
      <c r="AB4" s="64"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43</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13"/>
      <c r="F10" s="32"/>
      <c r="G10" s="32"/>
    </row>
    <row r="11" spans="2:38" s="31" customFormat="1" ht="12.75" customHeight="1">
      <c r="B11" s="213"/>
      <c r="F11" s="32"/>
      <c r="G11" s="32"/>
    </row>
    <row r="12" spans="2:38" ht="12.75" customHeight="1">
      <c r="B12" s="21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topLeftCell="A4" zoomScale="85" zoomScaleNormal="85" workbookViewId="0">
      <selection activeCell="S32" sqref="S3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Mayo 2025</v>
      </c>
    </row>
    <row r="4" spans="2:38">
      <c r="B4" s="19" t="s">
        <v>30</v>
      </c>
      <c r="P4" s="64" t="s">
        <v>9</v>
      </c>
      <c r="Q4" s="64" t="s">
        <v>8</v>
      </c>
      <c r="R4" s="64" t="s">
        <v>10</v>
      </c>
      <c r="S4" s="64" t="s">
        <v>11</v>
      </c>
      <c r="T4" s="64" t="s">
        <v>12</v>
      </c>
      <c r="U4" s="64" t="s">
        <v>13</v>
      </c>
      <c r="V4" s="64" t="s">
        <v>5</v>
      </c>
      <c r="W4" s="64" t="s">
        <v>6</v>
      </c>
      <c r="X4" s="64" t="s">
        <v>7</v>
      </c>
      <c r="Y4" s="64" t="s">
        <v>8</v>
      </c>
      <c r="Z4" s="64" t="s">
        <v>7</v>
      </c>
      <c r="AA4" s="64" t="s">
        <v>9</v>
      </c>
      <c r="AB4" s="64" t="s">
        <v>9</v>
      </c>
    </row>
    <row r="5" spans="2:38" s="31" customFormat="1"/>
    <row r="6" spans="2:38" s="31" customFormat="1"/>
    <row r="7" spans="2:38" ht="12.75" customHeight="1">
      <c r="B7" s="213" t="s">
        <v>146</v>
      </c>
      <c r="F7" s="32"/>
      <c r="G7" s="32"/>
      <c r="H7" s="33"/>
      <c r="I7" s="33"/>
      <c r="J7" s="33"/>
      <c r="K7" s="33"/>
      <c r="L7" s="33"/>
      <c r="M7" s="33"/>
      <c r="AC7" s="33"/>
      <c r="AD7" s="33"/>
      <c r="AE7" s="33"/>
      <c r="AF7" s="33"/>
      <c r="AG7" s="33"/>
      <c r="AH7" s="33"/>
      <c r="AI7" s="33"/>
      <c r="AJ7" s="33"/>
      <c r="AK7" s="33"/>
      <c r="AL7" s="33"/>
    </row>
    <row r="8" spans="2:38">
      <c r="B8" s="213"/>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13"/>
      <c r="F10" s="32"/>
      <c r="G10" s="32"/>
    </row>
    <row r="11" spans="2:38" s="31" customFormat="1" ht="12.75" customHeight="1">
      <c r="B11" s="213"/>
      <c r="F11" s="32"/>
      <c r="G11" s="32"/>
    </row>
    <row r="12" spans="2:38" ht="12.75" customHeight="1">
      <c r="B12" s="21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5"/>
      <c r="O35" s="65"/>
      <c r="P35" s="66"/>
      <c r="Q35" s="66"/>
      <c r="R35" s="66"/>
      <c r="S35" s="66"/>
      <c r="T35" s="66"/>
      <c r="U35" s="66"/>
      <c r="V35" s="66"/>
      <c r="W35" s="66"/>
      <c r="X35" s="66"/>
      <c r="Y35" s="66"/>
      <c r="Z35" s="66"/>
      <c r="AA35" s="66"/>
      <c r="AB35" s="66"/>
    </row>
    <row r="36" spans="1:28" ht="12.75" customHeight="1">
      <c r="N36" s="65"/>
    </row>
    <row r="37" spans="1:28" ht="15">
      <c r="N37" s="65"/>
      <c r="Z37" s="65"/>
      <c r="AA37" s="65"/>
      <c r="AB37" s="72"/>
    </row>
    <row r="38" spans="1:28" s="20" customFormat="1" ht="15">
      <c r="A38" s="28"/>
      <c r="B38" s="28"/>
      <c r="N38" s="65"/>
      <c r="O38" s="28"/>
      <c r="P38" s="28"/>
      <c r="Q38" s="28"/>
      <c r="R38" s="28"/>
      <c r="S38" s="28"/>
      <c r="T38" s="28"/>
      <c r="U38" s="28"/>
      <c r="V38" s="28"/>
      <c r="W38" s="28"/>
      <c r="X38" s="28"/>
      <c r="Y38" s="28"/>
      <c r="Z38" s="65"/>
      <c r="AA38" s="65"/>
      <c r="AB38" s="70"/>
    </row>
    <row r="39" spans="1:28" s="20" customFormat="1" ht="15">
      <c r="A39" s="28"/>
      <c r="B39" s="28"/>
      <c r="N39" s="65"/>
      <c r="O39" s="28"/>
      <c r="P39" s="28"/>
      <c r="Q39" s="28"/>
      <c r="R39" s="28"/>
      <c r="S39" s="28"/>
      <c r="T39" s="28"/>
      <c r="U39" s="28"/>
      <c r="V39" s="28"/>
      <c r="W39" s="28"/>
      <c r="X39" s="28"/>
      <c r="Y39" s="28"/>
      <c r="Z39" s="65"/>
      <c r="AA39" s="65"/>
      <c r="AB39" s="70"/>
    </row>
    <row r="40" spans="1:28" s="20" customFormat="1" ht="15">
      <c r="A40" s="28"/>
      <c r="B40" s="28"/>
      <c r="N40" s="65"/>
      <c r="O40" s="28"/>
      <c r="P40" s="28"/>
      <c r="Q40" s="28"/>
      <c r="R40" s="28"/>
      <c r="S40" s="28"/>
      <c r="T40" s="28"/>
      <c r="U40" s="28"/>
      <c r="V40" s="28"/>
      <c r="W40" s="28"/>
      <c r="X40" s="28"/>
      <c r="Y40" s="28"/>
      <c r="Z40" s="65"/>
      <c r="AA40" s="65"/>
      <c r="AB40" s="70"/>
    </row>
    <row r="41" spans="1:28" ht="14.85" customHeight="1">
      <c r="C41" s="216" t="s">
        <v>150</v>
      </c>
      <c r="D41" s="216"/>
      <c r="E41" s="216"/>
      <c r="F41" s="216"/>
      <c r="G41" s="216"/>
      <c r="H41" s="216"/>
      <c r="I41" s="216"/>
      <c r="J41" s="216"/>
      <c r="K41" s="216"/>
      <c r="L41" s="216"/>
      <c r="N41" s="65"/>
      <c r="Z41" s="65"/>
      <c r="AA41" s="65"/>
      <c r="AB41" s="70"/>
    </row>
    <row r="42" spans="1:28" ht="15">
      <c r="C42" s="216"/>
      <c r="D42" s="216"/>
      <c r="E42" s="216"/>
      <c r="F42" s="216"/>
      <c r="G42" s="216"/>
      <c r="H42" s="216"/>
      <c r="I42" s="216"/>
      <c r="J42" s="216"/>
      <c r="K42" s="216"/>
      <c r="L42" s="216"/>
      <c r="N42" s="65"/>
      <c r="Z42" s="65"/>
      <c r="AA42" s="65"/>
      <c r="AB42" s="70"/>
    </row>
    <row r="43" spans="1:28" ht="15">
      <c r="C43" s="135"/>
      <c r="D43" s="135"/>
      <c r="E43" s="135"/>
      <c r="F43" s="135"/>
      <c r="G43" s="135"/>
      <c r="H43" s="135"/>
      <c r="I43" s="135"/>
      <c r="J43" s="135"/>
      <c r="K43" s="135"/>
      <c r="L43" s="135"/>
      <c r="N43" s="65"/>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7" zoomScaleNormal="100" workbookViewId="0">
      <selection activeCell="S32" sqref="S32"/>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31</v>
      </c>
    </row>
    <row r="2" spans="2:37">
      <c r="L2" s="18" t="str">
        <f>Indice!E3</f>
        <v>Mayo 2025</v>
      </c>
    </row>
    <row r="4" spans="2:37">
      <c r="B4" s="19" t="s">
        <v>30</v>
      </c>
      <c r="O4" s="64" t="s">
        <v>6</v>
      </c>
      <c r="P4" s="64" t="s">
        <v>7</v>
      </c>
      <c r="Q4" s="64" t="s">
        <v>8</v>
      </c>
      <c r="R4" s="64" t="s">
        <v>7</v>
      </c>
      <c r="S4" s="64" t="s">
        <v>9</v>
      </c>
      <c r="T4" s="64" t="s">
        <v>9</v>
      </c>
      <c r="U4" s="64" t="s">
        <v>8</v>
      </c>
      <c r="V4" s="64" t="s">
        <v>10</v>
      </c>
      <c r="W4" s="64" t="s">
        <v>11</v>
      </c>
      <c r="X4" s="64" t="s">
        <v>12</v>
      </c>
      <c r="Y4" s="64" t="s">
        <v>13</v>
      </c>
      <c r="Z4" s="64" t="s">
        <v>5</v>
      </c>
      <c r="AA4" s="64" t="s">
        <v>6</v>
      </c>
    </row>
    <row r="5" spans="2:37" s="31" customFormat="1"/>
    <row r="6" spans="2:37" s="31" customFormat="1"/>
    <row r="7" spans="2:37" ht="12.75" customHeight="1">
      <c r="B7" s="213" t="s">
        <v>147</v>
      </c>
      <c r="F7" s="32"/>
      <c r="G7" s="32"/>
      <c r="H7" s="33"/>
      <c r="I7" s="33"/>
      <c r="J7" s="33"/>
      <c r="K7" s="33"/>
      <c r="L7" s="33"/>
      <c r="M7" s="33"/>
      <c r="AB7" s="33"/>
      <c r="AC7" s="33"/>
      <c r="AD7" s="33"/>
      <c r="AE7" s="33"/>
      <c r="AF7" s="33"/>
      <c r="AG7" s="33"/>
      <c r="AH7" s="33"/>
      <c r="AI7" s="33"/>
      <c r="AJ7" s="33"/>
      <c r="AK7" s="33"/>
    </row>
    <row r="8" spans="2:37">
      <c r="B8" s="213"/>
      <c r="F8" s="32"/>
      <c r="G8" s="32"/>
      <c r="H8" s="33"/>
      <c r="I8" s="33"/>
      <c r="J8" s="33"/>
      <c r="K8" s="33"/>
      <c r="L8" s="33"/>
      <c r="M8" s="33"/>
      <c r="AB8" s="33"/>
      <c r="AC8" s="33"/>
      <c r="AD8" s="33"/>
      <c r="AE8" s="33"/>
      <c r="AF8" s="33"/>
      <c r="AG8" s="33"/>
      <c r="AH8" s="33"/>
      <c r="AI8" s="33"/>
      <c r="AJ8" s="33"/>
      <c r="AK8" s="33"/>
    </row>
    <row r="9" spans="2:37">
      <c r="B9" s="213"/>
      <c r="F9" s="32"/>
      <c r="G9" s="32"/>
    </row>
    <row r="10" spans="2:37" ht="16.5" customHeight="1">
      <c r="B10" s="213"/>
      <c r="F10" s="32"/>
      <c r="G10" s="32"/>
    </row>
    <row r="11" spans="2:37" s="31" customFormat="1">
      <c r="B11" s="47" t="s">
        <v>145</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3"/>
      <c r="P25" s="63"/>
      <c r="Q25" s="63"/>
      <c r="R25" s="63"/>
      <c r="S25" s="63"/>
      <c r="T25" s="63"/>
      <c r="U25" s="63"/>
      <c r="V25" s="63"/>
      <c r="W25" s="63"/>
      <c r="X25" s="63"/>
      <c r="Y25" s="63"/>
      <c r="Z25" s="63"/>
      <c r="AA25" s="63"/>
    </row>
    <row r="26" spans="6:27">
      <c r="F26" s="32"/>
      <c r="G26" s="32"/>
    </row>
    <row r="27" spans="6:27">
      <c r="F27" s="32"/>
      <c r="G27" s="32"/>
    </row>
    <row r="28" spans="6:27">
      <c r="F28" s="32"/>
      <c r="G28" s="32"/>
      <c r="P28" s="67"/>
    </row>
    <row r="29" spans="6:27">
      <c r="F29" s="32"/>
      <c r="G29" s="32"/>
      <c r="P29" s="67"/>
    </row>
    <row r="30" spans="6:27">
      <c r="F30" s="32"/>
      <c r="G30" s="32"/>
      <c r="P30" s="67"/>
    </row>
    <row r="31" spans="6:27">
      <c r="F31" s="32"/>
      <c r="G31" s="32"/>
      <c r="P31" s="67"/>
    </row>
    <row r="32" spans="6:27">
      <c r="F32" s="32"/>
      <c r="G32" s="32"/>
      <c r="P32" s="67"/>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S32" sqref="S32"/>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31</v>
      </c>
    </row>
    <row r="2" spans="2:38">
      <c r="L2" s="18" t="str">
        <f>Indice!E3</f>
        <v>Mayo 2025</v>
      </c>
    </row>
    <row r="4" spans="2:38">
      <c r="B4" s="19" t="s">
        <v>30</v>
      </c>
      <c r="P4" s="64"/>
      <c r="Q4" s="64"/>
      <c r="R4" s="64"/>
      <c r="S4" s="64"/>
      <c r="T4" s="64"/>
      <c r="U4" s="64"/>
      <c r="V4" s="64"/>
      <c r="W4" s="64"/>
      <c r="X4" s="64"/>
      <c r="Y4" s="64"/>
      <c r="Z4" s="64"/>
      <c r="AA4" s="64"/>
    </row>
    <row r="5" spans="2:38" s="31" customFormat="1"/>
    <row r="6" spans="2:38" s="31" customFormat="1"/>
    <row r="7" spans="2:38" ht="12.75" customHeight="1">
      <c r="B7" s="213" t="s">
        <v>24</v>
      </c>
      <c r="F7" s="32"/>
      <c r="G7" s="32"/>
      <c r="H7" s="33"/>
      <c r="I7" s="33"/>
      <c r="J7" s="33"/>
      <c r="K7" s="33"/>
      <c r="L7" s="33"/>
      <c r="M7" s="33"/>
      <c r="AC7" s="33"/>
      <c r="AD7" s="33"/>
      <c r="AE7" s="33"/>
      <c r="AF7" s="33"/>
      <c r="AG7" s="33"/>
      <c r="AH7" s="33"/>
      <c r="AI7" s="33"/>
      <c r="AJ7" s="33"/>
      <c r="AK7" s="33"/>
      <c r="AL7" s="33"/>
    </row>
    <row r="8" spans="2:38">
      <c r="B8" s="213"/>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13"/>
      <c r="F10" s="32"/>
      <c r="G10" s="32"/>
    </row>
    <row r="11" spans="2:38" s="31" customFormat="1" ht="12.75" customHeight="1">
      <c r="B11" s="213"/>
      <c r="F11" s="32"/>
      <c r="G11" s="32"/>
    </row>
    <row r="12" spans="2:38" ht="12.75" customHeight="1">
      <c r="B12" s="213"/>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5"/>
      <c r="AA48" s="65"/>
      <c r="AB48" s="70"/>
    </row>
    <row r="49" spans="10:28" ht="15">
      <c r="Z49" s="65"/>
      <c r="AA49" s="65"/>
      <c r="AB49" s="70"/>
    </row>
    <row r="50" spans="10:28" ht="15">
      <c r="Z50" s="65"/>
      <c r="AA50" s="65"/>
      <c r="AB50" s="70"/>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A36" zoomScale="93" zoomScaleNormal="93" workbookViewId="0">
      <selection activeCell="P66" sqref="P66"/>
    </sheetView>
  </sheetViews>
  <sheetFormatPr baseColWidth="10" defaultColWidth="16.28515625" defaultRowHeight="12.75"/>
  <cols>
    <col min="1" max="15" width="15.5703125" customWidth="1"/>
    <col min="16" max="16" width="9" bestFit="1" customWidth="1"/>
    <col min="17" max="19" width="5.42578125" bestFit="1" customWidth="1"/>
    <col min="20" max="21" width="4.85546875" bestFit="1" customWidth="1"/>
    <col min="22" max="25" width="5.7109375" bestFit="1" customWidth="1"/>
    <col min="26" max="26" width="6.85546875" bestFit="1" customWidth="1"/>
    <col min="27" max="27" width="7.140625" bestFit="1" customWidth="1"/>
    <col min="28" max="28" width="8.7109375" bestFit="1" customWidth="1"/>
  </cols>
  <sheetData>
    <row r="1" spans="1:43" ht="14.25">
      <c r="A1" s="116" t="s">
        <v>123</v>
      </c>
    </row>
    <row r="2" spans="1:43" ht="14.25">
      <c r="A2" s="120" t="str">
        <f>MID(B5,6,LEN(B5))&amp;" "&amp;MID(B5,1,4)</f>
        <v>Mayo 2025</v>
      </c>
      <c r="D2" s="63"/>
    </row>
    <row r="4" spans="1:43">
      <c r="A4" s="125" t="s">
        <v>27</v>
      </c>
      <c r="B4" s="219" t="s">
        <v>88</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row>
    <row r="5" spans="1:43">
      <c r="A5" s="125" t="s">
        <v>87</v>
      </c>
      <c r="B5" s="236" t="s">
        <v>283</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row>
    <row r="6" spans="1:43">
      <c r="A6" s="125" t="s">
        <v>115</v>
      </c>
      <c r="B6" s="147" t="s">
        <v>91</v>
      </c>
      <c r="C6" s="147" t="s">
        <v>92</v>
      </c>
      <c r="D6" s="147" t="s">
        <v>93</v>
      </c>
      <c r="E6" s="147" t="s">
        <v>94</v>
      </c>
      <c r="F6" s="147" t="s">
        <v>95</v>
      </c>
      <c r="G6" s="147" t="s">
        <v>96</v>
      </c>
      <c r="H6" s="147" t="s">
        <v>97</v>
      </c>
      <c r="I6" s="147" t="s">
        <v>98</v>
      </c>
      <c r="J6" s="147" t="s">
        <v>99</v>
      </c>
      <c r="K6" s="147" t="s">
        <v>100</v>
      </c>
      <c r="L6" s="147" t="s">
        <v>101</v>
      </c>
      <c r="M6" s="147" t="s">
        <v>102</v>
      </c>
      <c r="N6" s="147" t="s">
        <v>103</v>
      </c>
      <c r="O6" s="147" t="s">
        <v>104</v>
      </c>
      <c r="P6" s="147" t="s">
        <v>105</v>
      </c>
      <c r="Q6" s="147" t="s">
        <v>106</v>
      </c>
      <c r="R6" s="147" t="s">
        <v>107</v>
      </c>
      <c r="S6" s="147" t="s">
        <v>108</v>
      </c>
      <c r="T6" s="147" t="s">
        <v>109</v>
      </c>
      <c r="U6" s="147" t="s">
        <v>110</v>
      </c>
      <c r="V6" s="147" t="s">
        <v>111</v>
      </c>
      <c r="W6" s="147" t="s">
        <v>112</v>
      </c>
      <c r="X6" s="147" t="s">
        <v>113</v>
      </c>
      <c r="Y6" s="147" t="s">
        <v>114</v>
      </c>
      <c r="Z6" s="198">
        <v>25</v>
      </c>
      <c r="AA6" s="198" t="s">
        <v>89</v>
      </c>
      <c r="AB6" s="198" t="s">
        <v>90</v>
      </c>
      <c r="AC6" s="198" t="s">
        <v>191</v>
      </c>
    </row>
    <row r="7" spans="1:43">
      <c r="A7" s="125" t="s">
        <v>124</v>
      </c>
      <c r="B7" s="145"/>
      <c r="C7" s="145"/>
      <c r="D7" s="145"/>
      <c r="E7" s="145"/>
      <c r="F7" s="145"/>
      <c r="G7" s="145"/>
      <c r="H7" s="145"/>
      <c r="I7" s="145"/>
      <c r="J7" s="145"/>
      <c r="K7" s="145"/>
      <c r="L7" s="145"/>
      <c r="M7" s="145"/>
      <c r="N7" s="145"/>
      <c r="O7" s="145"/>
      <c r="P7" s="145"/>
      <c r="Q7" s="145"/>
      <c r="R7" s="145"/>
      <c r="S7" s="145"/>
      <c r="T7" s="145"/>
      <c r="U7" s="145"/>
      <c r="V7" s="145"/>
      <c r="W7" s="145"/>
      <c r="X7" s="145"/>
      <c r="Y7" s="145"/>
      <c r="Z7" s="199"/>
      <c r="AA7" s="199"/>
      <c r="AB7" s="199"/>
      <c r="AC7" s="199"/>
      <c r="AD7" t="s">
        <v>169</v>
      </c>
      <c r="AG7" t="s">
        <v>178</v>
      </c>
      <c r="AI7" t="s">
        <v>179</v>
      </c>
      <c r="AK7" t="s">
        <v>182</v>
      </c>
      <c r="AM7" t="s">
        <v>183</v>
      </c>
      <c r="AN7" t="s">
        <v>251</v>
      </c>
    </row>
    <row r="8" spans="1:43">
      <c r="A8" s="127" t="s">
        <v>252</v>
      </c>
      <c r="B8" s="192">
        <v>29.2</v>
      </c>
      <c r="C8" s="200">
        <v>22.66</v>
      </c>
      <c r="D8" s="200">
        <v>22.59</v>
      </c>
      <c r="E8" s="200">
        <v>23.22</v>
      </c>
      <c r="F8" s="200">
        <v>22.59</v>
      </c>
      <c r="G8" s="192">
        <v>27.2</v>
      </c>
      <c r="H8" s="192">
        <v>28.16</v>
      </c>
      <c r="I8" s="200">
        <v>23.02</v>
      </c>
      <c r="J8" s="200">
        <v>18.39</v>
      </c>
      <c r="K8" s="201">
        <v>0</v>
      </c>
      <c r="L8" s="200">
        <v>-3</v>
      </c>
      <c r="M8" s="200">
        <v>-6</v>
      </c>
      <c r="N8" s="200">
        <v>-7.02</v>
      </c>
      <c r="O8" s="200">
        <v>-7.81</v>
      </c>
      <c r="P8" s="200">
        <v>-7.81</v>
      </c>
      <c r="Q8" s="200">
        <v>-10</v>
      </c>
      <c r="R8" s="200">
        <v>-5.17</v>
      </c>
      <c r="S8" s="200">
        <v>-4</v>
      </c>
      <c r="T8" s="200">
        <v>-1.54</v>
      </c>
      <c r="U8" s="201">
        <v>0</v>
      </c>
      <c r="V8" s="192">
        <v>30</v>
      </c>
      <c r="W8" s="202">
        <v>55</v>
      </c>
      <c r="X8" s="192">
        <v>35.5</v>
      </c>
      <c r="Y8" s="192">
        <v>33.869999999999997</v>
      </c>
      <c r="Z8" s="203"/>
      <c r="AA8" s="203">
        <v>-10</v>
      </c>
      <c r="AB8" s="203">
        <v>55</v>
      </c>
      <c r="AC8" s="203">
        <v>14.0599516643</v>
      </c>
      <c r="AD8" s="163">
        <v>16.927526881720414</v>
      </c>
      <c r="AE8" s="176"/>
      <c r="AF8" s="174"/>
      <c r="AG8" s="170">
        <v>30.398602150537606</v>
      </c>
      <c r="AI8" s="174">
        <f>AD8/AG8-1</f>
        <v>-0.44314785272384483</v>
      </c>
      <c r="AK8" s="170">
        <v>26.809138888888892</v>
      </c>
      <c r="AM8" s="174">
        <f>AD8/AK8-1</f>
        <v>-0.36859117512587969</v>
      </c>
      <c r="AN8" s="63">
        <f>AB8-AA8</f>
        <v>65</v>
      </c>
      <c r="AQ8" s="122">
        <v>1</v>
      </c>
    </row>
    <row r="9" spans="1:43">
      <c r="A9" s="127" t="s">
        <v>253</v>
      </c>
      <c r="B9" s="200">
        <v>13.04</v>
      </c>
      <c r="C9" s="200">
        <v>5.1100000000000003</v>
      </c>
      <c r="D9" s="200">
        <v>2.8</v>
      </c>
      <c r="E9" s="200">
        <v>2.5</v>
      </c>
      <c r="F9" s="200">
        <v>2.5</v>
      </c>
      <c r="G9" s="200">
        <v>3.17</v>
      </c>
      <c r="H9" s="200">
        <v>7.96</v>
      </c>
      <c r="I9" s="200">
        <v>7.96</v>
      </c>
      <c r="J9" s="200">
        <v>14</v>
      </c>
      <c r="K9" s="200">
        <v>12.41</v>
      </c>
      <c r="L9" s="200">
        <v>0.85</v>
      </c>
      <c r="M9" s="200">
        <v>-0.01</v>
      </c>
      <c r="N9" s="200">
        <v>-0.99</v>
      </c>
      <c r="O9" s="200">
        <v>-3</v>
      </c>
      <c r="P9" s="200">
        <v>-4</v>
      </c>
      <c r="Q9" s="200">
        <v>-4</v>
      </c>
      <c r="R9" s="200">
        <v>-4</v>
      </c>
      <c r="S9" s="200">
        <v>-2</v>
      </c>
      <c r="T9" s="201">
        <v>0</v>
      </c>
      <c r="U9" s="200">
        <v>13.04</v>
      </c>
      <c r="V9" s="192">
        <v>35.01</v>
      </c>
      <c r="W9" s="202">
        <v>67.05</v>
      </c>
      <c r="X9" s="202">
        <v>52.05</v>
      </c>
      <c r="Y9" s="192">
        <v>41.05</v>
      </c>
      <c r="Z9" s="203"/>
      <c r="AA9" s="203">
        <v>-4</v>
      </c>
      <c r="AB9" s="203">
        <v>67.05</v>
      </c>
      <c r="AC9" s="203">
        <v>11.005846951300001</v>
      </c>
      <c r="AD9" s="63"/>
      <c r="AN9" s="63">
        <f t="shared" ref="AN9:AN37" si="0">AB9-AA9</f>
        <v>71.05</v>
      </c>
      <c r="AQ9" s="122">
        <v>2</v>
      </c>
    </row>
    <row r="10" spans="1:43">
      <c r="A10" s="127" t="s">
        <v>254</v>
      </c>
      <c r="B10" s="192">
        <v>36.130000000000003</v>
      </c>
      <c r="C10" s="192">
        <v>26</v>
      </c>
      <c r="D10" s="200">
        <v>16.16</v>
      </c>
      <c r="E10" s="200">
        <v>13.89</v>
      </c>
      <c r="F10" s="200">
        <v>13.37</v>
      </c>
      <c r="G10" s="200">
        <v>15.17</v>
      </c>
      <c r="H10" s="200">
        <v>16.91</v>
      </c>
      <c r="I10" s="200">
        <v>14.13</v>
      </c>
      <c r="J10" s="200">
        <v>12.67</v>
      </c>
      <c r="K10" s="200">
        <v>5.7</v>
      </c>
      <c r="L10" s="201">
        <v>0</v>
      </c>
      <c r="M10" s="200">
        <v>-0.05</v>
      </c>
      <c r="N10" s="200">
        <v>-1.1599999999999999</v>
      </c>
      <c r="O10" s="200">
        <v>-3.04</v>
      </c>
      <c r="P10" s="200">
        <v>-2.69</v>
      </c>
      <c r="Q10" s="200">
        <v>-3</v>
      </c>
      <c r="R10" s="200">
        <v>-3</v>
      </c>
      <c r="S10" s="200">
        <v>-1</v>
      </c>
      <c r="T10" s="200">
        <v>2.2000000000000002</v>
      </c>
      <c r="U10" s="200">
        <v>19.010000000000002</v>
      </c>
      <c r="V10" s="192">
        <v>35.24</v>
      </c>
      <c r="W10" s="202">
        <v>63.8</v>
      </c>
      <c r="X10" s="202">
        <v>63.7</v>
      </c>
      <c r="Y10" s="202">
        <v>47.97</v>
      </c>
      <c r="Z10" s="203"/>
      <c r="AA10" s="203">
        <v>-3.04</v>
      </c>
      <c r="AB10" s="203">
        <v>63.8</v>
      </c>
      <c r="AC10" s="203">
        <v>15.240312661400001</v>
      </c>
      <c r="AN10" s="63">
        <f t="shared" si="0"/>
        <v>66.84</v>
      </c>
      <c r="AQ10" s="122">
        <v>3</v>
      </c>
    </row>
    <row r="11" spans="1:43">
      <c r="A11" s="127" t="s">
        <v>255</v>
      </c>
      <c r="B11" s="192">
        <v>36.130000000000003</v>
      </c>
      <c r="C11" s="192">
        <v>32.35</v>
      </c>
      <c r="D11" s="200">
        <v>24.01</v>
      </c>
      <c r="E11" s="200">
        <v>19.309999999999999</v>
      </c>
      <c r="F11" s="200">
        <v>16.54</v>
      </c>
      <c r="G11" s="200">
        <v>15.58</v>
      </c>
      <c r="H11" s="200">
        <v>13.62</v>
      </c>
      <c r="I11" s="200">
        <v>7.83</v>
      </c>
      <c r="J11" s="200">
        <v>3.5</v>
      </c>
      <c r="K11" s="201">
        <v>0</v>
      </c>
      <c r="L11" s="200">
        <v>-0.01</v>
      </c>
      <c r="M11" s="200">
        <v>-0.62</v>
      </c>
      <c r="N11" s="200">
        <v>-1.01</v>
      </c>
      <c r="O11" s="200">
        <v>-2</v>
      </c>
      <c r="P11" s="200">
        <v>-5.01</v>
      </c>
      <c r="Q11" s="200">
        <v>-4</v>
      </c>
      <c r="R11" s="200">
        <v>-4.99</v>
      </c>
      <c r="S11" s="200">
        <v>-4</v>
      </c>
      <c r="T11" s="200">
        <v>-0.05</v>
      </c>
      <c r="U11" s="200">
        <v>3.52</v>
      </c>
      <c r="V11" s="200">
        <v>19.739999999999998</v>
      </c>
      <c r="W11" s="192">
        <v>35</v>
      </c>
      <c r="X11" s="192">
        <v>35</v>
      </c>
      <c r="Y11" s="200">
        <v>23.51</v>
      </c>
      <c r="Z11" s="203"/>
      <c r="AA11" s="203">
        <v>-5.01</v>
      </c>
      <c r="AB11" s="203">
        <v>36.130000000000003</v>
      </c>
      <c r="AC11" s="203">
        <v>10.018274667</v>
      </c>
      <c r="AN11" s="63">
        <f t="shared" si="0"/>
        <v>41.14</v>
      </c>
      <c r="AQ11" s="122">
        <v>4</v>
      </c>
    </row>
    <row r="12" spans="1:43">
      <c r="A12" s="127" t="s">
        <v>256</v>
      </c>
      <c r="B12" s="192">
        <v>28.1</v>
      </c>
      <c r="C12" s="200">
        <v>20.37</v>
      </c>
      <c r="D12" s="200">
        <v>15.78</v>
      </c>
      <c r="E12" s="200">
        <v>12.2</v>
      </c>
      <c r="F12" s="200">
        <v>9.49</v>
      </c>
      <c r="G12" s="200">
        <v>14.94</v>
      </c>
      <c r="H12" s="200">
        <v>22.89</v>
      </c>
      <c r="I12" s="192">
        <v>35</v>
      </c>
      <c r="J12" s="192">
        <v>35</v>
      </c>
      <c r="K12" s="200">
        <v>16.3</v>
      </c>
      <c r="L12" s="200">
        <v>1</v>
      </c>
      <c r="M12" s="200">
        <v>-0.01</v>
      </c>
      <c r="N12" s="200">
        <v>-0.99</v>
      </c>
      <c r="O12" s="200">
        <v>-1.54</v>
      </c>
      <c r="P12" s="200">
        <v>-3</v>
      </c>
      <c r="Q12" s="200">
        <v>-4</v>
      </c>
      <c r="R12" s="200">
        <v>-4</v>
      </c>
      <c r="S12" s="200">
        <v>-4</v>
      </c>
      <c r="T12" s="200">
        <v>-0.99</v>
      </c>
      <c r="U12" s="201">
        <v>0</v>
      </c>
      <c r="V12" s="200">
        <v>10</v>
      </c>
      <c r="W12" s="192">
        <v>28.1</v>
      </c>
      <c r="X12" s="200">
        <v>18.559999999999999</v>
      </c>
      <c r="Y12" s="200">
        <v>12.2</v>
      </c>
      <c r="Z12" s="203"/>
      <c r="AA12" s="203">
        <v>-4</v>
      </c>
      <c r="AB12" s="203">
        <v>35</v>
      </c>
      <c r="AC12" s="203">
        <v>9.8209895196999994</v>
      </c>
      <c r="AN12" s="63">
        <f t="shared" si="0"/>
        <v>39</v>
      </c>
      <c r="AQ12" s="122">
        <v>5</v>
      </c>
    </row>
    <row r="13" spans="1:43">
      <c r="A13" s="127" t="s">
        <v>257</v>
      </c>
      <c r="B13" s="200">
        <v>5</v>
      </c>
      <c r="C13" s="200">
        <v>2.95</v>
      </c>
      <c r="D13" s="200">
        <v>3.52</v>
      </c>
      <c r="E13" s="200">
        <v>1.72</v>
      </c>
      <c r="F13" s="200">
        <v>1.97</v>
      </c>
      <c r="G13" s="200">
        <v>3.6</v>
      </c>
      <c r="H13" s="200">
        <v>16.5</v>
      </c>
      <c r="I13" s="192">
        <v>30.34</v>
      </c>
      <c r="J13" s="200">
        <v>13.72</v>
      </c>
      <c r="K13" s="200">
        <v>2.99</v>
      </c>
      <c r="L13" s="200">
        <v>-0.5</v>
      </c>
      <c r="M13" s="200">
        <v>-1.54</v>
      </c>
      <c r="N13" s="200">
        <v>-1.81</v>
      </c>
      <c r="O13" s="200">
        <v>-3</v>
      </c>
      <c r="P13" s="200">
        <v>-4</v>
      </c>
      <c r="Q13" s="200">
        <v>-4</v>
      </c>
      <c r="R13" s="200">
        <v>-4.21</v>
      </c>
      <c r="S13" s="200">
        <v>-3</v>
      </c>
      <c r="T13" s="200">
        <v>-0.99</v>
      </c>
      <c r="U13" s="200">
        <v>0.65</v>
      </c>
      <c r="V13" s="192">
        <v>39.99</v>
      </c>
      <c r="W13" s="202">
        <v>65.12</v>
      </c>
      <c r="X13" s="202">
        <v>48.23</v>
      </c>
      <c r="Y13" s="192">
        <v>32.549999999999997</v>
      </c>
      <c r="Z13" s="203"/>
      <c r="AA13" s="203">
        <v>-4.21</v>
      </c>
      <c r="AB13" s="203">
        <v>65.12</v>
      </c>
      <c r="AC13" s="203">
        <v>10.115055806799999</v>
      </c>
      <c r="AN13" s="63">
        <f t="shared" si="0"/>
        <v>69.33</v>
      </c>
      <c r="AQ13" s="122">
        <v>6</v>
      </c>
    </row>
    <row r="14" spans="1:43">
      <c r="A14" s="127" t="s">
        <v>258</v>
      </c>
      <c r="B14" s="200">
        <v>11.3</v>
      </c>
      <c r="C14" s="200">
        <v>6.99</v>
      </c>
      <c r="D14" s="200">
        <v>6</v>
      </c>
      <c r="E14" s="200">
        <v>5.0999999999999996</v>
      </c>
      <c r="F14" s="200">
        <v>9.1</v>
      </c>
      <c r="G14" s="200">
        <v>15.91</v>
      </c>
      <c r="H14" s="192">
        <v>32.4</v>
      </c>
      <c r="I14" s="202">
        <v>49.1</v>
      </c>
      <c r="J14" s="192">
        <v>43.23</v>
      </c>
      <c r="K14" s="200">
        <v>12.48</v>
      </c>
      <c r="L14" s="201">
        <v>0</v>
      </c>
      <c r="M14" s="201">
        <v>0</v>
      </c>
      <c r="N14" s="200">
        <v>-0.12</v>
      </c>
      <c r="O14" s="200">
        <v>-0.13</v>
      </c>
      <c r="P14" s="200">
        <v>-0.13</v>
      </c>
      <c r="Q14" s="200">
        <v>-0.62</v>
      </c>
      <c r="R14" s="200">
        <v>-0.4</v>
      </c>
      <c r="S14" s="201">
        <v>0</v>
      </c>
      <c r="T14" s="200">
        <v>3.52</v>
      </c>
      <c r="U14" s="192">
        <v>39.53</v>
      </c>
      <c r="V14" s="202">
        <v>50.4</v>
      </c>
      <c r="W14" s="202">
        <v>80</v>
      </c>
      <c r="X14" s="202">
        <v>57.1</v>
      </c>
      <c r="Y14" s="192">
        <v>35.4</v>
      </c>
      <c r="Z14" s="203"/>
      <c r="AA14" s="203">
        <v>-0.62</v>
      </c>
      <c r="AB14" s="203">
        <v>80</v>
      </c>
      <c r="AC14" s="203">
        <v>17.677663126700001</v>
      </c>
      <c r="AN14" s="63">
        <f t="shared" si="0"/>
        <v>80.62</v>
      </c>
      <c r="AQ14" s="122">
        <v>7</v>
      </c>
    </row>
    <row r="15" spans="1:43">
      <c r="A15" s="127" t="s">
        <v>259</v>
      </c>
      <c r="B15" s="200">
        <v>15.91</v>
      </c>
      <c r="C15" s="200">
        <v>15.78</v>
      </c>
      <c r="D15" s="200">
        <v>15.63</v>
      </c>
      <c r="E15" s="200">
        <v>3.55</v>
      </c>
      <c r="F15" s="200">
        <v>6.65</v>
      </c>
      <c r="G15" s="200">
        <v>15.02</v>
      </c>
      <c r="H15" s="192">
        <v>30.09</v>
      </c>
      <c r="I15" s="202">
        <v>45.29</v>
      </c>
      <c r="J15" s="192">
        <v>36</v>
      </c>
      <c r="K15" s="200">
        <v>7.26</v>
      </c>
      <c r="L15" s="200">
        <v>0.1</v>
      </c>
      <c r="M15" s="201">
        <v>0</v>
      </c>
      <c r="N15" s="201">
        <v>0</v>
      </c>
      <c r="O15" s="200">
        <v>-0.01</v>
      </c>
      <c r="P15" s="200">
        <v>-0.01</v>
      </c>
      <c r="Q15" s="200">
        <v>-0.01</v>
      </c>
      <c r="R15" s="200">
        <v>-0.02</v>
      </c>
      <c r="S15" s="200">
        <v>-0.01</v>
      </c>
      <c r="T15" s="200">
        <v>0.1</v>
      </c>
      <c r="U15" s="200">
        <v>16.04</v>
      </c>
      <c r="V15" s="192">
        <v>35.1</v>
      </c>
      <c r="W15" s="202">
        <v>79.59</v>
      </c>
      <c r="X15" s="202">
        <v>50</v>
      </c>
      <c r="Y15" s="192">
        <v>30.1</v>
      </c>
      <c r="Z15" s="203"/>
      <c r="AA15" s="203">
        <v>-0.02</v>
      </c>
      <c r="AB15" s="203">
        <v>79.59</v>
      </c>
      <c r="AC15" s="203">
        <v>14.9327732279</v>
      </c>
      <c r="AN15" s="63">
        <f t="shared" si="0"/>
        <v>79.61</v>
      </c>
      <c r="AQ15" s="122">
        <v>8</v>
      </c>
    </row>
    <row r="16" spans="1:43">
      <c r="A16" s="127" t="s">
        <v>260</v>
      </c>
      <c r="B16" s="200">
        <v>21.61</v>
      </c>
      <c r="C16" s="200">
        <v>12.15</v>
      </c>
      <c r="D16" s="200">
        <v>13</v>
      </c>
      <c r="E16" s="200">
        <v>9.58</v>
      </c>
      <c r="F16" s="200">
        <v>7.52</v>
      </c>
      <c r="G16" s="200">
        <v>11.13</v>
      </c>
      <c r="H16" s="192">
        <v>30.26</v>
      </c>
      <c r="I16" s="192">
        <v>39.369999999999997</v>
      </c>
      <c r="J16" s="192">
        <v>30.58</v>
      </c>
      <c r="K16" s="200">
        <v>12.86</v>
      </c>
      <c r="L16" s="200">
        <v>7.17</v>
      </c>
      <c r="M16" s="200">
        <v>0.22</v>
      </c>
      <c r="N16" s="201">
        <v>0</v>
      </c>
      <c r="O16" s="201">
        <v>0</v>
      </c>
      <c r="P16" s="200">
        <v>-0.01</v>
      </c>
      <c r="Q16" s="200">
        <v>-0.01</v>
      </c>
      <c r="R16" s="200">
        <v>-0.01</v>
      </c>
      <c r="S16" s="201">
        <v>0</v>
      </c>
      <c r="T16" s="200">
        <v>7.04</v>
      </c>
      <c r="U16" s="200">
        <v>15.63</v>
      </c>
      <c r="V16" s="192">
        <v>41.92</v>
      </c>
      <c r="W16" s="202">
        <v>80.27</v>
      </c>
      <c r="X16" s="202">
        <v>57.64</v>
      </c>
      <c r="Y16" s="192">
        <v>39.76</v>
      </c>
      <c r="Z16" s="203"/>
      <c r="AA16" s="203">
        <v>-0.01</v>
      </c>
      <c r="AB16" s="203">
        <v>80.27</v>
      </c>
      <c r="AC16" s="203">
        <v>16.503540645800001</v>
      </c>
      <c r="AN16" s="63">
        <f t="shared" si="0"/>
        <v>80.28</v>
      </c>
      <c r="AQ16" s="122">
        <v>9</v>
      </c>
    </row>
    <row r="17" spans="1:43">
      <c r="A17" s="127" t="s">
        <v>261</v>
      </c>
      <c r="B17" s="192">
        <v>29.22</v>
      </c>
      <c r="C17" s="200">
        <v>15.46</v>
      </c>
      <c r="D17" s="200">
        <v>13.52</v>
      </c>
      <c r="E17" s="200">
        <v>14.94</v>
      </c>
      <c r="F17" s="200">
        <v>11.12</v>
      </c>
      <c r="G17" s="200">
        <v>13.34</v>
      </c>
      <c r="H17" s="200">
        <v>16.100000000000001</v>
      </c>
      <c r="I17" s="200">
        <v>15.81</v>
      </c>
      <c r="J17" s="200">
        <v>10</v>
      </c>
      <c r="K17" s="200">
        <v>3.42</v>
      </c>
      <c r="L17" s="200">
        <v>-0.06</v>
      </c>
      <c r="M17" s="200">
        <v>-4</v>
      </c>
      <c r="N17" s="200">
        <v>-5.21</v>
      </c>
      <c r="O17" s="200">
        <v>-6.01</v>
      </c>
      <c r="P17" s="200">
        <v>-7.5</v>
      </c>
      <c r="Q17" s="200">
        <v>-10</v>
      </c>
      <c r="R17" s="200">
        <v>-5.8</v>
      </c>
      <c r="S17" s="200">
        <v>-1.2</v>
      </c>
      <c r="T17" s="200">
        <v>-0.01</v>
      </c>
      <c r="U17" s="200">
        <v>0.01</v>
      </c>
      <c r="V17" s="200">
        <v>21.02</v>
      </c>
      <c r="W17" s="192">
        <v>36.880000000000003</v>
      </c>
      <c r="X17" s="192">
        <v>31.46</v>
      </c>
      <c r="Y17" s="192">
        <v>25.37</v>
      </c>
      <c r="Z17" s="203"/>
      <c r="AA17" s="203">
        <v>-10</v>
      </c>
      <c r="AB17" s="203">
        <v>36.880000000000003</v>
      </c>
      <c r="AC17" s="203">
        <v>8.5505348230999996</v>
      </c>
      <c r="AN17" s="63">
        <f t="shared" si="0"/>
        <v>46.88</v>
      </c>
      <c r="AQ17" s="122">
        <v>10</v>
      </c>
    </row>
    <row r="18" spans="1:43">
      <c r="A18" s="127" t="s">
        <v>262</v>
      </c>
      <c r="B18" s="200">
        <v>8.7899999999999991</v>
      </c>
      <c r="C18" s="200">
        <v>6.12</v>
      </c>
      <c r="D18" s="200">
        <v>6.89</v>
      </c>
      <c r="E18" s="200">
        <v>3.96</v>
      </c>
      <c r="F18" s="200">
        <v>3.6</v>
      </c>
      <c r="G18" s="200">
        <v>4</v>
      </c>
      <c r="H18" s="200">
        <v>6</v>
      </c>
      <c r="I18" s="200">
        <v>5.88</v>
      </c>
      <c r="J18" s="200">
        <v>1.03</v>
      </c>
      <c r="K18" s="200">
        <v>-0.62</v>
      </c>
      <c r="L18" s="200">
        <v>-12</v>
      </c>
      <c r="M18" s="200">
        <v>-12</v>
      </c>
      <c r="N18" s="200">
        <v>-10.01</v>
      </c>
      <c r="O18" s="200">
        <v>-12</v>
      </c>
      <c r="P18" s="200">
        <v>-12</v>
      </c>
      <c r="Q18" s="200">
        <v>-14</v>
      </c>
      <c r="R18" s="200">
        <v>-15</v>
      </c>
      <c r="S18" s="200">
        <v>-7.5</v>
      </c>
      <c r="T18" s="200">
        <v>-3</v>
      </c>
      <c r="U18" s="201">
        <v>0</v>
      </c>
      <c r="V18" s="200">
        <v>4.5</v>
      </c>
      <c r="W18" s="192">
        <v>35.01</v>
      </c>
      <c r="X18" s="192">
        <v>35.01</v>
      </c>
      <c r="Y18" s="192">
        <v>30.28</v>
      </c>
      <c r="Z18" s="203"/>
      <c r="AA18" s="203">
        <v>-15</v>
      </c>
      <c r="AB18" s="203">
        <v>35.01</v>
      </c>
      <c r="AC18" s="203">
        <v>2.6690670781999999</v>
      </c>
      <c r="AN18" s="63">
        <f t="shared" si="0"/>
        <v>50.01</v>
      </c>
      <c r="AQ18" s="122">
        <v>11</v>
      </c>
    </row>
    <row r="19" spans="1:43">
      <c r="A19" s="127" t="s">
        <v>263</v>
      </c>
      <c r="B19" s="200">
        <v>15.3</v>
      </c>
      <c r="C19" s="200">
        <v>14.88</v>
      </c>
      <c r="D19" s="200">
        <v>17.7</v>
      </c>
      <c r="E19" s="200">
        <v>15.3</v>
      </c>
      <c r="F19" s="200">
        <v>14</v>
      </c>
      <c r="G19" s="200">
        <v>15.3</v>
      </c>
      <c r="H19" s="200">
        <v>22.34</v>
      </c>
      <c r="I19" s="192">
        <v>35.01</v>
      </c>
      <c r="J19" s="200">
        <v>22.1</v>
      </c>
      <c r="K19" s="200">
        <v>6</v>
      </c>
      <c r="L19" s="200">
        <v>-0.89</v>
      </c>
      <c r="M19" s="200">
        <v>-3</v>
      </c>
      <c r="N19" s="200">
        <v>-4</v>
      </c>
      <c r="O19" s="200">
        <v>-4</v>
      </c>
      <c r="P19" s="200">
        <v>-4</v>
      </c>
      <c r="Q19" s="200">
        <v>-4.21</v>
      </c>
      <c r="R19" s="200">
        <v>-4</v>
      </c>
      <c r="S19" s="200">
        <v>-1.54</v>
      </c>
      <c r="T19" s="201">
        <v>0</v>
      </c>
      <c r="U19" s="200">
        <v>10.3</v>
      </c>
      <c r="V19" s="202">
        <v>61.81</v>
      </c>
      <c r="W19" s="202">
        <v>122.03</v>
      </c>
      <c r="X19" s="202">
        <v>103.75</v>
      </c>
      <c r="Y19" s="202">
        <v>70.44</v>
      </c>
      <c r="Z19" s="203"/>
      <c r="AA19" s="203">
        <v>-4.21</v>
      </c>
      <c r="AB19" s="203">
        <v>122.03</v>
      </c>
      <c r="AC19" s="203">
        <v>20.5892841784</v>
      </c>
      <c r="AN19" s="63">
        <f t="shared" si="0"/>
        <v>126.24</v>
      </c>
      <c r="AQ19" s="122">
        <v>12</v>
      </c>
    </row>
    <row r="20" spans="1:43">
      <c r="A20" s="127" t="s">
        <v>264</v>
      </c>
      <c r="B20" s="202">
        <v>67</v>
      </c>
      <c r="C20" s="202">
        <v>45.01</v>
      </c>
      <c r="D20" s="192">
        <v>37.83</v>
      </c>
      <c r="E20" s="192">
        <v>35.01</v>
      </c>
      <c r="F20" s="192">
        <v>35.01</v>
      </c>
      <c r="G20" s="192">
        <v>39.79</v>
      </c>
      <c r="H20" s="202">
        <v>70</v>
      </c>
      <c r="I20" s="202">
        <v>108.09</v>
      </c>
      <c r="J20" s="202">
        <v>68.25</v>
      </c>
      <c r="K20" s="192">
        <v>25.58</v>
      </c>
      <c r="L20" s="200">
        <v>1.2</v>
      </c>
      <c r="M20" s="201">
        <v>0</v>
      </c>
      <c r="N20" s="200">
        <v>-0.5</v>
      </c>
      <c r="O20" s="200">
        <v>-2.5099999999999998</v>
      </c>
      <c r="P20" s="200">
        <v>-2.08</v>
      </c>
      <c r="Q20" s="200">
        <v>-0.01</v>
      </c>
      <c r="R20" s="201">
        <v>0</v>
      </c>
      <c r="S20" s="200">
        <v>0.65</v>
      </c>
      <c r="T20" s="200">
        <v>24.7</v>
      </c>
      <c r="U20" s="192">
        <v>33.56</v>
      </c>
      <c r="V20" s="202">
        <v>92.67</v>
      </c>
      <c r="W20" s="202">
        <v>128.07</v>
      </c>
      <c r="X20" s="202">
        <v>112.3</v>
      </c>
      <c r="Y20" s="202">
        <v>74.55</v>
      </c>
      <c r="Z20" s="203"/>
      <c r="AA20" s="203">
        <v>-2.5099999999999998</v>
      </c>
      <c r="AB20" s="203">
        <v>128.07</v>
      </c>
      <c r="AC20" s="203">
        <v>37.920923947399999</v>
      </c>
      <c r="AN20" s="63">
        <f t="shared" si="0"/>
        <v>130.57999999999998</v>
      </c>
      <c r="AQ20" s="122">
        <v>13</v>
      </c>
    </row>
    <row r="21" spans="1:43">
      <c r="A21" s="127" t="s">
        <v>265</v>
      </c>
      <c r="B21" s="202">
        <v>64.930000000000007</v>
      </c>
      <c r="C21" s="202">
        <v>45.33</v>
      </c>
      <c r="D21" s="192">
        <v>41.2</v>
      </c>
      <c r="E21" s="192">
        <v>37.409999999999997</v>
      </c>
      <c r="F21" s="192">
        <v>36</v>
      </c>
      <c r="G21" s="192">
        <v>40.049999999999997</v>
      </c>
      <c r="H21" s="202">
        <v>53.08</v>
      </c>
      <c r="I21" s="202">
        <v>91.53</v>
      </c>
      <c r="J21" s="202">
        <v>57.64</v>
      </c>
      <c r="K21" s="192">
        <v>37.799999999999997</v>
      </c>
      <c r="L21" s="200">
        <v>0.28000000000000003</v>
      </c>
      <c r="M21" s="200">
        <v>-0.02</v>
      </c>
      <c r="N21" s="200">
        <v>-1.1299999999999999</v>
      </c>
      <c r="O21" s="200">
        <v>-4</v>
      </c>
      <c r="P21" s="200">
        <v>-3</v>
      </c>
      <c r="Q21" s="200">
        <v>-1.54</v>
      </c>
      <c r="R21" s="200">
        <v>-0.89</v>
      </c>
      <c r="S21" s="200">
        <v>-0.01</v>
      </c>
      <c r="T21" s="200">
        <v>0.17</v>
      </c>
      <c r="U21" s="192">
        <v>26.09</v>
      </c>
      <c r="V21" s="202">
        <v>46.5</v>
      </c>
      <c r="W21" s="202">
        <v>64.03</v>
      </c>
      <c r="X21" s="202">
        <v>61.51</v>
      </c>
      <c r="Y21" s="192">
        <v>40.14</v>
      </c>
      <c r="Z21" s="203"/>
      <c r="AA21" s="203">
        <v>-4</v>
      </c>
      <c r="AB21" s="203">
        <v>91.53</v>
      </c>
      <c r="AC21" s="203">
        <v>26.668842434199998</v>
      </c>
      <c r="AN21" s="63">
        <f t="shared" si="0"/>
        <v>95.53</v>
      </c>
      <c r="AQ21" s="122">
        <v>14</v>
      </c>
    </row>
    <row r="22" spans="1:43">
      <c r="A22" s="127" t="s">
        <v>266</v>
      </c>
      <c r="B22" s="192">
        <v>32.950000000000003</v>
      </c>
      <c r="C22" s="200">
        <v>19.71</v>
      </c>
      <c r="D22" s="200">
        <v>18.47</v>
      </c>
      <c r="E22" s="200">
        <v>10.55</v>
      </c>
      <c r="F22" s="200">
        <v>10.63</v>
      </c>
      <c r="G22" s="200">
        <v>16.260000000000002</v>
      </c>
      <c r="H22" s="200">
        <v>20</v>
      </c>
      <c r="I22" s="192">
        <v>35.01</v>
      </c>
      <c r="J22" s="192">
        <v>34.11</v>
      </c>
      <c r="K22" s="200">
        <v>3.52</v>
      </c>
      <c r="L22" s="200">
        <v>-0.5</v>
      </c>
      <c r="M22" s="200">
        <v>-1.54</v>
      </c>
      <c r="N22" s="200">
        <v>-3</v>
      </c>
      <c r="O22" s="200">
        <v>-3</v>
      </c>
      <c r="P22" s="200">
        <v>-4</v>
      </c>
      <c r="Q22" s="200">
        <v>-5</v>
      </c>
      <c r="R22" s="200">
        <v>-5</v>
      </c>
      <c r="S22" s="200">
        <v>-3.99</v>
      </c>
      <c r="T22" s="200">
        <v>-0.5</v>
      </c>
      <c r="U22" s="201">
        <v>0</v>
      </c>
      <c r="V22" s="200">
        <v>18.57</v>
      </c>
      <c r="W22" s="192">
        <v>35.01</v>
      </c>
      <c r="X22" s="192">
        <v>30.64</v>
      </c>
      <c r="Y22" s="200">
        <v>19.98</v>
      </c>
      <c r="Z22" s="203"/>
      <c r="AA22" s="203">
        <v>-5</v>
      </c>
      <c r="AB22" s="203">
        <v>35.01</v>
      </c>
      <c r="AC22" s="203">
        <v>10.642356637700001</v>
      </c>
      <c r="AN22" s="63">
        <f t="shared" si="0"/>
        <v>40.01</v>
      </c>
      <c r="AQ22" s="122">
        <v>15</v>
      </c>
    </row>
    <row r="23" spans="1:43">
      <c r="A23" s="127" t="s">
        <v>267</v>
      </c>
      <c r="B23" s="200">
        <v>5.1100000000000003</v>
      </c>
      <c r="C23" s="200">
        <v>5</v>
      </c>
      <c r="D23" s="200">
        <v>6</v>
      </c>
      <c r="E23" s="200">
        <v>3.6</v>
      </c>
      <c r="F23" s="200">
        <v>3.28</v>
      </c>
      <c r="G23" s="200">
        <v>4.75</v>
      </c>
      <c r="H23" s="200">
        <v>6</v>
      </c>
      <c r="I23" s="200">
        <v>10</v>
      </c>
      <c r="J23" s="200">
        <v>0.01</v>
      </c>
      <c r="K23" s="200">
        <v>-0.01</v>
      </c>
      <c r="L23" s="200">
        <v>-5</v>
      </c>
      <c r="M23" s="200">
        <v>-5.8</v>
      </c>
      <c r="N23" s="200">
        <v>-8.01</v>
      </c>
      <c r="O23" s="200">
        <v>-8.01</v>
      </c>
      <c r="P23" s="200">
        <v>-9</v>
      </c>
      <c r="Q23" s="200">
        <v>-10</v>
      </c>
      <c r="R23" s="200">
        <v>-10</v>
      </c>
      <c r="S23" s="200">
        <v>-5.5</v>
      </c>
      <c r="T23" s="200">
        <v>-1.54</v>
      </c>
      <c r="U23" s="200">
        <v>2</v>
      </c>
      <c r="V23" s="200">
        <v>18.04</v>
      </c>
      <c r="W23" s="192">
        <v>35.090000000000003</v>
      </c>
      <c r="X23" s="192">
        <v>41.21</v>
      </c>
      <c r="Y23" s="192">
        <v>35.01</v>
      </c>
      <c r="Z23" s="203"/>
      <c r="AA23" s="203">
        <v>-10</v>
      </c>
      <c r="AB23" s="203">
        <v>41.21</v>
      </c>
      <c r="AC23" s="203">
        <v>4.0774433481000001</v>
      </c>
      <c r="AN23" s="63">
        <f t="shared" si="0"/>
        <v>51.21</v>
      </c>
      <c r="AQ23" s="122">
        <v>16</v>
      </c>
    </row>
    <row r="24" spans="1:43">
      <c r="A24" s="127" t="s">
        <v>268</v>
      </c>
      <c r="B24" s="200">
        <v>21.23</v>
      </c>
      <c r="C24" s="200">
        <v>13.53</v>
      </c>
      <c r="D24" s="200">
        <v>12.68</v>
      </c>
      <c r="E24" s="200">
        <v>14.26</v>
      </c>
      <c r="F24" s="200">
        <v>12.82</v>
      </c>
      <c r="G24" s="200">
        <v>19</v>
      </c>
      <c r="H24" s="200">
        <v>21.79</v>
      </c>
      <c r="I24" s="200">
        <v>20.23</v>
      </c>
      <c r="J24" s="200">
        <v>6.09</v>
      </c>
      <c r="K24" s="200">
        <v>-0.01</v>
      </c>
      <c r="L24" s="200">
        <v>-3</v>
      </c>
      <c r="M24" s="200">
        <v>-5.7</v>
      </c>
      <c r="N24" s="200">
        <v>-9.6999999999999993</v>
      </c>
      <c r="O24" s="200">
        <v>-10.01</v>
      </c>
      <c r="P24" s="200">
        <v>-11.26</v>
      </c>
      <c r="Q24" s="200">
        <v>-10</v>
      </c>
      <c r="R24" s="200">
        <v>-10</v>
      </c>
      <c r="S24" s="200">
        <v>-5.8</v>
      </c>
      <c r="T24" s="200">
        <v>-1.81</v>
      </c>
      <c r="U24" s="200">
        <v>3.52</v>
      </c>
      <c r="V24" s="192">
        <v>26.56</v>
      </c>
      <c r="W24" s="202">
        <v>52.5</v>
      </c>
      <c r="X24" s="202">
        <v>57.12</v>
      </c>
      <c r="Y24" s="192">
        <v>41.28</v>
      </c>
      <c r="Z24" s="203"/>
      <c r="AA24" s="203">
        <v>-11.26</v>
      </c>
      <c r="AB24" s="203">
        <v>57.12</v>
      </c>
      <c r="AC24" s="203">
        <v>9.0967819219999999</v>
      </c>
      <c r="AN24" s="63">
        <f t="shared" si="0"/>
        <v>68.38</v>
      </c>
      <c r="AQ24" s="122">
        <v>17</v>
      </c>
    </row>
    <row r="25" spans="1:43">
      <c r="A25" s="127" t="s">
        <v>269</v>
      </c>
      <c r="B25" s="192">
        <v>37</v>
      </c>
      <c r="C25" s="200">
        <v>21.73</v>
      </c>
      <c r="D25" s="200">
        <v>15.49</v>
      </c>
      <c r="E25" s="200">
        <v>15</v>
      </c>
      <c r="F25" s="200">
        <v>13.9</v>
      </c>
      <c r="G25" s="200">
        <v>15.79</v>
      </c>
      <c r="H25" s="200">
        <v>14.5</v>
      </c>
      <c r="I25" s="200">
        <v>8.99</v>
      </c>
      <c r="J25" s="200">
        <v>0.01</v>
      </c>
      <c r="K25" s="200">
        <v>-1.54</v>
      </c>
      <c r="L25" s="200">
        <v>-10</v>
      </c>
      <c r="M25" s="200">
        <v>-10.039999999999999</v>
      </c>
      <c r="N25" s="200">
        <v>-12</v>
      </c>
      <c r="O25" s="200">
        <v>-11</v>
      </c>
      <c r="P25" s="200">
        <v>-15</v>
      </c>
      <c r="Q25" s="200">
        <v>-14.05</v>
      </c>
      <c r="R25" s="200">
        <v>-13</v>
      </c>
      <c r="S25" s="200">
        <v>-10</v>
      </c>
      <c r="T25" s="200">
        <v>-3</v>
      </c>
      <c r="U25" s="200">
        <v>0.28000000000000003</v>
      </c>
      <c r="V25" s="200">
        <v>7.44</v>
      </c>
      <c r="W25" s="192">
        <v>37</v>
      </c>
      <c r="X25" s="192">
        <v>40.700000000000003</v>
      </c>
      <c r="Y25" s="192">
        <v>33.96</v>
      </c>
      <c r="Z25" s="203"/>
      <c r="AA25" s="203">
        <v>-15</v>
      </c>
      <c r="AB25" s="203">
        <v>40.700000000000003</v>
      </c>
      <c r="AC25" s="203">
        <v>5.9490694248000002</v>
      </c>
      <c r="AN25" s="63">
        <f t="shared" si="0"/>
        <v>55.7</v>
      </c>
      <c r="AQ25" s="122">
        <v>18</v>
      </c>
    </row>
    <row r="26" spans="1:43">
      <c r="A26" s="127" t="s">
        <v>270</v>
      </c>
      <c r="B26" s="200">
        <v>20.82</v>
      </c>
      <c r="C26" s="200">
        <v>18.02</v>
      </c>
      <c r="D26" s="200">
        <v>13.83</v>
      </c>
      <c r="E26" s="200">
        <v>14</v>
      </c>
      <c r="F26" s="200">
        <v>10.63</v>
      </c>
      <c r="G26" s="200">
        <v>19.940000000000001</v>
      </c>
      <c r="H26" s="192">
        <v>25.95</v>
      </c>
      <c r="I26" s="192">
        <v>42.99</v>
      </c>
      <c r="J26" s="200">
        <v>22</v>
      </c>
      <c r="K26" s="200">
        <v>3.52</v>
      </c>
      <c r="L26" s="201">
        <v>0</v>
      </c>
      <c r="M26" s="200">
        <v>-0.5</v>
      </c>
      <c r="N26" s="200">
        <v>-1.01</v>
      </c>
      <c r="O26" s="200">
        <v>-1.5</v>
      </c>
      <c r="P26" s="200">
        <v>-1.54</v>
      </c>
      <c r="Q26" s="200">
        <v>-2</v>
      </c>
      <c r="R26" s="200">
        <v>-2.5</v>
      </c>
      <c r="S26" s="200">
        <v>-1.54</v>
      </c>
      <c r="T26" s="200">
        <v>-0.62</v>
      </c>
      <c r="U26" s="200">
        <v>0.66</v>
      </c>
      <c r="V26" s="200">
        <v>22.2</v>
      </c>
      <c r="W26" s="192">
        <v>37.94</v>
      </c>
      <c r="X26" s="192">
        <v>37.22</v>
      </c>
      <c r="Y26" s="192">
        <v>29.86</v>
      </c>
      <c r="Z26" s="203"/>
      <c r="AA26" s="203">
        <v>-2.5</v>
      </c>
      <c r="AB26" s="203">
        <v>42.99</v>
      </c>
      <c r="AC26" s="203">
        <v>10.918839842200001</v>
      </c>
      <c r="AN26" s="63">
        <f t="shared" si="0"/>
        <v>45.49</v>
      </c>
      <c r="AQ26" s="122">
        <v>19</v>
      </c>
    </row>
    <row r="27" spans="1:43">
      <c r="A27" s="127" t="s">
        <v>271</v>
      </c>
      <c r="B27" s="200">
        <v>20.53</v>
      </c>
      <c r="C27" s="200">
        <v>16.93</v>
      </c>
      <c r="D27" s="200">
        <v>13.58</v>
      </c>
      <c r="E27" s="200">
        <v>7.74</v>
      </c>
      <c r="F27" s="200">
        <v>7</v>
      </c>
      <c r="G27" s="200">
        <v>18.260000000000002</v>
      </c>
      <c r="H27" s="192">
        <v>25.66</v>
      </c>
      <c r="I27" s="192">
        <v>35.090000000000003</v>
      </c>
      <c r="J27" s="200">
        <v>20.2</v>
      </c>
      <c r="K27" s="201">
        <v>0</v>
      </c>
      <c r="L27" s="200">
        <v>-0.3</v>
      </c>
      <c r="M27" s="200">
        <v>-1.1000000000000001</v>
      </c>
      <c r="N27" s="200">
        <v>-1.54</v>
      </c>
      <c r="O27" s="200">
        <v>-1.81</v>
      </c>
      <c r="P27" s="200">
        <v>-2.1</v>
      </c>
      <c r="Q27" s="200">
        <v>-3.75</v>
      </c>
      <c r="R27" s="200">
        <v>-3.4</v>
      </c>
      <c r="S27" s="200">
        <v>-1.54</v>
      </c>
      <c r="T27" s="200">
        <v>-0.04</v>
      </c>
      <c r="U27" s="200">
        <v>3.52</v>
      </c>
      <c r="V27" s="192">
        <v>25.96</v>
      </c>
      <c r="W27" s="202">
        <v>53.91</v>
      </c>
      <c r="X27" s="202">
        <v>54</v>
      </c>
      <c r="Y27" s="192">
        <v>35.01</v>
      </c>
      <c r="Z27" s="203"/>
      <c r="AA27" s="203">
        <v>-3.75</v>
      </c>
      <c r="AB27" s="203">
        <v>54</v>
      </c>
      <c r="AC27" s="203">
        <v>12.0599228575</v>
      </c>
      <c r="AN27" s="63">
        <f t="shared" si="0"/>
        <v>57.75</v>
      </c>
      <c r="AQ27" s="122">
        <v>20</v>
      </c>
    </row>
    <row r="28" spans="1:43">
      <c r="A28" s="127" t="s">
        <v>272</v>
      </c>
      <c r="B28" s="192">
        <v>35</v>
      </c>
      <c r="C28" s="192">
        <v>30.2</v>
      </c>
      <c r="D28" s="192">
        <v>28.65</v>
      </c>
      <c r="E28" s="200">
        <v>22.03</v>
      </c>
      <c r="F28" s="192">
        <v>26.72</v>
      </c>
      <c r="G28" s="192">
        <v>30.2</v>
      </c>
      <c r="H28" s="192">
        <v>35.090000000000003</v>
      </c>
      <c r="I28" s="202">
        <v>58.87</v>
      </c>
      <c r="J28" s="192">
        <v>35.01</v>
      </c>
      <c r="K28" s="200">
        <v>10</v>
      </c>
      <c r="L28" s="201">
        <v>0</v>
      </c>
      <c r="M28" s="200">
        <v>-0.3</v>
      </c>
      <c r="N28" s="200">
        <v>-0.6</v>
      </c>
      <c r="O28" s="200">
        <v>-0.6</v>
      </c>
      <c r="P28" s="200">
        <v>-1</v>
      </c>
      <c r="Q28" s="200">
        <v>-1.1000000000000001</v>
      </c>
      <c r="R28" s="200">
        <v>-1.1000000000000001</v>
      </c>
      <c r="S28" s="200">
        <v>-0.6</v>
      </c>
      <c r="T28" s="201">
        <v>0</v>
      </c>
      <c r="U28" s="200">
        <v>5.79</v>
      </c>
      <c r="V28" s="192">
        <v>34.94</v>
      </c>
      <c r="W28" s="202">
        <v>68.209999999999994</v>
      </c>
      <c r="X28" s="192">
        <v>41.93</v>
      </c>
      <c r="Y28" s="192">
        <v>27.23</v>
      </c>
      <c r="Z28" s="203"/>
      <c r="AA28" s="203">
        <v>-1.1000000000000001</v>
      </c>
      <c r="AB28" s="203">
        <v>68.209999999999994</v>
      </c>
      <c r="AC28" s="203">
        <v>17.668995469199999</v>
      </c>
      <c r="AN28" s="63">
        <f t="shared" si="0"/>
        <v>69.309999999999988</v>
      </c>
      <c r="AQ28" s="122">
        <v>21</v>
      </c>
    </row>
    <row r="29" spans="1:43">
      <c r="A29" s="127" t="s">
        <v>273</v>
      </c>
      <c r="B29" s="200">
        <v>13.06</v>
      </c>
      <c r="C29" s="200">
        <v>11</v>
      </c>
      <c r="D29" s="200">
        <v>7</v>
      </c>
      <c r="E29" s="200">
        <v>5.1100000000000003</v>
      </c>
      <c r="F29" s="200">
        <v>5.1100000000000003</v>
      </c>
      <c r="G29" s="200">
        <v>5.1100000000000003</v>
      </c>
      <c r="H29" s="200">
        <v>6</v>
      </c>
      <c r="I29" s="200">
        <v>12.1</v>
      </c>
      <c r="J29" s="200">
        <v>0.65</v>
      </c>
      <c r="K29" s="201">
        <v>0</v>
      </c>
      <c r="L29" s="200">
        <v>-0.6</v>
      </c>
      <c r="M29" s="200">
        <v>-4</v>
      </c>
      <c r="N29" s="200">
        <v>-5</v>
      </c>
      <c r="O29" s="200">
        <v>-5</v>
      </c>
      <c r="P29" s="200">
        <v>-5</v>
      </c>
      <c r="Q29" s="200">
        <v>-5</v>
      </c>
      <c r="R29" s="200">
        <v>-5</v>
      </c>
      <c r="S29" s="200">
        <v>-3</v>
      </c>
      <c r="T29" s="200">
        <v>-0.04</v>
      </c>
      <c r="U29" s="200">
        <v>2</v>
      </c>
      <c r="V29" s="200">
        <v>3.6</v>
      </c>
      <c r="W29" s="200">
        <v>24.42</v>
      </c>
      <c r="X29" s="200">
        <v>12.82</v>
      </c>
      <c r="Y29" s="200">
        <v>5</v>
      </c>
      <c r="Z29" s="203"/>
      <c r="AA29" s="203">
        <v>-5</v>
      </c>
      <c r="AB29" s="203">
        <v>24.42</v>
      </c>
      <c r="AC29" s="203">
        <v>3.0037906530999998</v>
      </c>
      <c r="AN29" s="63">
        <f t="shared" si="0"/>
        <v>29.42</v>
      </c>
      <c r="AQ29" s="122">
        <v>22</v>
      </c>
    </row>
    <row r="30" spans="1:43">
      <c r="A30" s="127" t="s">
        <v>274</v>
      </c>
      <c r="B30" s="200">
        <v>9.2200000000000006</v>
      </c>
      <c r="C30" s="200">
        <v>7.69</v>
      </c>
      <c r="D30" s="200">
        <v>9.3699999999999992</v>
      </c>
      <c r="E30" s="200">
        <v>5.8</v>
      </c>
      <c r="F30" s="200">
        <v>5.1100000000000003</v>
      </c>
      <c r="G30" s="200">
        <v>4.9000000000000004</v>
      </c>
      <c r="H30" s="200">
        <v>5.66</v>
      </c>
      <c r="I30" s="200">
        <v>12.34</v>
      </c>
      <c r="J30" s="200">
        <v>4.2300000000000004</v>
      </c>
      <c r="K30" s="200">
        <v>1.72</v>
      </c>
      <c r="L30" s="201">
        <v>0</v>
      </c>
      <c r="M30" s="200">
        <v>-0.5</v>
      </c>
      <c r="N30" s="200">
        <v>-0.6</v>
      </c>
      <c r="O30" s="200">
        <v>-0.6</v>
      </c>
      <c r="P30" s="200">
        <v>-1.54</v>
      </c>
      <c r="Q30" s="200">
        <v>-3</v>
      </c>
      <c r="R30" s="200">
        <v>-3</v>
      </c>
      <c r="S30" s="200">
        <v>-1.54</v>
      </c>
      <c r="T30" s="200">
        <v>-0.45</v>
      </c>
      <c r="U30" s="200">
        <v>0.65</v>
      </c>
      <c r="V30" s="200">
        <v>5.76</v>
      </c>
      <c r="W30" s="192">
        <v>31</v>
      </c>
      <c r="X30" s="200">
        <v>17.940000000000001</v>
      </c>
      <c r="Y30" s="200">
        <v>12.58</v>
      </c>
      <c r="Z30" s="203"/>
      <c r="AA30" s="203">
        <v>-3</v>
      </c>
      <c r="AB30" s="203">
        <v>31</v>
      </c>
      <c r="AC30" s="203">
        <v>4.8710357671000004</v>
      </c>
      <c r="AN30" s="63">
        <f t="shared" si="0"/>
        <v>34</v>
      </c>
      <c r="AQ30" s="122">
        <v>23</v>
      </c>
    </row>
    <row r="31" spans="1:43">
      <c r="A31" s="127" t="s">
        <v>275</v>
      </c>
      <c r="B31" s="200">
        <v>14</v>
      </c>
      <c r="C31" s="200">
        <v>12</v>
      </c>
      <c r="D31" s="200">
        <v>10.93</v>
      </c>
      <c r="E31" s="200">
        <v>10.34</v>
      </c>
      <c r="F31" s="200">
        <v>9.56</v>
      </c>
      <c r="G31" s="200">
        <v>9.99</v>
      </c>
      <c r="H31" s="200">
        <v>13.32</v>
      </c>
      <c r="I31" s="200">
        <v>6</v>
      </c>
      <c r="J31" s="200">
        <v>3.28</v>
      </c>
      <c r="K31" s="200">
        <v>-1</v>
      </c>
      <c r="L31" s="200">
        <v>-5</v>
      </c>
      <c r="M31" s="200">
        <v>-6</v>
      </c>
      <c r="N31" s="200">
        <v>-6</v>
      </c>
      <c r="O31" s="200">
        <v>-6</v>
      </c>
      <c r="P31" s="200">
        <v>-6</v>
      </c>
      <c r="Q31" s="200">
        <v>-8.01</v>
      </c>
      <c r="R31" s="200">
        <v>-9.6999999999999993</v>
      </c>
      <c r="S31" s="200">
        <v>-6.01</v>
      </c>
      <c r="T31" s="200">
        <v>-5.8</v>
      </c>
      <c r="U31" s="200">
        <v>-0.02</v>
      </c>
      <c r="V31" s="200">
        <v>17.72</v>
      </c>
      <c r="W31" s="192">
        <v>36.1</v>
      </c>
      <c r="X31" s="202">
        <v>52</v>
      </c>
      <c r="Y31" s="192">
        <v>37</v>
      </c>
      <c r="Z31" s="203"/>
      <c r="AA31" s="203">
        <v>-9.6999999999999993</v>
      </c>
      <c r="AB31" s="203">
        <v>52</v>
      </c>
      <c r="AC31" s="203">
        <v>6.5074734313000002</v>
      </c>
      <c r="AN31" s="63">
        <f t="shared" si="0"/>
        <v>61.7</v>
      </c>
      <c r="AQ31" s="122">
        <v>24</v>
      </c>
    </row>
    <row r="32" spans="1:43">
      <c r="A32" s="127" t="s">
        <v>276</v>
      </c>
      <c r="B32" s="192">
        <v>30</v>
      </c>
      <c r="C32" s="200">
        <v>21</v>
      </c>
      <c r="D32" s="200">
        <v>18.66</v>
      </c>
      <c r="E32" s="200">
        <v>17.079999999999998</v>
      </c>
      <c r="F32" s="200">
        <v>16.010000000000002</v>
      </c>
      <c r="G32" s="200">
        <v>15.1</v>
      </c>
      <c r="H32" s="200">
        <v>15.5</v>
      </c>
      <c r="I32" s="200">
        <v>5.71</v>
      </c>
      <c r="J32" s="200">
        <v>0.01</v>
      </c>
      <c r="K32" s="200">
        <v>-1</v>
      </c>
      <c r="L32" s="200">
        <v>-5</v>
      </c>
      <c r="M32" s="200">
        <v>-6</v>
      </c>
      <c r="N32" s="200">
        <v>-7.71</v>
      </c>
      <c r="O32" s="200">
        <v>-15</v>
      </c>
      <c r="P32" s="200">
        <v>-15</v>
      </c>
      <c r="Q32" s="200">
        <v>-14</v>
      </c>
      <c r="R32" s="200">
        <v>-9.02</v>
      </c>
      <c r="S32" s="200">
        <v>-6</v>
      </c>
      <c r="T32" s="200">
        <v>-3.99</v>
      </c>
      <c r="U32" s="201">
        <v>0</v>
      </c>
      <c r="V32" s="200">
        <v>17.03</v>
      </c>
      <c r="W32" s="192">
        <v>26.71</v>
      </c>
      <c r="X32" s="192">
        <v>35.01</v>
      </c>
      <c r="Y32" s="200">
        <v>20.170000000000002</v>
      </c>
      <c r="Z32" s="203"/>
      <c r="AA32" s="203">
        <v>-15</v>
      </c>
      <c r="AB32" s="203">
        <v>35.01</v>
      </c>
      <c r="AC32" s="203">
        <v>5.5775819993000004</v>
      </c>
      <c r="AN32" s="63">
        <f t="shared" si="0"/>
        <v>50.01</v>
      </c>
      <c r="AQ32" s="122">
        <v>25</v>
      </c>
    </row>
    <row r="33" spans="1:43">
      <c r="A33" s="127" t="s">
        <v>277</v>
      </c>
      <c r="B33" s="192">
        <v>26.25</v>
      </c>
      <c r="C33" s="200">
        <v>18.04</v>
      </c>
      <c r="D33" s="200">
        <v>16.64</v>
      </c>
      <c r="E33" s="200">
        <v>14.43</v>
      </c>
      <c r="F33" s="200">
        <v>16.399999999999999</v>
      </c>
      <c r="G33" s="200">
        <v>20</v>
      </c>
      <c r="H33" s="192">
        <v>25.78</v>
      </c>
      <c r="I33" s="192">
        <v>35.01</v>
      </c>
      <c r="J33" s="192">
        <v>25.3</v>
      </c>
      <c r="K33" s="200">
        <v>0.01</v>
      </c>
      <c r="L33" s="201">
        <v>0</v>
      </c>
      <c r="M33" s="200">
        <v>-0.01</v>
      </c>
      <c r="N33" s="200">
        <v>-0.01</v>
      </c>
      <c r="O33" s="200">
        <v>-0.01</v>
      </c>
      <c r="P33" s="200">
        <v>-0.02</v>
      </c>
      <c r="Q33" s="200">
        <v>-0.5</v>
      </c>
      <c r="R33" s="200">
        <v>-0.3</v>
      </c>
      <c r="S33" s="200">
        <v>-0.01</v>
      </c>
      <c r="T33" s="200">
        <v>3.52</v>
      </c>
      <c r="U33" s="200">
        <v>5.1100000000000003</v>
      </c>
      <c r="V33" s="192">
        <v>35.090000000000003</v>
      </c>
      <c r="W33" s="202">
        <v>76.06</v>
      </c>
      <c r="X33" s="202">
        <v>60.14</v>
      </c>
      <c r="Y33" s="192">
        <v>35.33</v>
      </c>
      <c r="Z33" s="203"/>
      <c r="AA33" s="203">
        <v>-0.5</v>
      </c>
      <c r="AB33" s="203">
        <v>76.06</v>
      </c>
      <c r="AC33" s="203">
        <v>15.432303774999999</v>
      </c>
      <c r="AN33" s="63">
        <f t="shared" si="0"/>
        <v>76.56</v>
      </c>
      <c r="AQ33" s="122">
        <v>26</v>
      </c>
    </row>
    <row r="34" spans="1:43">
      <c r="A34" s="127" t="s">
        <v>278</v>
      </c>
      <c r="B34" s="192">
        <v>35.01</v>
      </c>
      <c r="C34" s="192">
        <v>30.5</v>
      </c>
      <c r="D34" s="200">
        <v>22.46</v>
      </c>
      <c r="E34" s="200">
        <v>20</v>
      </c>
      <c r="F34" s="200">
        <v>21.03</v>
      </c>
      <c r="G34" s="192">
        <v>26.01</v>
      </c>
      <c r="H34" s="192">
        <v>33.44</v>
      </c>
      <c r="I34" s="192">
        <v>36.26</v>
      </c>
      <c r="J34" s="192">
        <v>33</v>
      </c>
      <c r="K34" s="200">
        <v>18</v>
      </c>
      <c r="L34" s="200">
        <v>0.03</v>
      </c>
      <c r="M34" s="200">
        <v>-0.01</v>
      </c>
      <c r="N34" s="200">
        <v>-0.01</v>
      </c>
      <c r="O34" s="200">
        <v>-0.01</v>
      </c>
      <c r="P34" s="200">
        <v>-0.01</v>
      </c>
      <c r="Q34" s="200">
        <v>-0.01</v>
      </c>
      <c r="R34" s="200">
        <v>-0.01</v>
      </c>
      <c r="S34" s="200">
        <v>-0.01</v>
      </c>
      <c r="T34" s="201">
        <v>0</v>
      </c>
      <c r="U34" s="192">
        <v>32.5</v>
      </c>
      <c r="V34" s="202">
        <v>49.56</v>
      </c>
      <c r="W34" s="202">
        <v>111.16</v>
      </c>
      <c r="X34" s="202">
        <v>100</v>
      </c>
      <c r="Y34" s="202">
        <v>75.31</v>
      </c>
      <c r="Z34" s="203"/>
      <c r="AA34" s="203">
        <v>-0.01</v>
      </c>
      <c r="AB34" s="203">
        <v>111.16</v>
      </c>
      <c r="AC34" s="203">
        <v>23.1027308215</v>
      </c>
      <c r="AN34" s="63">
        <f t="shared" si="0"/>
        <v>111.17</v>
      </c>
      <c r="AQ34" s="122">
        <v>27</v>
      </c>
    </row>
    <row r="35" spans="1:43">
      <c r="A35" s="127" t="s">
        <v>279</v>
      </c>
      <c r="B35" s="192">
        <v>35.01</v>
      </c>
      <c r="C35" s="192">
        <v>30.5</v>
      </c>
      <c r="D35" s="192">
        <v>33.270000000000003</v>
      </c>
      <c r="E35" s="192">
        <v>32.020000000000003</v>
      </c>
      <c r="F35" s="192">
        <v>32</v>
      </c>
      <c r="G35" s="192">
        <v>31.08</v>
      </c>
      <c r="H35" s="192">
        <v>35.01</v>
      </c>
      <c r="I35" s="202">
        <v>54.88</v>
      </c>
      <c r="J35" s="192">
        <v>35.01</v>
      </c>
      <c r="K35" s="200">
        <v>17.2</v>
      </c>
      <c r="L35" s="200">
        <v>0.85</v>
      </c>
      <c r="M35" s="200">
        <v>-0.01</v>
      </c>
      <c r="N35" s="200">
        <v>-0.01</v>
      </c>
      <c r="O35" s="200">
        <v>-0.01</v>
      </c>
      <c r="P35" s="200">
        <v>-0.5</v>
      </c>
      <c r="Q35" s="200">
        <v>-0.6</v>
      </c>
      <c r="R35" s="200">
        <v>-0.62</v>
      </c>
      <c r="S35" s="200">
        <v>-0.01</v>
      </c>
      <c r="T35" s="200">
        <v>1.72</v>
      </c>
      <c r="U35" s="200">
        <v>23</v>
      </c>
      <c r="V35" s="202">
        <v>55.18</v>
      </c>
      <c r="W35" s="202">
        <v>96</v>
      </c>
      <c r="X35" s="202">
        <v>100.86</v>
      </c>
      <c r="Y35" s="202">
        <v>54.88</v>
      </c>
      <c r="Z35" s="203"/>
      <c r="AA35" s="203">
        <v>-0.62</v>
      </c>
      <c r="AB35" s="203">
        <v>100.86</v>
      </c>
      <c r="AC35" s="203">
        <v>24.081969043899999</v>
      </c>
      <c r="AE35" s="63"/>
      <c r="AN35" s="63">
        <f t="shared" si="0"/>
        <v>101.48</v>
      </c>
      <c r="AQ35" s="122">
        <v>28</v>
      </c>
    </row>
    <row r="36" spans="1:43">
      <c r="A36" s="127" t="s">
        <v>280</v>
      </c>
      <c r="B36" s="202">
        <v>49.63</v>
      </c>
      <c r="C36" s="192">
        <v>39</v>
      </c>
      <c r="D36" s="192">
        <v>43.81</v>
      </c>
      <c r="E36" s="192">
        <v>39.22</v>
      </c>
      <c r="F36" s="192">
        <v>38.24</v>
      </c>
      <c r="G36" s="192">
        <v>40.01</v>
      </c>
      <c r="H36" s="192">
        <v>37.950000000000003</v>
      </c>
      <c r="I36" s="202">
        <v>45</v>
      </c>
      <c r="J36" s="192">
        <v>38.24</v>
      </c>
      <c r="K36" s="200">
        <v>16.059999999999999</v>
      </c>
      <c r="L36" s="200">
        <v>3.52</v>
      </c>
      <c r="M36" s="200">
        <v>0.65</v>
      </c>
      <c r="N36" s="200">
        <v>-0.01</v>
      </c>
      <c r="O36" s="200">
        <v>-0.48</v>
      </c>
      <c r="P36" s="200">
        <v>-0.9</v>
      </c>
      <c r="Q36" s="200">
        <v>-0.12</v>
      </c>
      <c r="R36" s="200">
        <v>-0.01</v>
      </c>
      <c r="S36" s="200">
        <v>7.0000000000000007E-2</v>
      </c>
      <c r="T36" s="200">
        <v>17.77</v>
      </c>
      <c r="U36" s="192">
        <v>36.130000000000003</v>
      </c>
      <c r="V36" s="202">
        <v>71.63</v>
      </c>
      <c r="W36" s="202">
        <v>134.99</v>
      </c>
      <c r="X36" s="202">
        <v>119.02</v>
      </c>
      <c r="Y36" s="202">
        <v>70.900000000000006</v>
      </c>
      <c r="Z36" s="203"/>
      <c r="AA36" s="203">
        <v>-0.9</v>
      </c>
      <c r="AB36" s="203">
        <v>134.99</v>
      </c>
      <c r="AC36" s="203">
        <v>29.942431149400001</v>
      </c>
      <c r="AN36" s="63">
        <f t="shared" si="0"/>
        <v>135.89000000000001</v>
      </c>
      <c r="AQ36" s="122">
        <v>29</v>
      </c>
    </row>
    <row r="37" spans="1:43">
      <c r="A37" s="127" t="s">
        <v>281</v>
      </c>
      <c r="B37" s="202">
        <v>55</v>
      </c>
      <c r="C37" s="202">
        <v>53.1</v>
      </c>
      <c r="D37" s="202">
        <v>47.7</v>
      </c>
      <c r="E37" s="202">
        <v>45.78</v>
      </c>
      <c r="F37" s="202">
        <v>45.54</v>
      </c>
      <c r="G37" s="202">
        <v>46.08</v>
      </c>
      <c r="H37" s="202">
        <v>49.55</v>
      </c>
      <c r="I37" s="202">
        <v>68.38</v>
      </c>
      <c r="J37" s="202">
        <v>53.01</v>
      </c>
      <c r="K37" s="192">
        <v>29.13</v>
      </c>
      <c r="L37" s="200">
        <v>1.83</v>
      </c>
      <c r="M37" s="201">
        <v>0</v>
      </c>
      <c r="N37" s="200">
        <v>-0.01</v>
      </c>
      <c r="O37" s="200">
        <v>-0.01</v>
      </c>
      <c r="P37" s="200">
        <v>-7.0000000000000007E-2</v>
      </c>
      <c r="Q37" s="200">
        <v>-7.0000000000000007E-2</v>
      </c>
      <c r="R37" s="200">
        <v>-0.01</v>
      </c>
      <c r="S37" s="200">
        <v>5</v>
      </c>
      <c r="T37" s="202">
        <v>45.36</v>
      </c>
      <c r="U37" s="202">
        <v>55.28</v>
      </c>
      <c r="V37" s="202">
        <v>100.29</v>
      </c>
      <c r="W37" s="202">
        <v>120.59</v>
      </c>
      <c r="X37" s="202">
        <v>130.19</v>
      </c>
      <c r="Y37" s="202">
        <v>103.35</v>
      </c>
      <c r="Z37" s="203"/>
      <c r="AA37" s="203">
        <v>-7.0000000000000007E-2</v>
      </c>
      <c r="AB37" s="203">
        <v>130.19</v>
      </c>
      <c r="AC37" s="203">
        <v>38.014067472699999</v>
      </c>
      <c r="AN37" s="63">
        <f t="shared" si="0"/>
        <v>130.26</v>
      </c>
      <c r="AQ37" s="122">
        <v>30</v>
      </c>
    </row>
    <row r="38" spans="1:43">
      <c r="A38" s="127" t="s">
        <v>282</v>
      </c>
      <c r="B38" s="202">
        <v>107</v>
      </c>
      <c r="C38" s="202">
        <v>89.74</v>
      </c>
      <c r="D38" s="202">
        <v>70.55</v>
      </c>
      <c r="E38" s="202">
        <v>72</v>
      </c>
      <c r="F38" s="202">
        <v>83.61</v>
      </c>
      <c r="G38" s="202">
        <v>80</v>
      </c>
      <c r="H38" s="202">
        <v>83.61</v>
      </c>
      <c r="I38" s="202">
        <v>64.31</v>
      </c>
      <c r="J38" s="192">
        <v>33.549999999999997</v>
      </c>
      <c r="K38" s="200">
        <v>1</v>
      </c>
      <c r="L38" s="200">
        <v>-0.02</v>
      </c>
      <c r="M38" s="200">
        <v>-1</v>
      </c>
      <c r="N38" s="200">
        <v>-3.07</v>
      </c>
      <c r="O38" s="200">
        <v>-5</v>
      </c>
      <c r="P38" s="200">
        <v>-5.48</v>
      </c>
      <c r="Q38" s="200">
        <v>-3</v>
      </c>
      <c r="R38" s="200">
        <v>-0.05</v>
      </c>
      <c r="S38" s="201">
        <v>0</v>
      </c>
      <c r="T38" s="200">
        <v>1.93</v>
      </c>
      <c r="U38" s="192">
        <v>31.78</v>
      </c>
      <c r="V38" s="202">
        <v>62</v>
      </c>
      <c r="W38" s="202">
        <v>64.31</v>
      </c>
      <c r="X38" s="202">
        <v>74.44</v>
      </c>
      <c r="Y38" s="202">
        <v>63.5</v>
      </c>
      <c r="Z38" s="203"/>
      <c r="AA38" s="203">
        <v>-5.48</v>
      </c>
      <c r="AB38" s="203">
        <v>107</v>
      </c>
      <c r="AC38" s="203">
        <v>33.971940135399997</v>
      </c>
      <c r="AN38" s="63">
        <f>AB38-AA38</f>
        <v>112.48</v>
      </c>
      <c r="AQ38" s="122">
        <v>31</v>
      </c>
    </row>
    <row r="41" spans="1:43">
      <c r="A41" s="125" t="s">
        <v>27</v>
      </c>
      <c r="B41" s="219" t="s">
        <v>45</v>
      </c>
      <c r="C41" s="220"/>
      <c r="D41" s="220"/>
      <c r="E41" s="220"/>
      <c r="F41" s="220"/>
      <c r="G41" s="220"/>
      <c r="H41" s="220"/>
      <c r="I41" s="220"/>
      <c r="J41" s="220"/>
      <c r="K41" s="220"/>
      <c r="L41" s="220"/>
      <c r="M41" s="220"/>
      <c r="N41" s="220"/>
    </row>
    <row r="42" spans="1:43">
      <c r="A42" s="125" t="s">
        <v>116</v>
      </c>
      <c r="B42" s="145">
        <v>202405</v>
      </c>
      <c r="C42" s="145">
        <v>202406</v>
      </c>
      <c r="D42" s="145">
        <v>202407</v>
      </c>
      <c r="E42" s="145">
        <v>202408</v>
      </c>
      <c r="F42" s="145">
        <v>202409</v>
      </c>
      <c r="G42" s="145">
        <v>202410</v>
      </c>
      <c r="H42" s="145">
        <v>202411</v>
      </c>
      <c r="I42" s="145">
        <v>202412</v>
      </c>
      <c r="J42" s="145">
        <v>202501</v>
      </c>
      <c r="K42" s="145">
        <v>202502</v>
      </c>
      <c r="L42" s="145">
        <v>202503</v>
      </c>
      <c r="M42" s="145">
        <v>202504</v>
      </c>
      <c r="N42" s="145">
        <v>202505</v>
      </c>
    </row>
    <row r="43" spans="1:43">
      <c r="A43" s="125" t="s">
        <v>87</v>
      </c>
      <c r="B43" s="147" t="s">
        <v>211</v>
      </c>
      <c r="C43" s="147" t="s">
        <v>213</v>
      </c>
      <c r="D43" s="147" t="s">
        <v>215</v>
      </c>
      <c r="E43" s="147" t="s">
        <v>217</v>
      </c>
      <c r="F43" s="147" t="s">
        <v>219</v>
      </c>
      <c r="G43" s="147" t="s">
        <v>223</v>
      </c>
      <c r="H43" s="147" t="s">
        <v>226</v>
      </c>
      <c r="I43" s="147" t="s">
        <v>228</v>
      </c>
      <c r="J43" s="147" t="s">
        <v>232</v>
      </c>
      <c r="K43" s="147" t="s">
        <v>235</v>
      </c>
      <c r="L43" s="147" t="s">
        <v>238</v>
      </c>
      <c r="M43" s="147" t="s">
        <v>248</v>
      </c>
      <c r="N43" s="147" t="s">
        <v>283</v>
      </c>
    </row>
    <row r="44" spans="1:43">
      <c r="A44" s="125" t="s">
        <v>117</v>
      </c>
      <c r="B44" s="145"/>
      <c r="C44" s="145"/>
      <c r="D44" s="145"/>
      <c r="E44" s="145"/>
      <c r="F44" s="145"/>
      <c r="G44" s="145"/>
      <c r="H44" s="145"/>
      <c r="I44" s="145"/>
      <c r="J44" s="145"/>
      <c r="K44" s="145"/>
      <c r="L44" s="145"/>
      <c r="M44" s="145"/>
      <c r="N44" s="145"/>
    </row>
    <row r="45" spans="1:43">
      <c r="A45" s="127" t="s">
        <v>46</v>
      </c>
      <c r="B45" s="204">
        <v>18502055.886999998</v>
      </c>
      <c r="C45" s="204">
        <v>18506699.644000001</v>
      </c>
      <c r="D45" s="204">
        <v>21414723.460000001</v>
      </c>
      <c r="E45" s="204">
        <v>20964210.107000001</v>
      </c>
      <c r="F45" s="204">
        <v>18669922.484999999</v>
      </c>
      <c r="G45" s="204">
        <v>19034122.653999999</v>
      </c>
      <c r="H45" s="204">
        <v>18627463.752</v>
      </c>
      <c r="I45" s="204">
        <v>20307044.521000002</v>
      </c>
      <c r="J45" s="204">
        <v>21596984.153000001</v>
      </c>
      <c r="K45" s="204">
        <v>19177656.296</v>
      </c>
      <c r="L45" s="204">
        <v>20774405.912</v>
      </c>
      <c r="M45" s="204">
        <v>16570299.571</v>
      </c>
      <c r="N45" s="204">
        <v>18108652.223999999</v>
      </c>
      <c r="O45" s="63"/>
      <c r="P45" s="197"/>
      <c r="Q45" s="127"/>
    </row>
    <row r="46" spans="1:43">
      <c r="A46" s="127" t="s">
        <v>47</v>
      </c>
      <c r="B46" s="205">
        <v>100</v>
      </c>
      <c r="C46" s="205">
        <v>100</v>
      </c>
      <c r="D46" s="205">
        <v>100</v>
      </c>
      <c r="E46" s="205">
        <v>100</v>
      </c>
      <c r="F46" s="205">
        <v>100</v>
      </c>
      <c r="G46" s="205">
        <v>100</v>
      </c>
      <c r="H46" s="205">
        <v>100</v>
      </c>
      <c r="I46" s="205">
        <v>100</v>
      </c>
      <c r="J46" s="205">
        <v>100</v>
      </c>
      <c r="K46" s="205">
        <v>100</v>
      </c>
      <c r="L46" s="205">
        <v>100</v>
      </c>
      <c r="M46" s="205">
        <v>100</v>
      </c>
      <c r="N46" s="205">
        <v>100</v>
      </c>
      <c r="Q46" s="127"/>
    </row>
    <row r="47" spans="1:43">
      <c r="A47" s="127" t="s">
        <v>48</v>
      </c>
      <c r="B47" s="192">
        <v>30.13</v>
      </c>
      <c r="C47" s="192">
        <v>56.84</v>
      </c>
      <c r="D47" s="192">
        <v>72.63</v>
      </c>
      <c r="E47" s="192">
        <v>91.31</v>
      </c>
      <c r="F47" s="192">
        <v>72.92</v>
      </c>
      <c r="G47" s="192">
        <v>70.11</v>
      </c>
      <c r="H47" s="192">
        <v>106.74</v>
      </c>
      <c r="I47" s="192">
        <v>114.01</v>
      </c>
      <c r="J47" s="209">
        <v>100.35</v>
      </c>
      <c r="K47" s="192">
        <v>110.76</v>
      </c>
      <c r="L47" s="192">
        <v>55.56</v>
      </c>
      <c r="M47" s="192">
        <v>29.11</v>
      </c>
      <c r="N47" s="192">
        <v>17.86</v>
      </c>
      <c r="Q47" s="185"/>
    </row>
    <row r="48" spans="1:43">
      <c r="A48" s="127" t="s">
        <v>49</v>
      </c>
      <c r="B48" s="192">
        <v>8.98</v>
      </c>
      <c r="C48" s="192">
        <v>5.5339999999999998</v>
      </c>
      <c r="D48" s="192">
        <v>3.4</v>
      </c>
      <c r="E48" s="192">
        <v>3.4</v>
      </c>
      <c r="F48" s="192">
        <v>4.47</v>
      </c>
      <c r="G48" s="192">
        <v>4.8499999999999996</v>
      </c>
      <c r="H48" s="192">
        <v>4.9829999999999997</v>
      </c>
      <c r="I48" s="192">
        <v>4.12</v>
      </c>
      <c r="J48" s="209">
        <v>4.22</v>
      </c>
      <c r="K48" s="192">
        <v>4.08</v>
      </c>
      <c r="L48" s="192">
        <v>6.62</v>
      </c>
      <c r="M48" s="192">
        <v>11.35</v>
      </c>
      <c r="N48" s="192">
        <v>21.974</v>
      </c>
      <c r="Q48" s="185"/>
    </row>
    <row r="49" spans="1:17">
      <c r="A49" s="127" t="s">
        <v>50</v>
      </c>
      <c r="B49" s="192">
        <v>3.07</v>
      </c>
      <c r="C49" s="192">
        <v>2.6030000000000002</v>
      </c>
      <c r="D49" s="192">
        <v>2.79</v>
      </c>
      <c r="E49" s="192">
        <v>3.18</v>
      </c>
      <c r="F49" s="192">
        <v>3.62</v>
      </c>
      <c r="G49" s="192">
        <v>5.5</v>
      </c>
      <c r="H49" s="192">
        <v>4.04</v>
      </c>
      <c r="I49" s="192">
        <v>3.61</v>
      </c>
      <c r="J49" s="209">
        <v>3.58</v>
      </c>
      <c r="K49" s="192">
        <v>7.11</v>
      </c>
      <c r="L49" s="192">
        <v>5.86</v>
      </c>
      <c r="M49" s="192">
        <v>4.51</v>
      </c>
      <c r="N49" s="192">
        <v>2.93</v>
      </c>
      <c r="Q49" s="185"/>
    </row>
    <row r="50" spans="1:17">
      <c r="A50" s="127" t="s">
        <v>51</v>
      </c>
      <c r="B50" s="192">
        <v>-0.06</v>
      </c>
      <c r="C50" s="192">
        <v>-0.11</v>
      </c>
      <c r="D50" s="192">
        <v>-7.0000000000000007E-2</v>
      </c>
      <c r="E50" s="192">
        <v>-0.13</v>
      </c>
      <c r="F50" s="192">
        <v>-0.09</v>
      </c>
      <c r="G50" s="192">
        <v>-7.0000000000000007E-2</v>
      </c>
      <c r="H50" s="192">
        <v>-0.09</v>
      </c>
      <c r="I50" s="192">
        <v>-0.08</v>
      </c>
      <c r="J50" s="209">
        <v>-0.1</v>
      </c>
      <c r="K50" s="192">
        <v>-0.1</v>
      </c>
      <c r="L50" s="192">
        <v>-0.1</v>
      </c>
      <c r="M50" s="192">
        <v>0</v>
      </c>
      <c r="N50" s="192">
        <v>-7.0000000000000007E-2</v>
      </c>
      <c r="Q50" s="185"/>
    </row>
    <row r="51" spans="1:17">
      <c r="A51" s="127" t="s">
        <v>52</v>
      </c>
      <c r="B51" s="192">
        <v>0</v>
      </c>
      <c r="C51" s="192">
        <v>0</v>
      </c>
      <c r="D51" s="192">
        <v>0</v>
      </c>
      <c r="E51" s="192">
        <v>0</v>
      </c>
      <c r="F51" s="192">
        <v>0</v>
      </c>
      <c r="G51" s="192">
        <v>0</v>
      </c>
      <c r="H51" s="192">
        <v>0</v>
      </c>
      <c r="I51" s="192">
        <v>0</v>
      </c>
      <c r="J51" s="192">
        <v>0</v>
      </c>
      <c r="K51" s="192">
        <v>0</v>
      </c>
      <c r="L51" s="192">
        <v>0</v>
      </c>
      <c r="M51" s="192">
        <v>0</v>
      </c>
      <c r="N51" s="192">
        <v>0</v>
      </c>
      <c r="Q51" s="185"/>
    </row>
    <row r="52" spans="1:17">
      <c r="A52" s="127" t="s">
        <v>53</v>
      </c>
      <c r="B52" s="192">
        <v>0</v>
      </c>
      <c r="C52" s="192">
        <v>0</v>
      </c>
      <c r="D52" s="192">
        <v>0</v>
      </c>
      <c r="E52" s="192">
        <v>0</v>
      </c>
      <c r="F52" s="192">
        <v>0</v>
      </c>
      <c r="G52" s="192">
        <v>0</v>
      </c>
      <c r="H52" s="192">
        <v>0</v>
      </c>
      <c r="I52" s="192">
        <v>0</v>
      </c>
      <c r="J52" s="192">
        <v>0</v>
      </c>
      <c r="K52" s="192">
        <v>0</v>
      </c>
      <c r="L52" s="211">
        <v>0</v>
      </c>
      <c r="M52" s="192">
        <v>0</v>
      </c>
      <c r="N52" s="192">
        <v>0</v>
      </c>
      <c r="Q52" s="185"/>
    </row>
    <row r="53" spans="1:17">
      <c r="A53" s="127" t="s">
        <v>199</v>
      </c>
      <c r="B53" s="192">
        <v>1.89</v>
      </c>
      <c r="C53" s="192">
        <v>3.09</v>
      </c>
      <c r="D53" s="211">
        <v>1.6459999999999999</v>
      </c>
      <c r="E53" s="192">
        <v>1.63</v>
      </c>
      <c r="F53" s="192">
        <v>2.09</v>
      </c>
      <c r="G53" s="192">
        <v>3.03</v>
      </c>
      <c r="H53" s="192">
        <v>3.1629999999999998</v>
      </c>
      <c r="I53" s="192">
        <v>3.62</v>
      </c>
      <c r="J53" s="192">
        <v>3.23</v>
      </c>
      <c r="K53" s="192">
        <v>3.47</v>
      </c>
      <c r="L53" s="211">
        <v>2.524</v>
      </c>
      <c r="M53" s="192">
        <v>1.79</v>
      </c>
      <c r="N53" s="192">
        <v>1.3</v>
      </c>
      <c r="Q53" s="185"/>
    </row>
    <row r="54" spans="1:17">
      <c r="A54" s="127" t="s">
        <v>197</v>
      </c>
      <c r="B54" s="192">
        <v>0.03</v>
      </c>
      <c r="C54" s="192">
        <v>0.04</v>
      </c>
      <c r="D54" s="211">
        <v>0.03</v>
      </c>
      <c r="E54" s="192">
        <v>0.03</v>
      </c>
      <c r="F54" s="192">
        <v>0.04</v>
      </c>
      <c r="G54" s="192">
        <v>0.05</v>
      </c>
      <c r="H54" s="192">
        <v>0.06</v>
      </c>
      <c r="I54" s="192">
        <v>0.06</v>
      </c>
      <c r="J54" s="192">
        <v>0.08</v>
      </c>
      <c r="K54" s="192">
        <v>0.05</v>
      </c>
      <c r="L54" s="211">
        <v>0.03</v>
      </c>
      <c r="M54" s="192">
        <v>0.04</v>
      </c>
      <c r="N54" s="192">
        <v>0.02</v>
      </c>
      <c r="Q54" s="185"/>
    </row>
    <row r="55" spans="1:17">
      <c r="A55" s="127" t="s">
        <v>54</v>
      </c>
      <c r="B55" s="192">
        <v>-0.06</v>
      </c>
      <c r="C55" s="192">
        <v>-0.09</v>
      </c>
      <c r="D55" s="192">
        <v>-7.0000000000000007E-2</v>
      </c>
      <c r="E55" s="192">
        <v>-0.08</v>
      </c>
      <c r="F55" s="192">
        <v>-0.1</v>
      </c>
      <c r="G55" s="192">
        <v>-0.12</v>
      </c>
      <c r="H55" s="192">
        <v>-0.53</v>
      </c>
      <c r="I55" s="192">
        <v>-1</v>
      </c>
      <c r="J55" s="192">
        <v>-0.73</v>
      </c>
      <c r="K55" s="192">
        <v>-0.81</v>
      </c>
      <c r="L55" s="211">
        <v>-0.6</v>
      </c>
      <c r="M55" s="192">
        <v>-0.43</v>
      </c>
      <c r="N55" s="192">
        <v>-0.2</v>
      </c>
      <c r="Q55" s="185"/>
    </row>
    <row r="56" spans="1:17">
      <c r="A56" s="127" t="s">
        <v>55</v>
      </c>
      <c r="B56" s="192">
        <v>0.36</v>
      </c>
      <c r="C56" s="192">
        <v>0.36</v>
      </c>
      <c r="D56" s="211">
        <v>0.30599999999999999</v>
      </c>
      <c r="E56" s="192">
        <v>0.43</v>
      </c>
      <c r="F56" s="192">
        <v>0.43</v>
      </c>
      <c r="G56" s="192">
        <v>0.42</v>
      </c>
      <c r="H56" s="192">
        <v>0.31</v>
      </c>
      <c r="I56" s="192">
        <v>0.34</v>
      </c>
      <c r="J56" s="192">
        <v>0.62</v>
      </c>
      <c r="K56" s="192">
        <v>0.51</v>
      </c>
      <c r="L56" s="211">
        <v>0.5</v>
      </c>
      <c r="M56" s="192">
        <v>0.6</v>
      </c>
      <c r="N56" s="192">
        <v>0.314</v>
      </c>
      <c r="Q56" s="185"/>
    </row>
    <row r="57" spans="1:17">
      <c r="A57" s="127" t="s">
        <v>56</v>
      </c>
      <c r="B57" s="192">
        <v>0</v>
      </c>
      <c r="C57" s="192">
        <v>0.02</v>
      </c>
      <c r="D57" s="211">
        <v>0.09</v>
      </c>
      <c r="E57" s="192">
        <v>0.23</v>
      </c>
      <c r="F57" s="192">
        <v>0.43</v>
      </c>
      <c r="G57" s="192">
        <v>0.66</v>
      </c>
      <c r="H57" s="192">
        <v>0.1</v>
      </c>
      <c r="I57" s="192">
        <v>-0.11</v>
      </c>
      <c r="J57" s="192">
        <v>0.11</v>
      </c>
      <c r="K57" s="192">
        <v>1.55</v>
      </c>
      <c r="L57" s="211">
        <v>0.59</v>
      </c>
      <c r="M57" s="192">
        <v>0.3</v>
      </c>
      <c r="N57" s="192">
        <v>-0.21</v>
      </c>
      <c r="Q57" s="185"/>
    </row>
    <row r="58" spans="1:17">
      <c r="A58" s="127" t="s">
        <v>22</v>
      </c>
      <c r="B58" s="192">
        <v>-0.13</v>
      </c>
      <c r="C58" s="192">
        <v>-0.11</v>
      </c>
      <c r="D58" s="192">
        <v>-0.09</v>
      </c>
      <c r="E58" s="192">
        <v>-0.1</v>
      </c>
      <c r="F58" s="192">
        <v>-0.12</v>
      </c>
      <c r="G58" s="192">
        <v>-0.11</v>
      </c>
      <c r="H58" s="192">
        <v>-0.12</v>
      </c>
      <c r="I58" s="192">
        <v>-0.1</v>
      </c>
      <c r="J58" s="192">
        <v>-0.12</v>
      </c>
      <c r="K58" s="192">
        <v>-0.09</v>
      </c>
      <c r="L58" s="211">
        <v>-0.1</v>
      </c>
      <c r="M58" s="192">
        <v>-0.12</v>
      </c>
      <c r="N58" s="192">
        <v>-0.11</v>
      </c>
      <c r="Q58" s="185"/>
    </row>
    <row r="59" spans="1:17">
      <c r="A59" s="127" t="s">
        <v>57</v>
      </c>
      <c r="B59" s="192">
        <v>0.15</v>
      </c>
      <c r="C59" s="192">
        <v>0.15</v>
      </c>
      <c r="D59" s="192">
        <v>0.31</v>
      </c>
      <c r="E59" s="192">
        <v>0.16</v>
      </c>
      <c r="F59" s="192">
        <v>0.16</v>
      </c>
      <c r="G59" s="192">
        <v>0.16</v>
      </c>
      <c r="H59" s="192">
        <v>0.19</v>
      </c>
      <c r="I59" s="192">
        <v>0.28000000000000003</v>
      </c>
      <c r="J59" s="192">
        <v>0.27</v>
      </c>
      <c r="K59" s="192">
        <v>0.27</v>
      </c>
      <c r="L59" s="211">
        <v>0.18</v>
      </c>
      <c r="M59" s="192">
        <v>0.14000000000000001</v>
      </c>
      <c r="N59" s="192">
        <v>0.13</v>
      </c>
      <c r="Q59" s="185"/>
    </row>
    <row r="60" spans="1:17">
      <c r="A60" s="127" t="s">
        <v>200</v>
      </c>
      <c r="B60" s="192">
        <v>0</v>
      </c>
      <c r="C60" s="192">
        <v>0</v>
      </c>
      <c r="D60" s="192">
        <v>0</v>
      </c>
      <c r="E60" s="192">
        <v>0</v>
      </c>
      <c r="F60" s="192">
        <v>0</v>
      </c>
      <c r="G60" s="192">
        <v>0</v>
      </c>
      <c r="H60" s="192">
        <v>0</v>
      </c>
      <c r="I60" s="192">
        <v>0</v>
      </c>
      <c r="J60" s="192">
        <v>0</v>
      </c>
      <c r="K60" s="192">
        <v>0</v>
      </c>
      <c r="L60" s="211">
        <v>0</v>
      </c>
      <c r="M60" s="192">
        <v>0</v>
      </c>
      <c r="N60" s="192">
        <v>0</v>
      </c>
      <c r="Q60" s="185"/>
    </row>
    <row r="61" spans="1:17">
      <c r="A61" s="127" t="s">
        <v>58</v>
      </c>
      <c r="B61" s="192">
        <v>0.05</v>
      </c>
      <c r="C61" s="192">
        <v>0.04</v>
      </c>
      <c r="D61" s="192">
        <v>0.06</v>
      </c>
      <c r="E61" s="192">
        <v>0.04</v>
      </c>
      <c r="F61" s="192">
        <v>0.04</v>
      </c>
      <c r="G61" s="192">
        <v>0.06</v>
      </c>
      <c r="H61" s="192">
        <v>0.06</v>
      </c>
      <c r="I61" s="192">
        <v>0.02</v>
      </c>
      <c r="J61" s="192">
        <v>0.05</v>
      </c>
      <c r="K61" s="192">
        <v>0.05</v>
      </c>
      <c r="L61" s="211">
        <v>0.05</v>
      </c>
      <c r="M61" s="192">
        <v>0.04</v>
      </c>
      <c r="N61" s="192">
        <v>0.04</v>
      </c>
      <c r="Q61" s="185"/>
    </row>
    <row r="62" spans="1:17">
      <c r="A62" s="127" t="s">
        <v>198</v>
      </c>
      <c r="B62" s="192">
        <v>0</v>
      </c>
      <c r="C62" s="192">
        <v>0</v>
      </c>
      <c r="D62" s="192">
        <v>0</v>
      </c>
      <c r="E62" s="192">
        <v>0</v>
      </c>
      <c r="F62" s="192">
        <v>0</v>
      </c>
      <c r="G62" s="192">
        <v>0</v>
      </c>
      <c r="H62" s="192">
        <v>0</v>
      </c>
      <c r="I62" s="192">
        <v>0</v>
      </c>
      <c r="J62" s="192">
        <v>0</v>
      </c>
      <c r="K62" s="192">
        <v>0</v>
      </c>
      <c r="L62" s="211">
        <v>0</v>
      </c>
      <c r="M62" s="192">
        <v>0</v>
      </c>
      <c r="N62" s="192">
        <v>0</v>
      </c>
      <c r="Q62" s="185"/>
    </row>
    <row r="63" spans="1:17">
      <c r="A63" s="127" t="s">
        <v>184</v>
      </c>
      <c r="B63" s="192">
        <v>0</v>
      </c>
      <c r="C63" s="192">
        <v>0</v>
      </c>
      <c r="D63" s="192">
        <v>0</v>
      </c>
      <c r="E63" s="192">
        <v>0</v>
      </c>
      <c r="F63" s="192">
        <v>0</v>
      </c>
      <c r="G63" s="192">
        <v>0</v>
      </c>
      <c r="H63" s="192">
        <v>0</v>
      </c>
      <c r="I63" s="192">
        <v>0</v>
      </c>
      <c r="J63" s="192">
        <v>0</v>
      </c>
      <c r="K63" s="192">
        <v>0</v>
      </c>
      <c r="L63" s="211">
        <v>0</v>
      </c>
      <c r="M63" s="192">
        <v>0</v>
      </c>
      <c r="N63" s="192">
        <v>0</v>
      </c>
      <c r="Q63" s="185"/>
    </row>
    <row r="64" spans="1:17">
      <c r="A64" s="127" t="s">
        <v>185</v>
      </c>
      <c r="B64" s="192">
        <v>0</v>
      </c>
      <c r="C64" s="192">
        <v>0</v>
      </c>
      <c r="D64" s="192">
        <v>0</v>
      </c>
      <c r="E64" s="192">
        <v>0</v>
      </c>
      <c r="F64" s="192">
        <v>0</v>
      </c>
      <c r="G64" s="192">
        <v>0</v>
      </c>
      <c r="H64" s="192">
        <v>0</v>
      </c>
      <c r="I64" s="192">
        <v>0</v>
      </c>
      <c r="J64" s="192">
        <v>0</v>
      </c>
      <c r="K64" s="192">
        <v>0</v>
      </c>
      <c r="L64" s="211">
        <v>0</v>
      </c>
      <c r="M64" s="192">
        <v>0</v>
      </c>
      <c r="N64" s="192">
        <v>0</v>
      </c>
      <c r="Q64" s="185"/>
    </row>
    <row r="65" spans="1:17">
      <c r="A65" s="127" t="s">
        <v>186</v>
      </c>
      <c r="B65" s="192">
        <v>0</v>
      </c>
      <c r="C65" s="192">
        <v>0</v>
      </c>
      <c r="D65" s="192">
        <v>0</v>
      </c>
      <c r="E65" s="192">
        <v>0</v>
      </c>
      <c r="F65" s="192">
        <v>0</v>
      </c>
      <c r="G65" s="192">
        <v>0</v>
      </c>
      <c r="H65" s="192">
        <v>0</v>
      </c>
      <c r="I65" s="192">
        <v>0</v>
      </c>
      <c r="J65" s="192">
        <v>0</v>
      </c>
      <c r="K65" s="192">
        <v>0</v>
      </c>
      <c r="L65" s="211">
        <v>0</v>
      </c>
      <c r="M65" s="192">
        <v>0</v>
      </c>
      <c r="N65" s="192">
        <v>0</v>
      </c>
      <c r="O65" s="141">
        <f>(N71/M71-1)</f>
        <v>-7.047619047619047E-2</v>
      </c>
      <c r="P65" s="141">
        <f>(N71/B71-1)</f>
        <v>-1.0141987829614507E-2</v>
      </c>
      <c r="Q65" s="185"/>
    </row>
    <row r="66" spans="1:17">
      <c r="A66" s="127" t="s">
        <v>201</v>
      </c>
      <c r="B66" s="192">
        <v>-0.67</v>
      </c>
      <c r="C66" s="192">
        <v>-0.62</v>
      </c>
      <c r="D66" s="192">
        <v>-0.56999999999999995</v>
      </c>
      <c r="E66" s="192">
        <v>-0.56999999999999995</v>
      </c>
      <c r="F66" s="192">
        <v>-0.63</v>
      </c>
      <c r="G66" s="192">
        <v>-0.68</v>
      </c>
      <c r="H66" s="192">
        <v>-0.61</v>
      </c>
      <c r="I66" s="192">
        <v>-0.54</v>
      </c>
      <c r="J66" s="192">
        <v>-1.1000000000000001</v>
      </c>
      <c r="K66" s="192">
        <v>-1.1599999999999999</v>
      </c>
      <c r="L66" s="211">
        <v>-1.1339999999999999</v>
      </c>
      <c r="M66" s="192">
        <v>-1.25</v>
      </c>
      <c r="N66" s="192">
        <v>-1.32</v>
      </c>
      <c r="Q66" s="185"/>
    </row>
    <row r="67" spans="1:17">
      <c r="A67" s="127" t="s">
        <v>202</v>
      </c>
      <c r="B67" s="192">
        <v>0.01</v>
      </c>
      <c r="C67" s="192">
        <v>0.01</v>
      </c>
      <c r="D67" s="192">
        <v>0.01</v>
      </c>
      <c r="E67" s="192">
        <v>0.04</v>
      </c>
      <c r="F67" s="192">
        <v>0.02</v>
      </c>
      <c r="G67" s="192">
        <v>0.03</v>
      </c>
      <c r="H67" s="192">
        <v>0.02</v>
      </c>
      <c r="I67" s="192">
        <v>0.04</v>
      </c>
      <c r="J67" s="192">
        <v>0.03</v>
      </c>
      <c r="K67" s="192">
        <v>0.01</v>
      </c>
      <c r="L67" s="211">
        <v>0.01</v>
      </c>
      <c r="M67" s="192">
        <v>0.01</v>
      </c>
      <c r="N67" s="192">
        <v>0.1</v>
      </c>
      <c r="P67">
        <f>M71/N71</f>
        <v>1.0758196721311475</v>
      </c>
      <c r="Q67" s="185"/>
    </row>
    <row r="68" spans="1:17">
      <c r="A68" s="127" t="s">
        <v>203</v>
      </c>
      <c r="B68" s="192">
        <v>0.62</v>
      </c>
      <c r="C68" s="192">
        <v>0.52</v>
      </c>
      <c r="D68" s="192">
        <v>0.53</v>
      </c>
      <c r="E68" s="192">
        <v>0.5</v>
      </c>
      <c r="F68" s="192">
        <v>0.54</v>
      </c>
      <c r="G68" s="192">
        <v>0.59</v>
      </c>
      <c r="H68" s="192">
        <v>0.56000000000000005</v>
      </c>
      <c r="I68" s="192">
        <v>0.47</v>
      </c>
      <c r="J68" s="192">
        <v>0.99</v>
      </c>
      <c r="K68" s="192">
        <v>1.0900000000000001</v>
      </c>
      <c r="L68" s="211">
        <v>1.04</v>
      </c>
      <c r="M68" s="192">
        <v>1.1499999999999999</v>
      </c>
      <c r="N68" s="192">
        <v>1.1499999999999999</v>
      </c>
      <c r="Q68" s="185"/>
    </row>
    <row r="69" spans="1:17">
      <c r="A69" s="127" t="s">
        <v>204</v>
      </c>
      <c r="B69" s="192">
        <v>0.01</v>
      </c>
      <c r="C69" s="192">
        <v>0.01</v>
      </c>
      <c r="D69" s="192">
        <v>0.01</v>
      </c>
      <c r="E69" s="192">
        <v>0.01</v>
      </c>
      <c r="F69" s="192">
        <v>0.01</v>
      </c>
      <c r="G69" s="192">
        <v>0.01</v>
      </c>
      <c r="H69" s="192">
        <v>0.01</v>
      </c>
      <c r="I69" s="192">
        <v>0.01</v>
      </c>
      <c r="J69" s="192">
        <v>0.02</v>
      </c>
      <c r="K69" s="192">
        <v>0.03</v>
      </c>
      <c r="L69" s="211">
        <v>0.02</v>
      </c>
      <c r="M69" s="192">
        <v>0.02</v>
      </c>
      <c r="N69" s="192">
        <v>0.02</v>
      </c>
      <c r="Q69" s="185"/>
    </row>
    <row r="70" spans="1:17">
      <c r="A70" s="127" t="s">
        <v>296</v>
      </c>
      <c r="B70" s="210">
        <v>-0.01</v>
      </c>
      <c r="C70" s="210">
        <v>-0.01</v>
      </c>
      <c r="D70" s="207">
        <v>0</v>
      </c>
      <c r="E70" s="207">
        <v>-0.01</v>
      </c>
      <c r="F70" s="207">
        <v>-0.01</v>
      </c>
      <c r="G70" s="207">
        <v>-0.01</v>
      </c>
      <c r="H70" s="210">
        <v>-0.01</v>
      </c>
      <c r="I70" s="210">
        <v>-0.01</v>
      </c>
      <c r="J70" s="210">
        <v>-0.01</v>
      </c>
      <c r="K70" s="210">
        <v>-0.01</v>
      </c>
      <c r="L70" s="210">
        <v>-0.01</v>
      </c>
      <c r="M70" s="207">
        <v>-0.01</v>
      </c>
      <c r="N70" s="207">
        <v>-0.01</v>
      </c>
      <c r="Q70" s="185"/>
    </row>
    <row r="71" spans="1:17">
      <c r="A71" s="127" t="s">
        <v>59</v>
      </c>
      <c r="B71" s="206">
        <v>44.37</v>
      </c>
      <c r="C71" s="206">
        <v>68.28</v>
      </c>
      <c r="D71" s="206">
        <v>81.010000000000005</v>
      </c>
      <c r="E71" s="206">
        <v>100.07</v>
      </c>
      <c r="F71" s="206">
        <v>83.82</v>
      </c>
      <c r="G71" s="206">
        <v>84.48</v>
      </c>
      <c r="H71" s="206">
        <v>118.88</v>
      </c>
      <c r="I71" s="206">
        <v>124.74</v>
      </c>
      <c r="J71" s="206">
        <v>111.49</v>
      </c>
      <c r="K71" s="206">
        <v>126.81</v>
      </c>
      <c r="L71" s="206">
        <v>71.040000000000006</v>
      </c>
      <c r="M71" s="206">
        <v>47.25</v>
      </c>
      <c r="N71" s="206">
        <v>43.92</v>
      </c>
    </row>
    <row r="72" spans="1:17">
      <c r="A72" s="63"/>
      <c r="B72" s="63"/>
      <c r="C72" s="63"/>
      <c r="D72" s="63"/>
      <c r="E72" s="63"/>
      <c r="F72" s="63"/>
      <c r="G72" s="63"/>
      <c r="H72" s="63"/>
      <c r="I72" s="63"/>
      <c r="J72" s="63"/>
      <c r="K72" s="63"/>
      <c r="L72" s="63"/>
      <c r="M72" s="63"/>
      <c r="N72" s="63"/>
    </row>
    <row r="73" spans="1:17">
      <c r="N73" s="141">
        <f>N71/M71-1</f>
        <v>-7.047619047619047E-2</v>
      </c>
    </row>
    <row r="74" spans="1:17">
      <c r="L74" s="63"/>
      <c r="N74" s="141">
        <f>N71/B71-1</f>
        <v>-1.0141987829614507E-2</v>
      </c>
    </row>
    <row r="80" spans="1:17">
      <c r="A80" s="184" t="s">
        <v>18</v>
      </c>
      <c r="B80" s="184"/>
      <c r="C80" s="184"/>
      <c r="D80" s="90"/>
      <c r="E80" s="91"/>
      <c r="F80" s="91"/>
      <c r="G80" s="91"/>
      <c r="H80" s="91"/>
      <c r="I80" s="91"/>
      <c r="J80" s="91"/>
      <c r="K80" s="91"/>
      <c r="L80" s="91"/>
      <c r="M80" s="91"/>
      <c r="N80" s="91"/>
    </row>
    <row r="81" spans="1:16">
      <c r="A81" s="87"/>
      <c r="B81" s="92" t="str">
        <f>MID(B43,6,1)</f>
        <v>M</v>
      </c>
      <c r="C81" s="92" t="str">
        <f t="shared" ref="C81:N81" si="1">MID(C43,6,1)</f>
        <v>J</v>
      </c>
      <c r="D81" s="92" t="str">
        <f t="shared" si="1"/>
        <v>J</v>
      </c>
      <c r="E81" s="92" t="str">
        <f t="shared" si="1"/>
        <v>A</v>
      </c>
      <c r="F81" s="92" t="str">
        <f t="shared" si="1"/>
        <v>S</v>
      </c>
      <c r="G81" s="92" t="str">
        <f t="shared" si="1"/>
        <v>O</v>
      </c>
      <c r="H81" s="92" t="str">
        <f t="shared" si="1"/>
        <v>N</v>
      </c>
      <c r="I81" s="92" t="str">
        <f t="shared" si="1"/>
        <v>D</v>
      </c>
      <c r="J81" s="92" t="str">
        <f t="shared" si="1"/>
        <v>E</v>
      </c>
      <c r="K81" s="92" t="str">
        <f t="shared" si="1"/>
        <v>F</v>
      </c>
      <c r="L81" s="92" t="str">
        <f t="shared" si="1"/>
        <v>M</v>
      </c>
      <c r="M81" s="92" t="str">
        <f t="shared" si="1"/>
        <v>A</v>
      </c>
      <c r="N81" s="92" t="str">
        <f t="shared" si="1"/>
        <v>M</v>
      </c>
    </row>
    <row r="82" spans="1:16">
      <c r="A82" s="88" t="s">
        <v>20</v>
      </c>
      <c r="B82" s="93">
        <f>VLOOKUP("Restricciones PBF",$A$45:$N$71,2,FALSE)</f>
        <v>8.98</v>
      </c>
      <c r="C82" s="93">
        <f>VLOOKUP("Restricciones PBF",$A$45:$N$71,3,FALSE)</f>
        <v>5.5339999999999998</v>
      </c>
      <c r="D82" s="93">
        <f>VLOOKUP("Restricciones PBF",$A$45:$N$71,4,FALSE)</f>
        <v>3.4</v>
      </c>
      <c r="E82" s="93">
        <f>VLOOKUP("Restricciones PBF",$A$45:$N$71,5,FALSE)</f>
        <v>3.4</v>
      </c>
      <c r="F82" s="93">
        <f>VLOOKUP("Restricciones PBF",$A$45:$N$71,6,FALSE)</f>
        <v>4.47</v>
      </c>
      <c r="G82" s="93">
        <f>VLOOKUP("Restricciones PBF",$A$45:$N$71,7,FALSE)</f>
        <v>4.8499999999999996</v>
      </c>
      <c r="H82" s="93">
        <f>VLOOKUP("Restricciones PBF",$A$45:$N$71,8,FALSE)</f>
        <v>4.9829999999999997</v>
      </c>
      <c r="I82" s="93">
        <f>VLOOKUP("Restricciones PBF",$A$45:$N$71,9,FALSE)</f>
        <v>4.12</v>
      </c>
      <c r="J82" s="93">
        <f>VLOOKUP("Restricciones PBF",$A$45:$N$71,10,FALSE)</f>
        <v>4.22</v>
      </c>
      <c r="K82" s="93">
        <f>VLOOKUP("Restricciones PBF",$A$45:$N$71,11,FALSE)</f>
        <v>4.08</v>
      </c>
      <c r="L82" s="93">
        <f>VLOOKUP("Restricciones PBF",$A$45:$N$71,12,FALSE)</f>
        <v>6.62</v>
      </c>
      <c r="M82" s="93">
        <f>VLOOKUP("Restricciones PBF",$A$45:$N$71,13,FALSE)</f>
        <v>11.35</v>
      </c>
      <c r="N82" s="93">
        <f>VLOOKUP("Restricciones PBF",$A$45:$N$71,14,FALSE)</f>
        <v>21.974</v>
      </c>
    </row>
    <row r="83" spans="1:16">
      <c r="A83" s="88" t="s">
        <v>24</v>
      </c>
      <c r="B83" s="93">
        <f>VLOOKUP("Restricciones TR",$A$45:$N$71,2,FALSE)</f>
        <v>3.07</v>
      </c>
      <c r="C83" s="93">
        <f>VLOOKUP("Restricciones TR",$A$45:$N$71,3,FALSE)</f>
        <v>2.6030000000000002</v>
      </c>
      <c r="D83" s="93">
        <f>VLOOKUP("Restricciones TR",$A$45:$N$71,4,FALSE)</f>
        <v>2.79</v>
      </c>
      <c r="E83" s="93">
        <f>VLOOKUP("Restricciones TR",$A$45:$N$71,5,FALSE)</f>
        <v>3.18</v>
      </c>
      <c r="F83" s="93">
        <f>VLOOKUP("Restricciones TR",$A$45:$N$71,6,FALSE)</f>
        <v>3.62</v>
      </c>
      <c r="G83" s="93">
        <f>VLOOKUP("Restricciones TR",$A$45:$N$71,7,FALSE)</f>
        <v>5.5</v>
      </c>
      <c r="H83" s="93">
        <f>VLOOKUP("Restricciones TR",$A$45:$N$71,8,FALSE)</f>
        <v>4.04</v>
      </c>
      <c r="I83" s="93">
        <f>VLOOKUP("Restricciones TR",$A$45:$N$71,9,FALSE)</f>
        <v>3.61</v>
      </c>
      <c r="J83" s="93">
        <f>VLOOKUP("Restricciones TR",$A$45:$N$71,10,FALSE)</f>
        <v>3.58</v>
      </c>
      <c r="K83" s="93">
        <f>VLOOKUP("Restricciones TR",$A$45:$N$71,11,FALSE)</f>
        <v>7.11</v>
      </c>
      <c r="L83" s="93">
        <f>VLOOKUP("Restricciones TR",$A$45:$N$71,12,FALSE)</f>
        <v>5.86</v>
      </c>
      <c r="M83" s="93">
        <f>VLOOKUP("Restricciones TR",$A$45:$N$71,13,FALSE)</f>
        <v>4.51</v>
      </c>
      <c r="N83" s="93">
        <f>VLOOKUP("Restricciones TR",$A$45:$N$71,14,FALSE)</f>
        <v>2.93</v>
      </c>
    </row>
    <row r="84" spans="1:16">
      <c r="A84" s="88" t="s">
        <v>188</v>
      </c>
      <c r="B84" s="93">
        <f>B53+B54+B68+B69</f>
        <v>2.5499999999999998</v>
      </c>
      <c r="C84" s="93">
        <f t="shared" ref="C84:H84" si="2">C53+C54+C68+C69</f>
        <v>3.6599999999999997</v>
      </c>
      <c r="D84" s="93">
        <f t="shared" si="2"/>
        <v>2.2159999999999997</v>
      </c>
      <c r="E84" s="93">
        <f t="shared" si="2"/>
        <v>2.17</v>
      </c>
      <c r="F84" s="93">
        <f t="shared" si="2"/>
        <v>2.6799999999999997</v>
      </c>
      <c r="G84" s="93">
        <f>G53+G54+G68+G69</f>
        <v>3.6799999999999993</v>
      </c>
      <c r="H84" s="93">
        <f t="shared" si="2"/>
        <v>3.7929999999999997</v>
      </c>
      <c r="I84" s="93">
        <f t="shared" ref="I84:N84" si="3">I53+I54+I68+I69</f>
        <v>4.16</v>
      </c>
      <c r="J84" s="93">
        <f t="shared" si="3"/>
        <v>4.3199999999999994</v>
      </c>
      <c r="K84" s="93">
        <f t="shared" si="3"/>
        <v>4.6400000000000006</v>
      </c>
      <c r="L84" s="93">
        <f t="shared" si="3"/>
        <v>3.6139999999999999</v>
      </c>
      <c r="M84" s="93">
        <f t="shared" si="3"/>
        <v>3</v>
      </c>
      <c r="N84" s="93">
        <f t="shared" si="3"/>
        <v>2.4899999999999998</v>
      </c>
    </row>
    <row r="85" spans="1:16">
      <c r="A85" s="88" t="s">
        <v>54</v>
      </c>
      <c r="B85" s="93">
        <f>VLOOKUP("Incumplimiento energía balance",$A$45:$N$71,2,FALSE)</f>
        <v>-0.06</v>
      </c>
      <c r="C85" s="93">
        <f>VLOOKUP("Incumplimiento energía balance",$A$45:$N$71,3,FALSE)</f>
        <v>-0.09</v>
      </c>
      <c r="D85" s="93">
        <f>VLOOKUP("Incumplimiento energía balance",$A$45:$N$71,4,FALSE)</f>
        <v>-7.0000000000000007E-2</v>
      </c>
      <c r="E85" s="93">
        <f>VLOOKUP("Incumplimiento energía balance",$A$45:$N$71,5,FALSE)</f>
        <v>-0.08</v>
      </c>
      <c r="F85" s="93">
        <f>VLOOKUP("Incumplimiento energía balance",$A$45:$N$71,6,FALSE)</f>
        <v>-0.1</v>
      </c>
      <c r="G85" s="93">
        <f>VLOOKUP("Incumplimiento energía balance",$A$45:$N$71,7,FALSE)</f>
        <v>-0.12</v>
      </c>
      <c r="H85" s="93">
        <f>VLOOKUP("Incumplimiento energía balance",$A$45:$N$71,8,FALSE)</f>
        <v>-0.53</v>
      </c>
      <c r="I85" s="93">
        <f>VLOOKUP("Incumplimiento energía balance",$A$45:$N$71,9,FALSE)</f>
        <v>-1</v>
      </c>
      <c r="J85" s="93">
        <f>VLOOKUP("Incumplimiento energía balance",$A$45:$N$71,10,FALSE)</f>
        <v>-0.73</v>
      </c>
      <c r="K85" s="93">
        <f>VLOOKUP("Incumplimiento energía balance",$A$45:$N$71,11,FALSE)</f>
        <v>-0.81</v>
      </c>
      <c r="L85" s="93">
        <f>VLOOKUP("Incumplimiento energía balance",$A$45:$N$71,12,FALSE)</f>
        <v>-0.6</v>
      </c>
      <c r="M85" s="93">
        <f>VLOOKUP("Incumplimiento energía balance",$A$45:$N$71,13,FALSE)</f>
        <v>-0.43</v>
      </c>
      <c r="N85" s="93">
        <f>VLOOKUP("Incumplimiento energía balance",$A$45:$N$71,14,FALSE)</f>
        <v>-0.2</v>
      </c>
    </row>
    <row r="86" spans="1:16">
      <c r="A86" s="88" t="s">
        <v>55</v>
      </c>
      <c r="B86" s="93">
        <f>VLOOKUP("Coste desvíos",$A$45:$N$71,2,FALSE)</f>
        <v>0.36</v>
      </c>
      <c r="C86" s="93">
        <f>VLOOKUP("Coste desvíos",$A$45:$N$71,3,FALSE)</f>
        <v>0.36</v>
      </c>
      <c r="D86" s="93">
        <f>VLOOKUP("Coste desvíos",$A$45:$N$71,4,FALSE)</f>
        <v>0.30599999999999999</v>
      </c>
      <c r="E86" s="93">
        <f>VLOOKUP("Coste desvíos",$A$45:$N$71,5,FALSE)</f>
        <v>0.43</v>
      </c>
      <c r="F86" s="93">
        <f>VLOOKUP("Coste desvíos",$A$45:$N$71,6,FALSE)</f>
        <v>0.43</v>
      </c>
      <c r="G86" s="93">
        <f>VLOOKUP("Coste desvíos",$A$45:$N$71,7,FALSE)</f>
        <v>0.42</v>
      </c>
      <c r="H86" s="93">
        <f>VLOOKUP("Coste desvíos",$A$45:$N$71,8,FALSE)</f>
        <v>0.31</v>
      </c>
      <c r="I86" s="93">
        <f>VLOOKUP("Coste desvíos",$A$45:$N$71,9,FALSE)</f>
        <v>0.34</v>
      </c>
      <c r="J86" s="93">
        <f>VLOOKUP("Coste desvíos",$A$45:$N$71,10,FALSE)</f>
        <v>0.62</v>
      </c>
      <c r="K86" s="93">
        <f>VLOOKUP("Coste desvíos",$A$45:$N$71,11,FALSE)</f>
        <v>0.51</v>
      </c>
      <c r="L86" s="93">
        <f>VLOOKUP("Coste desvíos",$A$45:$N$71,12,FALSE)</f>
        <v>0.5</v>
      </c>
      <c r="M86" s="93">
        <f>VLOOKUP("Coste desvíos",$A$45:$N$71,12,FALSE)</f>
        <v>0.5</v>
      </c>
      <c r="N86" s="93">
        <f>VLOOKUP("Coste desvíos",$A$45:$N$71,14,FALSE)</f>
        <v>0.314</v>
      </c>
    </row>
    <row r="87" spans="1:16">
      <c r="A87" s="88" t="s">
        <v>56</v>
      </c>
      <c r="B87" s="93">
        <f>VLOOKUP("Saldo desvíos",$A$45:$N$71,2,FALSE)</f>
        <v>0</v>
      </c>
      <c r="C87" s="93">
        <f>VLOOKUP("Saldo desvíos",$A$45:$N$71,3,FALSE)</f>
        <v>0.02</v>
      </c>
      <c r="D87" s="93">
        <f>VLOOKUP("Saldo desvíos",$A$45:$N$71,4,FALSE)</f>
        <v>0.09</v>
      </c>
      <c r="E87" s="93">
        <f>VLOOKUP("Saldo desvíos",$A$45:$N$71,5,FALSE)</f>
        <v>0.23</v>
      </c>
      <c r="F87" s="93">
        <f>VLOOKUP("Saldo desvíos",$A$45:$N$71,6,FALSE)</f>
        <v>0.43</v>
      </c>
      <c r="G87" s="93">
        <f>VLOOKUP("Saldo desvíos",$A$45:$N$71,7,FALSE)</f>
        <v>0.66</v>
      </c>
      <c r="H87" s="93">
        <f>VLOOKUP("Saldo desvíos",$A$45:$N$71,8,FALSE)</f>
        <v>0.1</v>
      </c>
      <c r="I87" s="93">
        <f>VLOOKUP("Saldo desvíos",$A$45:$N$71,9,FALSE)</f>
        <v>-0.11</v>
      </c>
      <c r="J87" s="93">
        <f>VLOOKUP("Saldo desvíos",$A$45:$N$71,10,FALSE)</f>
        <v>0.11</v>
      </c>
      <c r="K87" s="93">
        <f>VLOOKUP("Saldo desvíos",$A$45:$N$71,11,FALSE)</f>
        <v>1.55</v>
      </c>
      <c r="L87" s="93">
        <f>VLOOKUP("Saldo desvíos",$A$45:$N$71,12,FALSE)</f>
        <v>0.59</v>
      </c>
      <c r="M87" s="93">
        <f>VLOOKUP("Saldo desvíos",$A$45:$N$71,12,FALSE)</f>
        <v>0.59</v>
      </c>
      <c r="N87" s="93">
        <f>VLOOKUP("Saldo desvíos",$A$45:$N$71,14,FALSE)</f>
        <v>-0.21</v>
      </c>
    </row>
    <row r="88" spans="1:16">
      <c r="A88" s="88" t="s">
        <v>22</v>
      </c>
      <c r="B88" s="93">
        <f>VLOOKUP("Control del factor de potencia",$A$45:$N$71,2,FALSE)</f>
        <v>-0.13</v>
      </c>
      <c r="C88" s="93">
        <f>VLOOKUP("Control del factor de potencia",$A$45:$N$71,3,FALSE)</f>
        <v>-0.11</v>
      </c>
      <c r="D88" s="93">
        <f>VLOOKUP("Control del factor de potencia",$A$45:$N$71,4,FALSE)</f>
        <v>-0.09</v>
      </c>
      <c r="E88" s="93">
        <f>VLOOKUP("Control del factor de potencia",$A$45:$N$71,5,FALSE)</f>
        <v>-0.1</v>
      </c>
      <c r="F88" s="93">
        <f>VLOOKUP("Control del factor de potencia",$A$45:$N$71,6,FALSE)</f>
        <v>-0.12</v>
      </c>
      <c r="G88" s="93">
        <f>VLOOKUP("Control del factor de potencia",$A$45:$N$71,7,FALSE)</f>
        <v>-0.11</v>
      </c>
      <c r="H88" s="93">
        <f>VLOOKUP("Control del factor de potencia",$A$45:$N$71,8,FALSE)</f>
        <v>-0.12</v>
      </c>
      <c r="I88" s="93">
        <f>VLOOKUP("Control del factor de potencia",$A$45:$N$71,9,FALSE)</f>
        <v>-0.1</v>
      </c>
      <c r="J88" s="93">
        <f>VLOOKUP("Control del factor de potencia",$A$45:$N$71,10,FALSE)</f>
        <v>-0.12</v>
      </c>
      <c r="K88" s="93">
        <f>VLOOKUP("Control del factor de potencia",$A$45:$N$71,11,FALSE)</f>
        <v>-0.09</v>
      </c>
      <c r="L88" s="93">
        <f>VLOOKUP("Control del factor de potencia",$A$45:$N$71,12,FALSE)</f>
        <v>-0.1</v>
      </c>
      <c r="M88" s="93">
        <f>VLOOKUP("Control del factor de potencia",$A$45:$N$71,13,FALSE)</f>
        <v>-0.12</v>
      </c>
      <c r="N88" s="93">
        <f>VLOOKUP("Control del factor de potencia",$A$45:$N$71,14,FALSE)</f>
        <v>-0.11</v>
      </c>
    </row>
    <row r="89" spans="1:16">
      <c r="A89" s="88" t="s">
        <v>207</v>
      </c>
      <c r="B89" s="93">
        <f>VLOOKUP("Servicio respuesta activa (potencia)",$A$45:$N$71,2,FALSE)+VLOOKUP("Servicio respuesta activa (I)",$A$45:$N$71,2,FALSE)+VLOOKUP("Ingreso control de tensión",$A$45:$N$71,2,FALSE)</f>
        <v>-0.67</v>
      </c>
      <c r="C89" s="93">
        <f>VLOOKUP("Servicio respuesta activa (potencia)",$A$45:$N$71,3,FALSE)+VLOOKUP("Servicio respuesta activa (I)",$A$45:$N$71,3,FALSE)+VLOOKUP("Ingreso control de tensión",$A$45:$N$71,3,FALSE)</f>
        <v>-0.62</v>
      </c>
      <c r="D89" s="93">
        <f>VLOOKUP("Servicio respuesta activa (potencia)",$A$45:$N$71,4,FALSE)+VLOOKUP("Servicio respuesta activa (I)",$A$45:$N$71,4,FALSE)+VLOOKUP("Ingreso control de tensión",$A$45:$N$71,4,FALSE)</f>
        <v>-0.55999999999999994</v>
      </c>
      <c r="E89" s="93">
        <f>VLOOKUP("Servicio respuesta activa (potencia)",$A$45:$N$71,5,FALSE)+VLOOKUP("Servicio respuesta activa (I)",$A$45:$N$71,5,FALSE)+VLOOKUP("Ingreso control de tensión",$A$45:$N$71,5,FALSE)</f>
        <v>-0.53999999999999992</v>
      </c>
      <c r="F89" s="93">
        <f>VLOOKUP("Servicio respuesta activa (potencia)",$A$45:$N$71,6,FALSE)+VLOOKUP("Servicio respuesta activa (I)",$A$45:$N$71,6,FALSE)+VLOOKUP("Ingreso control de tensión",$A$45:$N$71,6,FALSE)</f>
        <v>-0.62</v>
      </c>
      <c r="G89" s="93">
        <f>VLOOKUP("Servicio respuesta activa (potencia)",$A$45:$N$71,7,FALSE)+VLOOKUP("Servicio respuesta activa (I)",$A$45:$N$71,7,FALSE)+VLOOKUP("Ingreso control de tensión",$A$45:$N$71,7,FALSE)</f>
        <v>-0.66</v>
      </c>
      <c r="H89" s="93">
        <f>VLOOKUP("Servicio respuesta activa (potencia)",$A$45:$N$71,8,FALSE)+VLOOKUP("Servicio respuesta activa (I)",$A$45:$N$71,8,FALSE)+VLOOKUP("Ingreso control de tensión",$A$45:$N$71,8,FALSE)</f>
        <v>-0.6</v>
      </c>
      <c r="I89" s="93">
        <f>VLOOKUP("Servicio respuesta activa (potencia)",$A$45:$N$71,9,FALSE)+VLOOKUP("Servicio respuesta activa (I)",$A$45:$N$71,9,FALSE)+VLOOKUP("Ingreso control de tensión",$A$45:$N$71,9,FALSE)</f>
        <v>-0.51</v>
      </c>
      <c r="J89" s="93">
        <f>VLOOKUP("Servicio respuesta activa (potencia)",$A$45:$N$71,10,FALSE)+VLOOKUP("Servicio respuesta activa (I)",$A$45:$N$71,10,FALSE)+VLOOKUP("Ingreso control de tensión",$A$45:$N$71,10,FALSE)</f>
        <v>-1.08</v>
      </c>
      <c r="K89" s="93">
        <f>VLOOKUP("Servicio respuesta activa (potencia)",$A$45:$N$71,11,FALSE)+VLOOKUP("Servicio respuesta activa (I)",$A$45:$N$71,11,FALSE)+VLOOKUP("Ingreso control de tensión",$A$45:$N$71,11,FALSE)</f>
        <v>-1.1599999999999999</v>
      </c>
      <c r="L89" s="93">
        <f>VLOOKUP("Servicio respuesta activa (potencia)",$A$45:$N$71,12,FALSE)+VLOOKUP("Ingreso control de tensión",$A$45:$N$71,12,FALSE)+VLOOKUP("Servicio respuesta activa (I)",$A$45:$N$71,12,FALSE)</f>
        <v>-1.1339999999999999</v>
      </c>
      <c r="M89" s="93">
        <f>VLOOKUP("Servicio respuesta activa (potencia)",$A$45:$N$71,13,FALSE)+VLOOKUP("Ingreso control de tensión",$A$45:$N$71,13,FALSE)+VLOOKUP("Servicio respuesta activa (I)",$A$45:$N$71,13,FALSE)</f>
        <v>-1.25</v>
      </c>
      <c r="N89" s="93">
        <f>VLOOKUP("Servicio respuesta activa (potencia)",$A$45:$N$71,14,FALSE)+VLOOKUP("Ingreso control de tensión",$A$45:$N$71,14,FALSE)+VLOOKUP("Servicio respuesta activa (I)",$A$45:$N$71,14,FALSE)</f>
        <v>-1.23</v>
      </c>
    </row>
    <row r="90" spans="1:16" ht="12" customHeight="1">
      <c r="A90" s="89" t="s">
        <v>58</v>
      </c>
      <c r="B90" s="94">
        <f>VLOOKUP("Saldo PO 14.6",$A$45:$N$71,2,FALSE)</f>
        <v>0.05</v>
      </c>
      <c r="C90" s="94">
        <f>VLOOKUP("Saldo PO 14.6",$A$45:$N$71,3,FALSE)</f>
        <v>0.04</v>
      </c>
      <c r="D90" s="94">
        <f>VLOOKUP("Saldo PO 14.6",$A$45:$N$71,4,FALSE)</f>
        <v>0.06</v>
      </c>
      <c r="E90" s="94">
        <f>VLOOKUP("Saldo PO 14.6",$A$45:$N$71,5,FALSE)</f>
        <v>0.04</v>
      </c>
      <c r="F90" s="94">
        <f>VLOOKUP("Saldo PO 14.6",$A$45:$N$71,6,FALSE)</f>
        <v>0.04</v>
      </c>
      <c r="G90" s="94">
        <f>VLOOKUP("Saldo PO 14.6",$A$45:$N$71,7,FALSE)</f>
        <v>0.06</v>
      </c>
      <c r="H90" s="94">
        <f>VLOOKUP("Saldo PO 14.6",$A$45:$N$71,8,FALSE)</f>
        <v>0.06</v>
      </c>
      <c r="I90" s="94">
        <f>VLOOKUP("Saldo PO 14.6",$A$45:$N$71,9,FALSE)</f>
        <v>0.02</v>
      </c>
      <c r="J90" s="94">
        <f>VLOOKUP("Saldo PO 14.6",$A$45:$N$71,10,FALSE)</f>
        <v>0.05</v>
      </c>
      <c r="K90" s="94">
        <f>VLOOKUP("Saldo PO 14.6",$A$45:$N$71,11,FALSE)</f>
        <v>0.05</v>
      </c>
      <c r="L90" s="94">
        <f>VLOOKUP("Saldo PO 14.6",$A$45:$N$71,12,FALSE)</f>
        <v>0.05</v>
      </c>
      <c r="M90" s="94">
        <f>VLOOKUP("Saldo PO 14.6",$A$45:$N$71,13,FALSE)</f>
        <v>0.04</v>
      </c>
      <c r="N90" s="94">
        <f>VLOOKUP("Saldo PO 14.6",$A$45:$N$71,14,FALSE)</f>
        <v>0.04</v>
      </c>
      <c r="O90" s="141">
        <f>(SUM(N82:N90)/SUM(B82:B90)-1)</f>
        <v>0.83731448763250871</v>
      </c>
      <c r="P90" s="154">
        <f>O90*100</f>
        <v>83.731448763250867</v>
      </c>
    </row>
    <row r="91" spans="1:16">
      <c r="M91" s="63"/>
      <c r="N91" s="63">
        <f>SUM(N82:N90)</f>
        <v>25.997999999999998</v>
      </c>
    </row>
    <row r="92" spans="1:16">
      <c r="A92" s="107" t="s">
        <v>38</v>
      </c>
      <c r="B92" s="86"/>
      <c r="C92" s="86"/>
      <c r="D92" s="86"/>
      <c r="E92" s="86"/>
      <c r="F92" s="86"/>
      <c r="G92" s="86"/>
      <c r="H92" s="86"/>
      <c r="I92" s="86"/>
      <c r="J92" s="86"/>
      <c r="K92" s="86"/>
      <c r="L92" s="86"/>
      <c r="N92" s="141"/>
    </row>
    <row r="93" spans="1:16" ht="39.6" customHeight="1">
      <c r="A93" s="147"/>
      <c r="B93" s="149" t="s">
        <v>1</v>
      </c>
      <c r="C93" s="149" t="s">
        <v>2</v>
      </c>
      <c r="D93" s="149" t="s">
        <v>39</v>
      </c>
      <c r="E93" s="149" t="s">
        <v>33</v>
      </c>
      <c r="F93" s="149" t="s">
        <v>180</v>
      </c>
      <c r="G93" s="149" t="s">
        <v>16</v>
      </c>
      <c r="H93" s="149" t="s">
        <v>32</v>
      </c>
      <c r="I93" s="147" t="s">
        <v>21</v>
      </c>
      <c r="J93" s="149" t="s">
        <v>36</v>
      </c>
      <c r="K93" s="147" t="s">
        <v>0</v>
      </c>
      <c r="L93" s="147" t="s">
        <v>119</v>
      </c>
    </row>
    <row r="94" spans="1:16">
      <c r="A94" s="84" t="s">
        <v>34</v>
      </c>
      <c r="B94" s="105">
        <f>VLOOKUP("Mercado Diario",$A$45:$N$61,14,FALSE)</f>
        <v>17.86</v>
      </c>
      <c r="C94" s="105">
        <f>VLOOKUP("Mercado Intradiario",$A$45:$N$61,14,FALSE)</f>
        <v>-7.0000000000000007E-2</v>
      </c>
      <c r="D94" s="105">
        <f>SUM(B94:C94)</f>
        <v>17.79</v>
      </c>
      <c r="E94" s="105">
        <f>VLOOKUP("Pago capacidad",$A$45:$N$61,14,FALSE)</f>
        <v>0.13</v>
      </c>
      <c r="F94" s="105">
        <f>VLOOKUP("Mecanismo Ajuste RD-L10/2022 Coste OM",$A$45:$N$71,14,FALSE)+VLOOKUP("Mecanismo Ajuste RD-L10/2022 Coste OS",$A$45:$N$71,14,FALSE)+VLOOKUP("Mecanismo Ajuste RD-L10/2022 Ajuste OS",$A$45:$N$71,14,FALSE)</f>
        <v>0</v>
      </c>
      <c r="G94" s="105">
        <f>E466</f>
        <v>25.997999999999998</v>
      </c>
      <c r="H94" s="105">
        <f>VLOOKUP("Restricciones PBF",$A$45:$N$61,14,FALSE)</f>
        <v>21.974</v>
      </c>
      <c r="I94" s="105">
        <f>N84</f>
        <v>2.4899999999999998</v>
      </c>
      <c r="J94" s="105">
        <f>N83+N85+N86+N87+N88+N89+N90</f>
        <v>1.5340000000000003</v>
      </c>
      <c r="K94" s="105">
        <f>N71</f>
        <v>43.92</v>
      </c>
      <c r="L94" s="113">
        <f>K94-SUM(D94:G94)</f>
        <v>2.0000000000095497E-3</v>
      </c>
    </row>
    <row r="95" spans="1:16">
      <c r="A95" s="85"/>
      <c r="B95" s="85"/>
      <c r="C95" s="85"/>
      <c r="D95" s="180">
        <f>D94/$K$94</f>
        <v>0.40505464480874315</v>
      </c>
      <c r="E95" s="180">
        <f>E94/$K$94</f>
        <v>2.9599271402550092E-3</v>
      </c>
      <c r="F95" s="180">
        <f>F94/$K$94</f>
        <v>0</v>
      </c>
      <c r="G95" s="180">
        <f>G94/$K$94</f>
        <v>0.59193989071038244</v>
      </c>
    </row>
    <row r="96" spans="1:16">
      <c r="A96" s="85" t="s">
        <v>125</v>
      </c>
      <c r="B96" s="85"/>
      <c r="C96" s="85"/>
      <c r="D96" s="85"/>
      <c r="E96" s="85"/>
      <c r="F96" s="85"/>
      <c r="G96" s="85"/>
    </row>
    <row r="97" spans="1:7">
      <c r="A97" s="161"/>
      <c r="B97" s="162"/>
      <c r="C97" s="182" t="str">
        <f>N43</f>
        <v>2025 Mayo</v>
      </c>
      <c r="D97" s="147"/>
      <c r="E97" s="161"/>
      <c r="F97" s="162"/>
      <c r="G97" s="155" t="str">
        <f>B43</f>
        <v>2024 Mayo</v>
      </c>
    </row>
    <row r="98" spans="1:7">
      <c r="A98" s="124" t="s">
        <v>49</v>
      </c>
      <c r="B98" s="93"/>
      <c r="C98" s="93">
        <f>IF(VLOOKUP(A98,Dat_01!$A$46:$N$71,14,FALSE)=0,"-",VLOOKUP(A98,Dat_01!$A$46:$N$71,14,FALSE)*Dat_01!$N$45)</f>
        <v>397919523.97017598</v>
      </c>
      <c r="D98" s="93"/>
      <c r="E98" s="124" t="s">
        <v>49</v>
      </c>
      <c r="F98" s="93"/>
      <c r="G98" s="93">
        <f>IF(VLOOKUP(E98,Dat_01!$A$45:$N$71,2,FALSE)=0,"-",VLOOKUP(E98,Dat_01!$A$45:$N$71,2,FALSE)*Dat_01!$B$45)</f>
        <v>166148461.86526</v>
      </c>
    </row>
    <row r="99" spans="1:7">
      <c r="A99" s="124" t="s">
        <v>50</v>
      </c>
      <c r="B99" s="93"/>
      <c r="C99" s="93">
        <f>IF(VLOOKUP(A99,Dat_01!$A$45:$N$71,14,FALSE)=0,"-",VLOOKUP(A99,Dat_01!$A$45:$N$71,14,FALSE)*Dat_01!$N$45)</f>
        <v>53058351.016319998</v>
      </c>
      <c r="D99" s="93"/>
      <c r="E99" s="124" t="s">
        <v>50</v>
      </c>
      <c r="F99" s="93"/>
      <c r="G99" s="93">
        <f>IF(VLOOKUP(E99,Dat_01!$A$45:$N$71,2,FALSE)=0,"-",VLOOKUP(E99,Dat_01!$A$45:$N$71,2,FALSE)*Dat_01!$B$45)</f>
        <v>56801311.573089994</v>
      </c>
    </row>
    <row r="100" spans="1:7">
      <c r="A100" s="124" t="s">
        <v>53</v>
      </c>
      <c r="B100" s="93"/>
      <c r="C100" s="93" t="str">
        <f>IF(VLOOKUP(A100,Dat_01!$A$45:$N$71,14,FALSE)=0,"-",VLOOKUP(A100,Dat_01!$A$45:$N$71,14,FALSE)*Dat_01!$N$45)</f>
        <v>-</v>
      </c>
      <c r="D100" s="93"/>
      <c r="E100" s="124" t="s">
        <v>53</v>
      </c>
      <c r="F100" s="93"/>
      <c r="G100" s="93" t="str">
        <f>IF(VLOOKUP(E100,Dat_01!$A$45:$N$71,2,FALSE)=0,"-",VLOOKUP(E100,Dat_01!$A$45:$N$71,2,FALSE)*Dat_01!$B$45)</f>
        <v>-</v>
      </c>
    </row>
    <row r="101" spans="1:7">
      <c r="A101" s="124" t="s">
        <v>231</v>
      </c>
      <c r="B101" s="93"/>
      <c r="C101" s="93">
        <f>IF(VLOOKUP($A$110,Dat_01!$A$45:$N$71,14,FALSE)+VLOOKUP($A$111,Dat_01!$A$45:$N$71,14,FALSE)+VLOOKUP($A$112,Dat_01!$A$45:$N$71,14,FALSE)+VLOOKUP($A$113,Dat_01!$A$45:$N$71,14,FALSE)=0,"-",(VLOOKUP($A$110,Dat_01!$A$45:$N$71,14,FALSE)+VLOOKUP($A$111,Dat_01!$A$45:$N$71,14,FALSE)+VLOOKUP($A$112,Dat_01!$A$45:$N$71,14,FALSE)+VLOOKUP($A$113,Dat_01!$A$45:$N$71,14,FALSE))*Dat_01!$N$45)</f>
        <v>45090544.037759997</v>
      </c>
      <c r="D101" s="93"/>
      <c r="E101" s="124" t="s">
        <v>187</v>
      </c>
      <c r="F101" s="93"/>
      <c r="G101" s="93">
        <f>IF(VLOOKUP($A$110,Dat_01!$A$45:$N$71,2,FALSE)+VLOOKUP($A$111,Dat_01!$A$45:$N$71,2,FALSE)+VLOOKUP($A$112,Dat_01!$A$45:$N$71,2,FALSE)+VLOOKUP($A$113,Dat_01!$A$45:$N$71,2,FALSE)=0,"-",(VLOOKUP($A$110,Dat_01!$A$45:$N$71,2,FALSE)+VLOOKUP($A$111,Dat_01!$A$45:$N$71,2,FALSE)+VLOOKUP($A$112,Dat_01!$A$45:$N$71,2,FALSE)+VLOOKUP($A$113,Dat_01!$A$45:$N$71,2,FALSE))*Dat_01!$B$45)</f>
        <v>47180242.511849992</v>
      </c>
    </row>
    <row r="102" spans="1:7">
      <c r="A102" s="124" t="s">
        <v>55</v>
      </c>
      <c r="B102" s="93"/>
      <c r="C102" s="93">
        <f>IF(VLOOKUP(A102,Dat_01!$A$45:$N$71,14,FALSE)=0,"-",VLOOKUP(A102,Dat_01!$A$45:$N$71,14,FALSE)*Dat_01!$N$45)</f>
        <v>5686116.7983360002</v>
      </c>
      <c r="D102" s="93"/>
      <c r="E102" s="124" t="s">
        <v>55</v>
      </c>
      <c r="F102" s="93"/>
      <c r="G102" s="93">
        <f>IF(VLOOKUP(E102,Dat_01!$A$45:$N$71,2,FALSE)=0,"-",VLOOKUP(E102,Dat_01!$A$45:$N$71,2,FALSE)*Dat_01!$B$45)</f>
        <v>6660740.1193199987</v>
      </c>
    </row>
    <row r="103" spans="1:7">
      <c r="A103" s="124" t="s">
        <v>54</v>
      </c>
      <c r="B103" s="93"/>
      <c r="C103" s="93">
        <f>IF(VLOOKUP(A103,Dat_01!$A$45:$N$71,14,FALSE)=0,"-",VLOOKUP(A103,Dat_01!$A$45:$N$71,14,FALSE)*Dat_01!$N$45)</f>
        <v>-3621730.4448000002</v>
      </c>
      <c r="D103" s="93"/>
      <c r="E103" s="124" t="s">
        <v>54</v>
      </c>
      <c r="F103" s="93"/>
      <c r="G103" s="93">
        <f>IF(VLOOKUP(E103,Dat_01!$A$45:$N$71,2,FALSE)=0,"-",VLOOKUP(E103,Dat_01!$A$45:$N$71,2,FALSE)*Dat_01!$B$45)</f>
        <v>-1110123.3532199999</v>
      </c>
    </row>
    <row r="104" spans="1:7">
      <c r="A104" s="124" t="s">
        <v>56</v>
      </c>
      <c r="B104" s="93"/>
      <c r="C104" s="93">
        <f>IF(VLOOKUP(A104,Dat_01!$A$45:$N$71,14,FALSE)=0,"-",VLOOKUP(A104,Dat_01!$A$45:$N$71,14,FALSE)*Dat_01!$N$45)</f>
        <v>-3802816.9670399996</v>
      </c>
      <c r="D104" s="93"/>
      <c r="E104" s="124" t="s">
        <v>56</v>
      </c>
      <c r="F104" s="93"/>
      <c r="G104" s="93" t="str">
        <f>IF(VLOOKUP(E104,Dat_01!$A$45:$N$71,2,FALSE)=0,"-",VLOOKUP(E104,Dat_01!$A$45:$N$71,2,FALSE)*Dat_01!$B$45)</f>
        <v>-</v>
      </c>
    </row>
    <row r="105" spans="1:7">
      <c r="A105" s="124" t="s">
        <v>58</v>
      </c>
      <c r="B105" s="93"/>
      <c r="C105" s="93">
        <f>IF(VLOOKUP(A105,Dat_01!$A$45:$N$71,14,FALSE)=0,"-",VLOOKUP(A105,Dat_01!$A$45:$N$71,14,FALSE)*Dat_01!$N$45)</f>
        <v>724346.08895999996</v>
      </c>
      <c r="D105" s="93"/>
      <c r="E105" s="124" t="s">
        <v>58</v>
      </c>
      <c r="F105" s="93"/>
      <c r="G105" s="93">
        <f>IF(VLOOKUP(E105,Dat_01!$A$45:$N$71,2,FALSE)=0,"-",VLOOKUP(E105,Dat_01!$A$45:$N$71,2,FALSE)*Dat_01!$B$45)</f>
        <v>925102.79434999998</v>
      </c>
    </row>
    <row r="106" spans="1:7">
      <c r="A106" s="124" t="s">
        <v>207</v>
      </c>
      <c r="B106" s="93"/>
      <c r="C106" s="93">
        <f>IF(VLOOKUP($A$114,Dat_01!$A$45:$N$71,14,FALSE)+VLOOKUP($A$115,Dat_01!$A$45:$N$71,14,FALSE)+VLOOKUP($A$116,Dat_01!$A$45:$N$71,14,FALSE)=0,"-",(VLOOKUP($A$114,Dat_01!$A$45:$N$71,14,FALSE)+VLOOKUP($A$115,Dat_01!$A$45:$N$71,14,FALSE)+VLOOKUP($A$116,Dat_01!$A$45:$N$71,14,FALSE))*Dat_01!$N$45)</f>
        <v>-22273642.235519998</v>
      </c>
      <c r="D106" s="93"/>
      <c r="E106" s="124" t="s">
        <v>189</v>
      </c>
      <c r="F106" s="93"/>
      <c r="G106" s="93">
        <f>IF(VLOOKUP($A$114,Dat_01!$A$45:$N$71,2,FALSE)+VLOOKUP($A$115,Dat_01!$A$45:$N$71,2,FALSE)+VLOOKUP($A$116,Dat_01!$A$45:$N$71,2,FALSE)=0,"-",(VLOOKUP($A$114,Dat_01!$A$45:$N$71,2,FALSE)+VLOOKUP($A$115,Dat_01!$A$45:$N$71,2,FALSE)+VLOOKUP($A$116,Dat_01!$A$45:$N$71,2,FALSE))*Dat_01!$N$45)</f>
        <v>-12132796.990080001</v>
      </c>
    </row>
    <row r="107" spans="1:7">
      <c r="A107" s="89" t="s">
        <v>22</v>
      </c>
      <c r="B107" s="123"/>
      <c r="C107" s="133">
        <f>IF(VLOOKUP(A107,Dat_01!$A$45:$N$71,14,FALSE)=0,"-",VLOOKUP(A107,Dat_01!$A$45:$N$71,14,FALSE)*Dat_01!$N$45)</f>
        <v>-1991951.7446399999</v>
      </c>
      <c r="D107" s="89"/>
      <c r="E107" s="89" t="s">
        <v>22</v>
      </c>
      <c r="F107" s="89"/>
      <c r="G107" s="133">
        <f>IF(VLOOKUP(E107,Dat_01!$A$45:$N$71,2,FALSE)=0,"-",VLOOKUP(E107,Dat_01!$A$45:$N$71,2,FALSE)*Dat_01!$B$45)</f>
        <v>-2405267.2653099997</v>
      </c>
    </row>
    <row r="109" spans="1:7" ht="12.6" customHeight="1">
      <c r="A109" s="195"/>
    </row>
    <row r="110" spans="1:7" ht="12.6" customHeight="1">
      <c r="A110" s="196" t="s">
        <v>199</v>
      </c>
    </row>
    <row r="111" spans="1:7" ht="12.6" customHeight="1">
      <c r="A111" s="196" t="s">
        <v>197</v>
      </c>
    </row>
    <row r="112" spans="1:7" ht="12.6" customHeight="1">
      <c r="A112" s="196" t="s">
        <v>203</v>
      </c>
    </row>
    <row r="113" spans="1:9" ht="12.6" customHeight="1">
      <c r="A113" s="196" t="s">
        <v>204</v>
      </c>
    </row>
    <row r="114" spans="1:9" ht="12.6" customHeight="1">
      <c r="A114" s="196" t="s">
        <v>201</v>
      </c>
    </row>
    <row r="115" spans="1:9" ht="12.6" customHeight="1">
      <c r="A115" s="196" t="s">
        <v>202</v>
      </c>
    </row>
    <row r="116" spans="1:9" ht="12.6" customHeight="1">
      <c r="A116" s="196" t="str">
        <f>A70</f>
        <v>Ingreso control de tensión</v>
      </c>
    </row>
    <row r="117" spans="1:9">
      <c r="A117" s="85" t="s">
        <v>170</v>
      </c>
      <c r="B117" s="146"/>
      <c r="C117" s="146"/>
    </row>
    <row r="118" spans="1:9">
      <c r="A118" s="125" t="s">
        <v>27</v>
      </c>
      <c r="B118" s="223"/>
      <c r="C118" s="224"/>
    </row>
    <row r="119" spans="1:9">
      <c r="A119" s="126" t="s">
        <v>87</v>
      </c>
      <c r="B119" s="147" t="s">
        <v>211</v>
      </c>
      <c r="C119" s="147" t="s">
        <v>283</v>
      </c>
    </row>
    <row r="120" spans="1:9">
      <c r="A120" s="125" t="s">
        <v>137</v>
      </c>
      <c r="B120" s="145"/>
      <c r="C120" s="145"/>
    </row>
    <row r="121" spans="1:9">
      <c r="A121" s="127" t="s">
        <v>69</v>
      </c>
      <c r="B121" s="129">
        <v>1910.998</v>
      </c>
      <c r="C121" s="129">
        <v>2846.3042</v>
      </c>
      <c r="D121" t="str">
        <f>A121</f>
        <v>Restricciones Técnicas al PBF</v>
      </c>
      <c r="F121" s="142" t="s">
        <v>154</v>
      </c>
      <c r="H121" s="148">
        <f>SUM(B121:B122)</f>
        <v>2262.319759</v>
      </c>
      <c r="I121" s="148">
        <f>SUM(C121:C122)</f>
        <v>3152.837728</v>
      </c>
    </row>
    <row r="122" spans="1:9">
      <c r="A122" s="127" t="s">
        <v>70</v>
      </c>
      <c r="B122" s="129">
        <v>351.32175899999999</v>
      </c>
      <c r="C122" s="129">
        <v>306.53352799999999</v>
      </c>
      <c r="D122" t="s">
        <v>133</v>
      </c>
      <c r="F122" s="143" t="s">
        <v>155</v>
      </c>
      <c r="H122" s="148">
        <f>SUM(B123:B126)</f>
        <v>1209.3382539999998</v>
      </c>
      <c r="I122" s="148">
        <f>SUM(C123:C126)</f>
        <v>1032.2540160000001</v>
      </c>
    </row>
    <row r="123" spans="1:9">
      <c r="A123" s="127" t="s">
        <v>64</v>
      </c>
      <c r="B123" s="129">
        <v>385.87475699999999</v>
      </c>
      <c r="C123" s="129">
        <v>196.68978899999999</v>
      </c>
      <c r="D123" t="str">
        <f>A123</f>
        <v>Regulación secundaria</v>
      </c>
    </row>
    <row r="124" spans="1:9">
      <c r="A124" s="127" t="s">
        <v>3</v>
      </c>
      <c r="B124" s="129">
        <v>428.39341999999999</v>
      </c>
      <c r="C124" s="129">
        <v>440.84383300000002</v>
      </c>
      <c r="D124" t="str">
        <f>A124</f>
        <v>Regulación terciaria</v>
      </c>
    </row>
    <row r="125" spans="1:9">
      <c r="A125" s="127" t="s">
        <v>149</v>
      </c>
      <c r="B125" s="129">
        <f>B318/1000</f>
        <v>304.64224999999999</v>
      </c>
      <c r="C125" s="129">
        <f>N318/1000</f>
        <v>270.85975000000002</v>
      </c>
      <c r="D125" t="s">
        <v>149</v>
      </c>
    </row>
    <row r="126" spans="1:9">
      <c r="A126" s="127" t="s">
        <v>156</v>
      </c>
      <c r="B126" s="129">
        <f>B395/1000</f>
        <v>90.427827000000008</v>
      </c>
      <c r="C126" s="129">
        <f>N395/1000</f>
        <v>123.86064399999999</v>
      </c>
      <c r="D126" t="s">
        <v>158</v>
      </c>
    </row>
    <row r="127" spans="1:9">
      <c r="B127" s="172"/>
      <c r="C127" s="172"/>
    </row>
    <row r="128" spans="1:9">
      <c r="A128" s="85"/>
    </row>
    <row r="130" spans="1:17">
      <c r="A130" s="85" t="s">
        <v>163</v>
      </c>
      <c r="C130" s="144" t="str">
        <f>MID(C132,6,1)</f>
        <v>M</v>
      </c>
      <c r="D130" s="144" t="str">
        <f t="shared" ref="D130:O130" si="4">MID(D132,6,1)</f>
        <v>J</v>
      </c>
      <c r="E130" s="144" t="str">
        <f t="shared" si="4"/>
        <v>J</v>
      </c>
      <c r="F130" s="144" t="str">
        <f t="shared" si="4"/>
        <v>A</v>
      </c>
      <c r="G130" s="144" t="str">
        <f t="shared" si="4"/>
        <v>S</v>
      </c>
      <c r="H130" s="144" t="str">
        <f t="shared" si="4"/>
        <v>O</v>
      </c>
      <c r="I130" s="144" t="str">
        <f t="shared" si="4"/>
        <v>N</v>
      </c>
      <c r="J130" s="144" t="str">
        <f t="shared" si="4"/>
        <v>D</v>
      </c>
      <c r="K130" s="144" t="str">
        <f t="shared" si="4"/>
        <v>E</v>
      </c>
      <c r="L130" s="144" t="str">
        <f t="shared" si="4"/>
        <v>F</v>
      </c>
      <c r="M130" s="144" t="str">
        <f t="shared" si="4"/>
        <v>M</v>
      </c>
      <c r="N130" s="144" t="str">
        <f t="shared" si="4"/>
        <v>A</v>
      </c>
      <c r="O130" s="144" t="str">
        <f t="shared" si="4"/>
        <v>M</v>
      </c>
      <c r="P130" s="122"/>
      <c r="Q130" s="122"/>
    </row>
    <row r="131" spans="1:17">
      <c r="A131" s="125"/>
      <c r="B131" s="125" t="s">
        <v>27</v>
      </c>
      <c r="C131" s="227" t="s">
        <v>122</v>
      </c>
      <c r="D131" s="228"/>
      <c r="E131" s="228"/>
      <c r="F131" s="228"/>
      <c r="G131" s="228"/>
      <c r="H131" s="228"/>
      <c r="I131" s="228"/>
      <c r="J131" s="228"/>
      <c r="K131" s="228"/>
      <c r="L131" s="228"/>
      <c r="M131" s="228"/>
      <c r="N131" s="228"/>
      <c r="O131" s="228"/>
      <c r="P131" s="122"/>
      <c r="Q131" s="122"/>
    </row>
    <row r="132" spans="1:17">
      <c r="A132" s="125"/>
      <c r="B132" s="126" t="s">
        <v>87</v>
      </c>
      <c r="C132" s="147" t="s">
        <v>211</v>
      </c>
      <c r="D132" s="147" t="s">
        <v>213</v>
      </c>
      <c r="E132" s="147" t="s">
        <v>215</v>
      </c>
      <c r="F132" s="147" t="s">
        <v>217</v>
      </c>
      <c r="G132" s="147" t="s">
        <v>219</v>
      </c>
      <c r="H132" s="147" t="s">
        <v>223</v>
      </c>
      <c r="I132" s="147" t="s">
        <v>226</v>
      </c>
      <c r="J132" s="147" t="s">
        <v>228</v>
      </c>
      <c r="K132" s="147" t="s">
        <v>232</v>
      </c>
      <c r="L132" s="147" t="s">
        <v>235</v>
      </c>
      <c r="M132" s="147" t="s">
        <v>238</v>
      </c>
      <c r="N132" s="147" t="s">
        <v>248</v>
      </c>
      <c r="O132" s="147" t="s">
        <v>283</v>
      </c>
      <c r="P132" s="122"/>
      <c r="Q132" s="122"/>
    </row>
    <row r="133" spans="1:17">
      <c r="A133" s="125" t="s">
        <v>120</v>
      </c>
      <c r="B133" s="125" t="s">
        <v>121</v>
      </c>
      <c r="C133" s="145"/>
      <c r="D133" s="145"/>
      <c r="E133" s="145"/>
      <c r="F133" s="145"/>
      <c r="G133" s="145"/>
      <c r="H133" s="145"/>
      <c r="I133" s="145"/>
      <c r="J133" s="145"/>
      <c r="K133" s="145"/>
      <c r="L133" s="145"/>
      <c r="M133" s="145"/>
      <c r="N133" s="145"/>
      <c r="O133" s="145"/>
      <c r="P133" s="186"/>
      <c r="Q133" s="122"/>
    </row>
    <row r="134" spans="1:17">
      <c r="A134" s="238"/>
      <c r="B134" s="127" t="s">
        <v>19</v>
      </c>
      <c r="C134" s="114">
        <v>0</v>
      </c>
      <c r="D134" s="114">
        <v>0</v>
      </c>
      <c r="E134" s="114">
        <v>0</v>
      </c>
      <c r="F134" s="114">
        <v>0</v>
      </c>
      <c r="G134" s="114">
        <v>0</v>
      </c>
      <c r="H134" s="114">
        <v>0</v>
      </c>
      <c r="I134" s="114">
        <v>0</v>
      </c>
      <c r="J134" s="114">
        <v>0</v>
      </c>
      <c r="K134" s="114">
        <v>58.4</v>
      </c>
      <c r="L134" s="114">
        <v>0</v>
      </c>
      <c r="M134" s="114">
        <v>0</v>
      </c>
      <c r="N134" s="114">
        <v>20382.3</v>
      </c>
      <c r="O134" s="114">
        <v>0</v>
      </c>
      <c r="P134" s="186"/>
      <c r="Q134" s="187"/>
    </row>
    <row r="135" spans="1:17">
      <c r="A135" s="235"/>
      <c r="B135" s="127" t="s">
        <v>76</v>
      </c>
      <c r="C135" s="114">
        <v>4370</v>
      </c>
      <c r="D135" s="114">
        <v>0.6</v>
      </c>
      <c r="E135" s="114">
        <v>0</v>
      </c>
      <c r="F135" s="114">
        <v>0</v>
      </c>
      <c r="G135" s="114">
        <v>0</v>
      </c>
      <c r="H135" s="114">
        <v>0</v>
      </c>
      <c r="I135" s="114">
        <v>0</v>
      </c>
      <c r="J135" s="114">
        <v>0</v>
      </c>
      <c r="K135" s="114">
        <v>0</v>
      </c>
      <c r="L135" s="114">
        <v>0</v>
      </c>
      <c r="M135" s="114">
        <v>0</v>
      </c>
      <c r="N135" s="114">
        <v>0</v>
      </c>
      <c r="O135" s="114">
        <v>0</v>
      </c>
      <c r="P135" s="186"/>
      <c r="Q135" s="187"/>
    </row>
    <row r="136" spans="1:17">
      <c r="A136" s="235"/>
      <c r="B136" s="127" t="s">
        <v>72</v>
      </c>
      <c r="C136" s="114">
        <v>697817.8</v>
      </c>
      <c r="D136" s="114">
        <v>435935.9</v>
      </c>
      <c r="E136" s="114">
        <v>60001.7</v>
      </c>
      <c r="F136" s="114">
        <v>0</v>
      </c>
      <c r="G136" s="114">
        <v>0</v>
      </c>
      <c r="H136" s="114">
        <v>0</v>
      </c>
      <c r="I136" s="114">
        <v>13528</v>
      </c>
      <c r="J136" s="114">
        <v>0</v>
      </c>
      <c r="K136" s="114">
        <v>1486.2</v>
      </c>
      <c r="L136" s="114">
        <v>0</v>
      </c>
      <c r="M136" s="114">
        <v>260114.1</v>
      </c>
      <c r="N136" s="114">
        <v>267559.5</v>
      </c>
      <c r="O136" s="114">
        <v>363944.9</v>
      </c>
      <c r="P136" s="186"/>
      <c r="Q136" s="187"/>
    </row>
    <row r="137" spans="1:17">
      <c r="A137" s="235"/>
      <c r="B137" s="127" t="s">
        <v>73</v>
      </c>
      <c r="C137" s="114">
        <v>178457</v>
      </c>
      <c r="D137" s="114">
        <v>118330</v>
      </c>
      <c r="E137" s="114">
        <v>157282</v>
      </c>
      <c r="F137" s="114">
        <v>161811</v>
      </c>
      <c r="G137" s="114">
        <v>252325.6</v>
      </c>
      <c r="H137" s="114">
        <v>216291.20000000001</v>
      </c>
      <c r="I137" s="114">
        <v>128228.3</v>
      </c>
      <c r="J137" s="114">
        <v>113359.5</v>
      </c>
      <c r="K137" s="114">
        <v>136200</v>
      </c>
      <c r="L137" s="114">
        <v>176818</v>
      </c>
      <c r="M137" s="114">
        <v>161347</v>
      </c>
      <c r="N137" s="114">
        <v>128080</v>
      </c>
      <c r="O137" s="114">
        <v>122215</v>
      </c>
      <c r="P137" s="186"/>
      <c r="Q137" s="187"/>
    </row>
    <row r="138" spans="1:17">
      <c r="A138" s="235"/>
      <c r="B138" s="127" t="s">
        <v>84</v>
      </c>
      <c r="C138" s="114">
        <v>0</v>
      </c>
      <c r="D138" s="114">
        <v>0</v>
      </c>
      <c r="E138" s="114">
        <v>0</v>
      </c>
      <c r="F138" s="114">
        <v>0</v>
      </c>
      <c r="G138" s="114">
        <v>0</v>
      </c>
      <c r="H138" s="114">
        <v>0</v>
      </c>
      <c r="I138" s="114">
        <v>0</v>
      </c>
      <c r="J138" s="114">
        <v>0</v>
      </c>
      <c r="K138" s="114">
        <v>0</v>
      </c>
      <c r="L138" s="114">
        <v>0</v>
      </c>
      <c r="M138" s="114">
        <v>0</v>
      </c>
      <c r="N138" s="114">
        <v>0</v>
      </c>
      <c r="O138" s="114">
        <v>0</v>
      </c>
      <c r="P138" s="186"/>
      <c r="Q138" s="187"/>
    </row>
    <row r="139" spans="1:17">
      <c r="A139" s="235"/>
      <c r="B139" s="127" t="s">
        <v>23</v>
      </c>
      <c r="C139" s="114">
        <v>870770.7</v>
      </c>
      <c r="D139" s="114">
        <v>665201</v>
      </c>
      <c r="E139" s="114">
        <v>684982.3</v>
      </c>
      <c r="F139" s="114">
        <v>699616.5</v>
      </c>
      <c r="G139" s="114">
        <v>690114.2</v>
      </c>
      <c r="H139" s="114">
        <v>768114.9</v>
      </c>
      <c r="I139" s="114">
        <v>887929.3</v>
      </c>
      <c r="J139" s="114">
        <v>742981.5</v>
      </c>
      <c r="K139" s="114">
        <v>683064</v>
      </c>
      <c r="L139" s="114">
        <v>653295.19999999995</v>
      </c>
      <c r="M139" s="114">
        <v>793527.4</v>
      </c>
      <c r="N139" s="114">
        <v>1154419.5</v>
      </c>
      <c r="O139" s="114">
        <v>2188300.1</v>
      </c>
      <c r="P139" s="186"/>
      <c r="Q139" s="187"/>
    </row>
    <row r="140" spans="1:17">
      <c r="A140" s="235"/>
      <c r="B140" s="127" t="s">
        <v>77</v>
      </c>
      <c r="C140" s="114">
        <v>0</v>
      </c>
      <c r="D140" s="114">
        <v>0</v>
      </c>
      <c r="E140" s="114">
        <v>0</v>
      </c>
      <c r="F140" s="114">
        <v>0</v>
      </c>
      <c r="G140" s="114">
        <v>0</v>
      </c>
      <c r="H140" s="114">
        <v>0</v>
      </c>
      <c r="I140" s="114">
        <v>0</v>
      </c>
      <c r="J140" s="114">
        <v>0</v>
      </c>
      <c r="K140" s="114">
        <v>0</v>
      </c>
      <c r="L140" s="114">
        <v>0</v>
      </c>
      <c r="M140" s="114">
        <v>31.6</v>
      </c>
      <c r="N140" s="114">
        <v>1.3</v>
      </c>
      <c r="O140" s="114">
        <v>0</v>
      </c>
      <c r="P140" s="186"/>
      <c r="Q140" s="187"/>
    </row>
    <row r="141" spans="1:17">
      <c r="A141" s="235"/>
      <c r="B141" s="127" t="s">
        <v>78</v>
      </c>
      <c r="C141" s="114">
        <v>0</v>
      </c>
      <c r="D141" s="114">
        <v>0</v>
      </c>
      <c r="E141" s="114">
        <v>0</v>
      </c>
      <c r="F141" s="114">
        <v>0</v>
      </c>
      <c r="G141" s="114">
        <v>0</v>
      </c>
      <c r="H141" s="114">
        <v>0</v>
      </c>
      <c r="I141" s="114">
        <v>0</v>
      </c>
      <c r="J141" s="114">
        <v>0</v>
      </c>
      <c r="K141" s="114">
        <v>0</v>
      </c>
      <c r="L141" s="114">
        <v>0</v>
      </c>
      <c r="M141" s="114">
        <v>0</v>
      </c>
      <c r="N141" s="114">
        <v>0</v>
      </c>
      <c r="O141" s="114">
        <v>0</v>
      </c>
      <c r="P141" s="186"/>
      <c r="Q141" s="187"/>
    </row>
    <row r="142" spans="1:17">
      <c r="A142" s="235"/>
      <c r="B142" s="127" t="s">
        <v>79</v>
      </c>
      <c r="C142" s="114">
        <v>0</v>
      </c>
      <c r="D142" s="114">
        <v>0</v>
      </c>
      <c r="E142" s="114">
        <v>0</v>
      </c>
      <c r="F142" s="114">
        <v>0</v>
      </c>
      <c r="G142" s="114">
        <v>0</v>
      </c>
      <c r="H142" s="114">
        <v>0</v>
      </c>
      <c r="I142" s="114">
        <v>0</v>
      </c>
      <c r="J142" s="114">
        <v>0</v>
      </c>
      <c r="K142" s="114">
        <v>0</v>
      </c>
      <c r="L142" s="114">
        <v>0</v>
      </c>
      <c r="M142" s="114">
        <v>0</v>
      </c>
      <c r="N142" s="114">
        <v>0</v>
      </c>
      <c r="O142" s="114">
        <v>0</v>
      </c>
      <c r="P142" s="186"/>
      <c r="Q142" s="187"/>
    </row>
    <row r="143" spans="1:17">
      <c r="A143" s="235"/>
      <c r="B143" s="127" t="s">
        <v>80</v>
      </c>
      <c r="C143" s="114">
        <v>0.2</v>
      </c>
      <c r="D143" s="114">
        <v>0</v>
      </c>
      <c r="E143" s="114">
        <v>0</v>
      </c>
      <c r="F143" s="114">
        <v>0</v>
      </c>
      <c r="G143" s="114">
        <v>0</v>
      </c>
      <c r="H143" s="114">
        <v>3132.9</v>
      </c>
      <c r="I143" s="114">
        <v>987.5</v>
      </c>
      <c r="J143" s="114">
        <v>0</v>
      </c>
      <c r="K143" s="114">
        <v>0</v>
      </c>
      <c r="L143" s="114">
        <v>0</v>
      </c>
      <c r="M143" s="114">
        <v>18750.8</v>
      </c>
      <c r="N143" s="114">
        <v>10370.9</v>
      </c>
      <c r="O143" s="114">
        <v>17487.5</v>
      </c>
      <c r="P143" s="186"/>
      <c r="Q143" s="187"/>
    </row>
    <row r="144" spans="1:17">
      <c r="A144" s="235"/>
      <c r="B144" s="127" t="s">
        <v>81</v>
      </c>
      <c r="C144" s="114">
        <v>0</v>
      </c>
      <c r="D144" s="114">
        <v>0</v>
      </c>
      <c r="E144" s="114">
        <v>0</v>
      </c>
      <c r="F144" s="114">
        <v>0</v>
      </c>
      <c r="G144" s="114">
        <v>0</v>
      </c>
      <c r="H144" s="114">
        <v>767.5</v>
      </c>
      <c r="I144" s="114">
        <v>0</v>
      </c>
      <c r="J144" s="114">
        <v>0</v>
      </c>
      <c r="K144" s="114">
        <v>0</v>
      </c>
      <c r="L144" s="114">
        <v>0</v>
      </c>
      <c r="M144" s="114">
        <v>1176.5999999999999</v>
      </c>
      <c r="N144" s="114">
        <v>2988</v>
      </c>
      <c r="O144" s="114">
        <v>3603.7</v>
      </c>
      <c r="P144" s="186"/>
      <c r="Q144" s="187"/>
    </row>
    <row r="145" spans="1:17">
      <c r="A145" s="235"/>
      <c r="B145" s="127" t="s">
        <v>86</v>
      </c>
      <c r="C145" s="114">
        <v>0</v>
      </c>
      <c r="D145" s="114">
        <v>0</v>
      </c>
      <c r="E145" s="114">
        <v>0</v>
      </c>
      <c r="F145" s="114">
        <v>0</v>
      </c>
      <c r="G145" s="114">
        <v>0</v>
      </c>
      <c r="H145" s="114">
        <v>0</v>
      </c>
      <c r="I145" s="114">
        <v>0</v>
      </c>
      <c r="J145" s="114">
        <v>0</v>
      </c>
      <c r="K145" s="114">
        <v>0</v>
      </c>
      <c r="L145" s="114">
        <v>0</v>
      </c>
      <c r="M145" s="114">
        <v>0</v>
      </c>
      <c r="N145" s="114">
        <v>0</v>
      </c>
      <c r="O145" s="114">
        <v>0</v>
      </c>
      <c r="P145" s="186"/>
      <c r="Q145" s="187"/>
    </row>
    <row r="146" spans="1:17">
      <c r="A146" s="235"/>
      <c r="B146" s="127" t="s">
        <v>74</v>
      </c>
      <c r="C146" s="114">
        <v>0</v>
      </c>
      <c r="D146" s="114">
        <v>0</v>
      </c>
      <c r="E146" s="114">
        <v>6619.1</v>
      </c>
      <c r="F146" s="114">
        <v>0</v>
      </c>
      <c r="G146" s="114">
        <v>184</v>
      </c>
      <c r="H146" s="114">
        <v>230</v>
      </c>
      <c r="I146" s="114">
        <v>6140.4</v>
      </c>
      <c r="J146" s="114">
        <v>918</v>
      </c>
      <c r="K146" s="114">
        <v>0</v>
      </c>
      <c r="L146" s="114">
        <v>189</v>
      </c>
      <c r="M146" s="114">
        <v>146</v>
      </c>
      <c r="N146" s="114">
        <v>1600</v>
      </c>
      <c r="O146" s="114">
        <v>1600</v>
      </c>
      <c r="P146" s="186"/>
      <c r="Q146" s="187"/>
    </row>
    <row r="147" spans="1:17">
      <c r="A147" s="235"/>
      <c r="B147" s="127" t="s">
        <v>82</v>
      </c>
      <c r="C147" s="114">
        <v>0</v>
      </c>
      <c r="D147" s="114">
        <v>0</v>
      </c>
      <c r="E147" s="114">
        <v>0</v>
      </c>
      <c r="F147" s="114">
        <v>0</v>
      </c>
      <c r="G147" s="114">
        <v>0</v>
      </c>
      <c r="H147" s="114">
        <v>0</v>
      </c>
      <c r="I147" s="114">
        <v>0</v>
      </c>
      <c r="J147" s="114">
        <v>0</v>
      </c>
      <c r="K147" s="114">
        <v>0</v>
      </c>
      <c r="L147" s="114">
        <v>0</v>
      </c>
      <c r="M147" s="114">
        <v>0</v>
      </c>
      <c r="N147" s="114">
        <v>0</v>
      </c>
      <c r="O147" s="114">
        <v>0</v>
      </c>
      <c r="P147" s="186"/>
      <c r="Q147" s="187"/>
    </row>
    <row r="148" spans="1:17">
      <c r="A148" s="235"/>
      <c r="B148" s="127" t="s">
        <v>83</v>
      </c>
      <c r="C148" s="114">
        <v>0</v>
      </c>
      <c r="D148" s="114">
        <v>0</v>
      </c>
      <c r="E148" s="114">
        <v>0</v>
      </c>
      <c r="F148" s="114">
        <v>0</v>
      </c>
      <c r="G148" s="114">
        <v>0</v>
      </c>
      <c r="H148" s="114">
        <v>0</v>
      </c>
      <c r="I148" s="114">
        <v>0</v>
      </c>
      <c r="J148" s="114">
        <v>0</v>
      </c>
      <c r="K148" s="114">
        <v>0</v>
      </c>
      <c r="L148" s="114">
        <v>0</v>
      </c>
      <c r="M148" s="114">
        <v>0</v>
      </c>
      <c r="N148" s="114">
        <v>0</v>
      </c>
      <c r="O148" s="114">
        <v>0</v>
      </c>
      <c r="P148" s="186"/>
      <c r="Q148" s="187"/>
    </row>
    <row r="149" spans="1:17">
      <c r="A149" s="235"/>
      <c r="B149" s="127" t="s">
        <v>85</v>
      </c>
      <c r="C149" s="114">
        <v>0</v>
      </c>
      <c r="D149" s="114">
        <v>0</v>
      </c>
      <c r="E149" s="114">
        <v>0</v>
      </c>
      <c r="F149" s="114">
        <v>0</v>
      </c>
      <c r="G149" s="114">
        <v>0</v>
      </c>
      <c r="H149" s="114">
        <v>0</v>
      </c>
      <c r="I149" s="114">
        <v>0</v>
      </c>
      <c r="J149" s="114">
        <v>0</v>
      </c>
      <c r="K149" s="114">
        <v>0</v>
      </c>
      <c r="L149" s="114">
        <v>0</v>
      </c>
      <c r="M149" s="114">
        <v>0</v>
      </c>
      <c r="N149" s="114">
        <v>0</v>
      </c>
      <c r="O149" s="114">
        <v>0</v>
      </c>
      <c r="P149" s="186"/>
      <c r="Q149" s="187"/>
    </row>
    <row r="150" spans="1:17">
      <c r="A150" s="235"/>
      <c r="B150" s="127" t="s">
        <v>171</v>
      </c>
      <c r="C150" s="114">
        <v>0</v>
      </c>
      <c r="D150" s="114">
        <v>0</v>
      </c>
      <c r="E150" s="114">
        <v>0</v>
      </c>
      <c r="F150" s="114">
        <v>0</v>
      </c>
      <c r="G150" s="114">
        <v>0</v>
      </c>
      <c r="H150" s="114">
        <v>0</v>
      </c>
      <c r="I150" s="114">
        <v>0</v>
      </c>
      <c r="J150" s="114">
        <v>0</v>
      </c>
      <c r="K150" s="114">
        <v>0</v>
      </c>
      <c r="L150" s="114">
        <v>0</v>
      </c>
      <c r="M150" s="114">
        <v>0</v>
      </c>
      <c r="N150" s="114">
        <v>0</v>
      </c>
      <c r="O150" s="114">
        <v>0</v>
      </c>
      <c r="P150" s="186"/>
      <c r="Q150" s="187"/>
    </row>
    <row r="151" spans="1:17">
      <c r="A151" s="235"/>
      <c r="B151" s="127" t="s">
        <v>209</v>
      </c>
      <c r="C151" s="114">
        <v>0</v>
      </c>
      <c r="D151" s="114">
        <v>0</v>
      </c>
      <c r="E151" s="114">
        <v>0</v>
      </c>
      <c r="F151" s="114">
        <v>0</v>
      </c>
      <c r="G151" s="114">
        <v>0</v>
      </c>
      <c r="H151" s="114">
        <v>0</v>
      </c>
      <c r="I151" s="114">
        <v>0</v>
      </c>
      <c r="J151" s="114">
        <v>0</v>
      </c>
      <c r="K151" s="114">
        <v>0</v>
      </c>
      <c r="L151" s="114">
        <v>0</v>
      </c>
      <c r="M151" s="114">
        <v>0</v>
      </c>
      <c r="N151" s="114">
        <v>0</v>
      </c>
      <c r="O151" s="114">
        <v>0</v>
      </c>
      <c r="P151" s="186"/>
      <c r="Q151" s="187"/>
    </row>
    <row r="152" spans="1:17">
      <c r="A152" s="235"/>
      <c r="B152" s="127" t="s">
        <v>210</v>
      </c>
      <c r="C152" s="114">
        <v>0</v>
      </c>
      <c r="D152" s="114">
        <v>0</v>
      </c>
      <c r="E152" s="114">
        <v>0</v>
      </c>
      <c r="F152" s="114">
        <v>0</v>
      </c>
      <c r="G152" s="114">
        <v>0</v>
      </c>
      <c r="H152" s="114">
        <v>0</v>
      </c>
      <c r="I152" s="114">
        <v>0</v>
      </c>
      <c r="J152" s="114">
        <v>0</v>
      </c>
      <c r="K152" s="114">
        <v>0</v>
      </c>
      <c r="L152" s="114">
        <v>0</v>
      </c>
      <c r="M152" s="114">
        <v>0</v>
      </c>
      <c r="N152" s="114">
        <v>0</v>
      </c>
      <c r="O152" s="114">
        <v>0</v>
      </c>
      <c r="P152" s="158">
        <f>O153/C153-1</f>
        <v>0.5399834545276716</v>
      </c>
      <c r="Q152" s="157"/>
    </row>
    <row r="153" spans="1:17">
      <c r="A153" s="234"/>
      <c r="B153" s="189" t="s">
        <v>0</v>
      </c>
      <c r="C153" s="190">
        <v>1751415.7</v>
      </c>
      <c r="D153" s="190">
        <v>1219467.5</v>
      </c>
      <c r="E153" s="190">
        <v>908885.1</v>
      </c>
      <c r="F153" s="190">
        <v>861427.5</v>
      </c>
      <c r="G153" s="190">
        <v>942623.8</v>
      </c>
      <c r="H153" s="190">
        <v>988536.5</v>
      </c>
      <c r="I153" s="190">
        <v>1036813.5</v>
      </c>
      <c r="J153" s="190">
        <v>857259</v>
      </c>
      <c r="K153" s="190">
        <v>820808.6</v>
      </c>
      <c r="L153" s="190">
        <v>830302.2</v>
      </c>
      <c r="M153" s="190">
        <v>1235093.5</v>
      </c>
      <c r="N153" s="190">
        <v>1585401.5</v>
      </c>
      <c r="O153" s="190">
        <v>2697151.2</v>
      </c>
      <c r="P153" s="186"/>
      <c r="Q153" s="158"/>
    </row>
    <row r="154" spans="1:17">
      <c r="A154" s="238"/>
      <c r="B154" s="127" t="s">
        <v>19</v>
      </c>
      <c r="C154" s="114">
        <v>4948.3999999999996</v>
      </c>
      <c r="D154" s="114">
        <v>4108.3</v>
      </c>
      <c r="E154" s="114">
        <v>3881.8</v>
      </c>
      <c r="F154" s="114">
        <v>2395.8000000000002</v>
      </c>
      <c r="G154" s="114">
        <v>2369.3000000000002</v>
      </c>
      <c r="H154" s="114">
        <v>2467.9</v>
      </c>
      <c r="I154" s="114">
        <v>3355.5</v>
      </c>
      <c r="J154" s="114">
        <v>2291.6999999999998</v>
      </c>
      <c r="K154" s="114">
        <v>1202</v>
      </c>
      <c r="L154" s="114">
        <v>143.30000000000001</v>
      </c>
      <c r="M154" s="114">
        <v>655.7</v>
      </c>
      <c r="N154" s="114">
        <v>2348.1</v>
      </c>
      <c r="O154" s="114">
        <v>9496.2999999999993</v>
      </c>
      <c r="P154" s="186"/>
      <c r="Q154" s="158"/>
    </row>
    <row r="155" spans="1:17">
      <c r="A155" s="235"/>
      <c r="B155" s="127" t="s">
        <v>76</v>
      </c>
      <c r="C155" s="114">
        <v>128</v>
      </c>
      <c r="D155" s="114">
        <v>0</v>
      </c>
      <c r="E155" s="114">
        <v>0</v>
      </c>
      <c r="F155" s="114">
        <v>0</v>
      </c>
      <c r="G155" s="114">
        <v>464</v>
      </c>
      <c r="H155" s="114">
        <v>0</v>
      </c>
      <c r="I155" s="114">
        <v>1125.2</v>
      </c>
      <c r="J155" s="114">
        <v>346.9</v>
      </c>
      <c r="K155" s="114">
        <v>0</v>
      </c>
      <c r="L155" s="114">
        <v>0</v>
      </c>
      <c r="M155" s="114">
        <v>0</v>
      </c>
      <c r="N155" s="114">
        <v>0</v>
      </c>
      <c r="O155" s="114">
        <v>0</v>
      </c>
      <c r="P155" s="186"/>
      <c r="Q155" s="158"/>
    </row>
    <row r="156" spans="1:17">
      <c r="A156" s="235"/>
      <c r="B156" s="127" t="s">
        <v>72</v>
      </c>
      <c r="C156" s="114">
        <v>0</v>
      </c>
      <c r="D156" s="114">
        <v>0</v>
      </c>
      <c r="E156" s="114">
        <v>0</v>
      </c>
      <c r="F156" s="114">
        <v>0</v>
      </c>
      <c r="G156" s="114">
        <v>0</v>
      </c>
      <c r="H156" s="114">
        <v>0</v>
      </c>
      <c r="I156" s="114">
        <v>0</v>
      </c>
      <c r="J156" s="114">
        <v>0</v>
      </c>
      <c r="K156" s="114">
        <v>0</v>
      </c>
      <c r="L156" s="114">
        <v>0</v>
      </c>
      <c r="M156" s="114">
        <v>0</v>
      </c>
      <c r="N156" s="114">
        <v>0</v>
      </c>
      <c r="O156" s="114">
        <v>0</v>
      </c>
      <c r="P156" s="186"/>
      <c r="Q156" s="158"/>
    </row>
    <row r="157" spans="1:17">
      <c r="A157" s="235"/>
      <c r="B157" s="127" t="s">
        <v>73</v>
      </c>
      <c r="C157" s="114">
        <v>0</v>
      </c>
      <c r="D157" s="114">
        <v>0</v>
      </c>
      <c r="E157" s="114">
        <v>0</v>
      </c>
      <c r="F157" s="114">
        <v>0</v>
      </c>
      <c r="G157" s="114">
        <v>0</v>
      </c>
      <c r="H157" s="114">
        <v>0</v>
      </c>
      <c r="I157" s="114">
        <v>0</v>
      </c>
      <c r="J157" s="114">
        <v>0</v>
      </c>
      <c r="K157" s="114">
        <v>0</v>
      </c>
      <c r="L157" s="114">
        <v>0</v>
      </c>
      <c r="M157" s="114">
        <v>0</v>
      </c>
      <c r="N157" s="114">
        <v>0</v>
      </c>
      <c r="O157" s="114">
        <v>0</v>
      </c>
      <c r="P157" s="186"/>
      <c r="Q157" s="158"/>
    </row>
    <row r="158" spans="1:17">
      <c r="A158" s="235"/>
      <c r="B158" s="127" t="s">
        <v>84</v>
      </c>
      <c r="C158" s="114">
        <v>0</v>
      </c>
      <c r="D158" s="114">
        <v>0</v>
      </c>
      <c r="E158" s="114">
        <v>0</v>
      </c>
      <c r="F158" s="114">
        <v>0</v>
      </c>
      <c r="G158" s="114">
        <v>0</v>
      </c>
      <c r="H158" s="114">
        <v>0</v>
      </c>
      <c r="I158" s="114">
        <v>0</v>
      </c>
      <c r="J158" s="114">
        <v>0</v>
      </c>
      <c r="K158" s="114">
        <v>0</v>
      </c>
      <c r="L158" s="114">
        <v>0</v>
      </c>
      <c r="M158" s="114">
        <v>0</v>
      </c>
      <c r="N158" s="114">
        <v>0</v>
      </c>
      <c r="O158" s="114">
        <v>0</v>
      </c>
      <c r="P158" s="186"/>
      <c r="Q158" s="158"/>
    </row>
    <row r="159" spans="1:17">
      <c r="A159" s="235"/>
      <c r="B159" s="127" t="s">
        <v>23</v>
      </c>
      <c r="C159" s="114">
        <v>0</v>
      </c>
      <c r="D159" s="114">
        <v>0</v>
      </c>
      <c r="E159" s="114">
        <v>212.3</v>
      </c>
      <c r="F159" s="114">
        <v>168.2</v>
      </c>
      <c r="G159" s="114">
        <v>1706.2</v>
      </c>
      <c r="H159" s="114">
        <v>2400.8000000000002</v>
      </c>
      <c r="I159" s="114">
        <v>0</v>
      </c>
      <c r="J159" s="114">
        <v>15185.5</v>
      </c>
      <c r="K159" s="114">
        <v>0</v>
      </c>
      <c r="L159" s="114">
        <v>0</v>
      </c>
      <c r="M159" s="114">
        <v>0</v>
      </c>
      <c r="N159" s="114">
        <v>0</v>
      </c>
      <c r="O159" s="114">
        <v>0</v>
      </c>
      <c r="P159" s="186"/>
      <c r="Q159" s="158"/>
    </row>
    <row r="160" spans="1:17">
      <c r="A160" s="235"/>
      <c r="B160" s="127" t="s">
        <v>77</v>
      </c>
      <c r="C160" s="114">
        <v>56267.3</v>
      </c>
      <c r="D160" s="114">
        <v>51644.4</v>
      </c>
      <c r="E160" s="114">
        <v>121172.4</v>
      </c>
      <c r="F160" s="114">
        <v>45324.7</v>
      </c>
      <c r="G160" s="114">
        <v>86223.9</v>
      </c>
      <c r="H160" s="114">
        <v>68222.2</v>
      </c>
      <c r="I160" s="114">
        <v>231610.6</v>
      </c>
      <c r="J160" s="114">
        <v>118243.7</v>
      </c>
      <c r="K160" s="114">
        <v>118105.1</v>
      </c>
      <c r="L160" s="114">
        <v>19851.3</v>
      </c>
      <c r="M160" s="114">
        <v>29282.9</v>
      </c>
      <c r="N160" s="114">
        <v>23186.2</v>
      </c>
      <c r="O160" s="114">
        <v>17699.400000000001</v>
      </c>
      <c r="P160" s="186"/>
      <c r="Q160" s="158"/>
    </row>
    <row r="161" spans="1:20">
      <c r="A161" s="235"/>
      <c r="B161" s="127" t="s">
        <v>78</v>
      </c>
      <c r="C161" s="114">
        <v>48396.6</v>
      </c>
      <c r="D161" s="114">
        <v>30094.799999999999</v>
      </c>
      <c r="E161" s="114">
        <v>57890.400000000001</v>
      </c>
      <c r="F161" s="114">
        <v>34473.199999999997</v>
      </c>
      <c r="G161" s="114">
        <v>19002.7</v>
      </c>
      <c r="H161" s="114">
        <v>16033.9</v>
      </c>
      <c r="I161" s="114">
        <v>28940.6</v>
      </c>
      <c r="J161" s="114">
        <v>9850</v>
      </c>
      <c r="K161" s="114">
        <v>23597.4</v>
      </c>
      <c r="L161" s="114">
        <v>11181.5</v>
      </c>
      <c r="M161" s="114">
        <v>28184.799999999999</v>
      </c>
      <c r="N161" s="114">
        <v>17070.3</v>
      </c>
      <c r="O161" s="114">
        <v>74426.899999999994</v>
      </c>
      <c r="P161" s="186"/>
      <c r="Q161" s="158"/>
    </row>
    <row r="162" spans="1:20">
      <c r="A162" s="235"/>
      <c r="B162" s="127" t="s">
        <v>79</v>
      </c>
      <c r="C162" s="114">
        <v>29937.8</v>
      </c>
      <c r="D162" s="114">
        <v>30825.7</v>
      </c>
      <c r="E162" s="114">
        <v>133882.4</v>
      </c>
      <c r="F162" s="114">
        <v>45551.6</v>
      </c>
      <c r="G162" s="114">
        <v>4378</v>
      </c>
      <c r="H162" s="114">
        <v>4831.1000000000004</v>
      </c>
      <c r="I162" s="114">
        <v>1321.5</v>
      </c>
      <c r="J162" s="114">
        <v>3510.4</v>
      </c>
      <c r="K162" s="114">
        <v>2970.4</v>
      </c>
      <c r="L162" s="114">
        <v>6509.7</v>
      </c>
      <c r="M162" s="114">
        <v>18812.8</v>
      </c>
      <c r="N162" s="114">
        <v>4704.6000000000004</v>
      </c>
      <c r="O162" s="114">
        <v>35576.1</v>
      </c>
      <c r="P162" s="186"/>
      <c r="Q162" s="158"/>
    </row>
    <row r="163" spans="1:20">
      <c r="A163" s="235"/>
      <c r="B163" s="127" t="s">
        <v>80</v>
      </c>
      <c r="C163" s="114">
        <v>17285.900000000001</v>
      </c>
      <c r="D163" s="114">
        <v>8829.7999999999993</v>
      </c>
      <c r="E163" s="114">
        <v>15027.8</v>
      </c>
      <c r="F163" s="114">
        <v>5587.1</v>
      </c>
      <c r="G163" s="114">
        <v>13252.9</v>
      </c>
      <c r="H163" s="114">
        <v>5966.6</v>
      </c>
      <c r="I163" s="114">
        <v>583</v>
      </c>
      <c r="J163" s="114">
        <v>837.6</v>
      </c>
      <c r="K163" s="114">
        <v>3429</v>
      </c>
      <c r="L163" s="114">
        <v>111.1</v>
      </c>
      <c r="M163" s="114">
        <v>859.2</v>
      </c>
      <c r="N163" s="114">
        <v>4456.8999999999996</v>
      </c>
      <c r="O163" s="114">
        <v>4609.7</v>
      </c>
      <c r="P163" s="186"/>
      <c r="Q163" s="158"/>
      <c r="R163" s="165"/>
      <c r="S163" s="165"/>
      <c r="T163" s="165"/>
    </row>
    <row r="164" spans="1:20">
      <c r="A164" s="235"/>
      <c r="B164" s="127" t="s">
        <v>81</v>
      </c>
      <c r="C164" s="114">
        <v>2274.3000000000002</v>
      </c>
      <c r="D164" s="114">
        <v>1971.9</v>
      </c>
      <c r="E164" s="114">
        <v>9240.7999999999993</v>
      </c>
      <c r="F164" s="114">
        <v>2766.6</v>
      </c>
      <c r="G164" s="114">
        <v>4253.3</v>
      </c>
      <c r="H164" s="114">
        <v>1216.3</v>
      </c>
      <c r="I164" s="114">
        <v>274.10000000000002</v>
      </c>
      <c r="J164" s="114">
        <v>678.2</v>
      </c>
      <c r="K164" s="114">
        <v>1474.8</v>
      </c>
      <c r="L164" s="114">
        <v>12</v>
      </c>
      <c r="M164" s="114">
        <v>485.5</v>
      </c>
      <c r="N164" s="114">
        <v>2920.3</v>
      </c>
      <c r="O164" s="114">
        <v>3843</v>
      </c>
      <c r="P164" s="186"/>
      <c r="Q164" s="158"/>
      <c r="R164" s="165"/>
      <c r="S164" s="165"/>
      <c r="T164" s="165"/>
    </row>
    <row r="165" spans="1:20">
      <c r="A165" s="235"/>
      <c r="B165" s="127" t="s">
        <v>86</v>
      </c>
      <c r="C165" s="114">
        <v>344</v>
      </c>
      <c r="D165" s="114">
        <v>0</v>
      </c>
      <c r="E165" s="114">
        <v>150</v>
      </c>
      <c r="F165" s="114">
        <v>100</v>
      </c>
      <c r="G165" s="114">
        <v>0</v>
      </c>
      <c r="H165" s="114">
        <v>0</v>
      </c>
      <c r="I165" s="114">
        <v>0</v>
      </c>
      <c r="J165" s="114">
        <v>0</v>
      </c>
      <c r="K165" s="114">
        <v>0</v>
      </c>
      <c r="L165" s="114">
        <v>0</v>
      </c>
      <c r="M165" s="114">
        <v>0</v>
      </c>
      <c r="N165" s="114">
        <v>0</v>
      </c>
      <c r="O165" s="114">
        <v>0</v>
      </c>
      <c r="P165" s="186"/>
      <c r="Q165" s="158"/>
      <c r="R165" s="165"/>
      <c r="S165" s="165"/>
      <c r="T165" s="165"/>
    </row>
    <row r="166" spans="1:20">
      <c r="A166" s="235"/>
      <c r="B166" s="127" t="s">
        <v>74</v>
      </c>
      <c r="C166" s="114">
        <v>0</v>
      </c>
      <c r="D166" s="114">
        <v>0</v>
      </c>
      <c r="E166" s="114">
        <v>0</v>
      </c>
      <c r="F166" s="114">
        <v>0</v>
      </c>
      <c r="G166" s="114">
        <v>0</v>
      </c>
      <c r="H166" s="114">
        <v>308</v>
      </c>
      <c r="I166" s="114">
        <v>0</v>
      </c>
      <c r="J166" s="114">
        <v>0</v>
      </c>
      <c r="K166" s="114">
        <v>0</v>
      </c>
      <c r="L166" s="114">
        <v>0</v>
      </c>
      <c r="M166" s="114">
        <v>190</v>
      </c>
      <c r="N166" s="114">
        <v>0</v>
      </c>
      <c r="O166" s="114">
        <v>0</v>
      </c>
      <c r="P166" s="186"/>
      <c r="Q166" s="158"/>
      <c r="R166" s="165"/>
      <c r="S166" s="165"/>
      <c r="T166" s="165"/>
    </row>
    <row r="167" spans="1:20">
      <c r="A167" s="235"/>
      <c r="B167" s="127" t="s">
        <v>82</v>
      </c>
      <c r="C167" s="114">
        <v>0</v>
      </c>
      <c r="D167" s="114">
        <v>0</v>
      </c>
      <c r="E167" s="114">
        <v>0</v>
      </c>
      <c r="F167" s="114">
        <v>0</v>
      </c>
      <c r="G167" s="114">
        <v>0</v>
      </c>
      <c r="H167" s="114">
        <v>0</v>
      </c>
      <c r="I167" s="114">
        <v>0</v>
      </c>
      <c r="J167" s="114">
        <v>0</v>
      </c>
      <c r="K167" s="114">
        <v>0</v>
      </c>
      <c r="L167" s="114">
        <v>0</v>
      </c>
      <c r="M167" s="114">
        <v>0</v>
      </c>
      <c r="N167" s="114">
        <v>0</v>
      </c>
      <c r="O167" s="114">
        <v>0</v>
      </c>
      <c r="P167" s="186"/>
      <c r="Q167" s="158"/>
      <c r="R167" s="165"/>
      <c r="S167" s="165"/>
      <c r="T167" s="165"/>
    </row>
    <row r="168" spans="1:20">
      <c r="A168" s="235"/>
      <c r="B168" s="127" t="s">
        <v>83</v>
      </c>
      <c r="C168" s="114">
        <v>0</v>
      </c>
      <c r="D168" s="114">
        <v>0</v>
      </c>
      <c r="E168" s="114">
        <v>0</v>
      </c>
      <c r="F168" s="114">
        <v>0</v>
      </c>
      <c r="G168" s="114">
        <v>0</v>
      </c>
      <c r="H168" s="114">
        <v>0</v>
      </c>
      <c r="I168" s="114">
        <v>0</v>
      </c>
      <c r="J168" s="114">
        <v>0</v>
      </c>
      <c r="K168" s="114">
        <v>0</v>
      </c>
      <c r="L168" s="114">
        <v>0</v>
      </c>
      <c r="M168" s="114">
        <v>0</v>
      </c>
      <c r="N168" s="114">
        <v>0</v>
      </c>
      <c r="O168" s="114">
        <v>0</v>
      </c>
      <c r="P168" s="186"/>
      <c r="Q168" s="158"/>
      <c r="R168" s="165"/>
      <c r="S168" s="165"/>
      <c r="T168" s="165"/>
    </row>
    <row r="169" spans="1:20">
      <c r="A169" s="235"/>
      <c r="B169" s="127" t="s">
        <v>85</v>
      </c>
      <c r="C169" s="114">
        <v>0</v>
      </c>
      <c r="D169" s="114">
        <v>0</v>
      </c>
      <c r="E169" s="114">
        <v>0</v>
      </c>
      <c r="F169" s="114">
        <v>0</v>
      </c>
      <c r="G169" s="114">
        <v>0</v>
      </c>
      <c r="H169" s="114">
        <v>0</v>
      </c>
      <c r="I169" s="114">
        <v>0</v>
      </c>
      <c r="J169" s="114">
        <v>0</v>
      </c>
      <c r="K169" s="114">
        <v>0</v>
      </c>
      <c r="L169" s="114">
        <v>0</v>
      </c>
      <c r="M169" s="114">
        <v>0</v>
      </c>
      <c r="N169" s="114">
        <v>0</v>
      </c>
      <c r="O169" s="114">
        <v>0</v>
      </c>
      <c r="P169" s="186"/>
      <c r="Q169" s="158"/>
      <c r="R169" s="165"/>
      <c r="S169" s="165"/>
      <c r="T169" s="165"/>
    </row>
    <row r="170" spans="1:20">
      <c r="A170" s="235"/>
      <c r="B170" s="127" t="s">
        <v>171</v>
      </c>
      <c r="C170" s="114">
        <v>0</v>
      </c>
      <c r="D170" s="114">
        <v>0</v>
      </c>
      <c r="E170" s="114">
        <v>0</v>
      </c>
      <c r="F170" s="114">
        <v>0</v>
      </c>
      <c r="G170" s="114">
        <v>0</v>
      </c>
      <c r="H170" s="114">
        <v>0</v>
      </c>
      <c r="I170" s="114">
        <v>0</v>
      </c>
      <c r="J170" s="114">
        <v>0</v>
      </c>
      <c r="K170" s="114">
        <v>0</v>
      </c>
      <c r="L170" s="114">
        <v>0</v>
      </c>
      <c r="M170" s="114">
        <v>0</v>
      </c>
      <c r="N170" s="114">
        <v>0</v>
      </c>
      <c r="O170" s="114">
        <v>0</v>
      </c>
      <c r="P170" s="186"/>
      <c r="Q170" s="158"/>
      <c r="R170" s="165"/>
      <c r="S170" s="165"/>
      <c r="T170" s="165"/>
    </row>
    <row r="171" spans="1:20">
      <c r="A171" s="235"/>
      <c r="B171" s="127" t="s">
        <v>209</v>
      </c>
      <c r="C171" s="114">
        <v>0</v>
      </c>
      <c r="D171" s="114">
        <v>0</v>
      </c>
      <c r="E171" s="114">
        <v>0</v>
      </c>
      <c r="F171" s="114">
        <v>0</v>
      </c>
      <c r="G171" s="114">
        <v>0</v>
      </c>
      <c r="H171" s="114">
        <v>0</v>
      </c>
      <c r="I171" s="114">
        <v>0</v>
      </c>
      <c r="J171" s="114">
        <v>0</v>
      </c>
      <c r="K171" s="114">
        <v>0</v>
      </c>
      <c r="L171" s="114">
        <v>0</v>
      </c>
      <c r="M171" s="114">
        <v>0</v>
      </c>
      <c r="N171" s="114">
        <v>0</v>
      </c>
      <c r="O171" s="114">
        <v>0</v>
      </c>
      <c r="P171" s="158">
        <f>O173/C173-1</f>
        <v>-6.5353739105151298E-2</v>
      </c>
      <c r="Q171" s="158"/>
      <c r="R171" s="165"/>
      <c r="S171" s="165"/>
      <c r="T171" s="165"/>
    </row>
    <row r="172" spans="1:20">
      <c r="A172" s="235"/>
      <c r="B172" s="127" t="s">
        <v>210</v>
      </c>
      <c r="C172" s="114">
        <v>0</v>
      </c>
      <c r="D172" s="114">
        <v>0</v>
      </c>
      <c r="E172" s="114">
        <v>0</v>
      </c>
      <c r="F172" s="114">
        <v>0</v>
      </c>
      <c r="G172" s="114">
        <v>0</v>
      </c>
      <c r="H172" s="114">
        <v>242.7</v>
      </c>
      <c r="I172" s="114">
        <v>820.6</v>
      </c>
      <c r="J172" s="114">
        <v>588.70000000000005</v>
      </c>
      <c r="K172" s="114">
        <v>844.6</v>
      </c>
      <c r="L172" s="114">
        <v>129.19999999999999</v>
      </c>
      <c r="M172" s="114">
        <v>1191.4000000000001</v>
      </c>
      <c r="N172" s="114">
        <v>512.9</v>
      </c>
      <c r="O172" s="114">
        <v>3501.6</v>
      </c>
      <c r="P172" s="171"/>
      <c r="Q172" s="165"/>
      <c r="R172" s="165"/>
      <c r="S172" s="165"/>
      <c r="T172" s="165"/>
    </row>
    <row r="173" spans="1:20">
      <c r="A173" s="234"/>
      <c r="B173" s="189" t="s">
        <v>0</v>
      </c>
      <c r="C173" s="190">
        <v>159582.29999999999</v>
      </c>
      <c r="D173" s="190">
        <v>127474.9</v>
      </c>
      <c r="E173" s="190">
        <v>341457.9</v>
      </c>
      <c r="F173" s="190">
        <v>136367.20000000001</v>
      </c>
      <c r="G173" s="190">
        <v>131650.29999999999</v>
      </c>
      <c r="H173" s="190">
        <v>101689.5</v>
      </c>
      <c r="I173" s="190">
        <v>268031.09999999998</v>
      </c>
      <c r="J173" s="190">
        <v>151532.70000000001</v>
      </c>
      <c r="K173" s="190">
        <v>151623.29999999999</v>
      </c>
      <c r="L173" s="190">
        <v>37938.1</v>
      </c>
      <c r="M173" s="190">
        <v>79662.3</v>
      </c>
      <c r="N173" s="190">
        <v>55199.3</v>
      </c>
      <c r="O173" s="190">
        <v>149153</v>
      </c>
      <c r="P173" s="165"/>
      <c r="Q173" s="165"/>
      <c r="R173" s="165"/>
      <c r="S173" s="165"/>
      <c r="T173" s="165"/>
    </row>
    <row r="174" spans="1:20">
      <c r="A174" s="193"/>
      <c r="B174" s="193"/>
      <c r="C174" s="193"/>
      <c r="D174" s="193"/>
      <c r="E174" s="193"/>
      <c r="F174" s="193"/>
      <c r="G174" s="193"/>
      <c r="H174" s="193"/>
      <c r="I174" s="193"/>
      <c r="J174" s="193"/>
      <c r="K174" s="193"/>
      <c r="L174" s="193"/>
      <c r="M174" s="193"/>
      <c r="N174" s="193"/>
      <c r="O174" s="193"/>
      <c r="P174" s="193"/>
      <c r="Q174" s="193"/>
      <c r="R174" s="165"/>
      <c r="S174" s="165"/>
      <c r="T174" s="165"/>
    </row>
    <row r="175" spans="1:20">
      <c r="A175" s="194"/>
      <c r="B175" s="194"/>
      <c r="C175" s="194"/>
      <c r="D175" s="194"/>
      <c r="E175" s="194"/>
      <c r="F175" s="194"/>
      <c r="G175" s="194"/>
      <c r="H175" s="194"/>
      <c r="I175" s="194"/>
      <c r="J175" s="194"/>
      <c r="K175" s="194"/>
      <c r="L175" s="194"/>
      <c r="M175" s="194"/>
      <c r="N175" s="194"/>
      <c r="O175" s="194"/>
      <c r="P175" s="194"/>
      <c r="Q175" s="194"/>
      <c r="R175" s="165"/>
      <c r="S175" s="165"/>
      <c r="T175" s="165"/>
    </row>
    <row r="176" spans="1:20">
      <c r="O176" s="165"/>
      <c r="P176" s="165"/>
      <c r="Q176" s="165"/>
      <c r="R176" s="165"/>
      <c r="S176" s="165"/>
      <c r="T176" s="165"/>
    </row>
    <row r="177" spans="1:21">
      <c r="O177" s="165"/>
      <c r="P177" s="165"/>
      <c r="Q177" s="165"/>
      <c r="R177" s="165"/>
      <c r="S177" s="165"/>
      <c r="T177" s="165"/>
    </row>
    <row r="179" spans="1:21">
      <c r="A179" s="85" t="s">
        <v>229</v>
      </c>
      <c r="B179" s="165"/>
    </row>
    <row r="180" spans="1:21">
      <c r="B180" s="168" t="str">
        <f>MID(B181,6,1)</f>
        <v>M</v>
      </c>
      <c r="C180" s="168" t="str">
        <f t="shared" ref="C180:N180" si="5">MID(C181,6,1)</f>
        <v>J</v>
      </c>
      <c r="D180" s="168" t="str">
        <f t="shared" si="5"/>
        <v>J</v>
      </c>
      <c r="E180" s="168" t="str">
        <f t="shared" si="5"/>
        <v>A</v>
      </c>
      <c r="F180" s="168" t="str">
        <f t="shared" si="5"/>
        <v>S</v>
      </c>
      <c r="G180" s="168" t="str">
        <f t="shared" si="5"/>
        <v>O</v>
      </c>
      <c r="H180" s="168" t="str">
        <f t="shared" si="5"/>
        <v>N</v>
      </c>
      <c r="I180" s="168" t="str">
        <f t="shared" si="5"/>
        <v>D</v>
      </c>
      <c r="J180" s="168" t="str">
        <f t="shared" si="5"/>
        <v>E</v>
      </c>
      <c r="K180" s="168" t="str">
        <f t="shared" si="5"/>
        <v>F</v>
      </c>
      <c r="L180" s="168" t="str">
        <f t="shared" si="5"/>
        <v>M</v>
      </c>
      <c r="M180" s="168" t="str">
        <f t="shared" si="5"/>
        <v>A</v>
      </c>
      <c r="N180" s="168" t="str">
        <f t="shared" si="5"/>
        <v>M</v>
      </c>
    </row>
    <row r="181" spans="1:21">
      <c r="A181" s="125" t="s">
        <v>87</v>
      </c>
      <c r="B181" s="147" t="s">
        <v>211</v>
      </c>
      <c r="C181" s="147" t="s">
        <v>213</v>
      </c>
      <c r="D181" s="147" t="s">
        <v>215</v>
      </c>
      <c r="E181" s="147" t="s">
        <v>217</v>
      </c>
      <c r="F181" s="147" t="s">
        <v>219</v>
      </c>
      <c r="G181" s="147" t="s">
        <v>223</v>
      </c>
      <c r="H181" s="147" t="s">
        <v>226</v>
      </c>
      <c r="I181" s="147" t="s">
        <v>228</v>
      </c>
      <c r="J181" s="147" t="s">
        <v>232</v>
      </c>
      <c r="K181" s="147" t="s">
        <v>235</v>
      </c>
      <c r="L181" s="147" t="s">
        <v>238</v>
      </c>
      <c r="M181" s="147" t="s">
        <v>248</v>
      </c>
      <c r="N181" s="147" t="s">
        <v>283</v>
      </c>
      <c r="P181" s="122"/>
    </row>
    <row r="182" spans="1:21">
      <c r="A182" s="125" t="s">
        <v>27</v>
      </c>
      <c r="B182" s="145"/>
      <c r="C182" s="145"/>
      <c r="D182" s="145"/>
      <c r="E182" s="145"/>
      <c r="F182" s="145"/>
      <c r="G182" s="145"/>
      <c r="H182" s="145"/>
      <c r="I182" s="145"/>
      <c r="J182" s="145"/>
      <c r="K182" s="145"/>
      <c r="L182" s="145"/>
      <c r="M182" s="145"/>
      <c r="N182" s="145"/>
      <c r="P182" s="122"/>
    </row>
    <row r="183" spans="1:21">
      <c r="A183" s="127" t="s">
        <v>60</v>
      </c>
      <c r="B183" s="129">
        <v>860.69455645162498</v>
      </c>
      <c r="C183" s="129">
        <v>909.48680555554995</v>
      </c>
      <c r="D183" s="129">
        <v>895.87533602149995</v>
      </c>
      <c r="E183" s="129">
        <v>896.60181451612505</v>
      </c>
      <c r="F183" s="129">
        <v>904.94791666667504</v>
      </c>
      <c r="G183" s="129">
        <v>1016.8244966443</v>
      </c>
      <c r="H183" s="129">
        <v>1105.60625</v>
      </c>
      <c r="I183" s="129">
        <v>1182.3212365591501</v>
      </c>
      <c r="J183" s="129">
        <v>1150.9126344086001</v>
      </c>
      <c r="K183" s="129">
        <v>1147.5163690476249</v>
      </c>
      <c r="L183" s="129">
        <v>1173.7688425302749</v>
      </c>
      <c r="M183" s="129">
        <v>1183.2381944444501</v>
      </c>
      <c r="N183" s="129">
        <v>1193.7315188171999</v>
      </c>
      <c r="O183" s="159">
        <f>N183/B183-1</f>
        <v>0.3869397800522667</v>
      </c>
      <c r="P183" s="122"/>
    </row>
    <row r="184" spans="1:21">
      <c r="A184" s="127" t="s">
        <v>61</v>
      </c>
      <c r="B184" s="129">
        <v>863.35450268817499</v>
      </c>
      <c r="C184" s="129">
        <v>912.17291666667495</v>
      </c>
      <c r="D184" s="129">
        <v>897.59307795699999</v>
      </c>
      <c r="E184" s="129">
        <v>897.21471774192503</v>
      </c>
      <c r="F184" s="129">
        <v>906.32291666667504</v>
      </c>
      <c r="G184" s="129">
        <v>1012.71845637585</v>
      </c>
      <c r="H184" s="129">
        <v>1105.96319444445</v>
      </c>
      <c r="I184" s="129">
        <v>1174.3723118279499</v>
      </c>
      <c r="J184" s="129">
        <v>1129.192204301075</v>
      </c>
      <c r="K184" s="129">
        <v>1128.565476190475</v>
      </c>
      <c r="L184" s="129">
        <v>1181.15376850605</v>
      </c>
      <c r="M184" s="129">
        <v>1186.2625</v>
      </c>
      <c r="N184" s="129">
        <v>1194.9334677419249</v>
      </c>
      <c r="O184" s="159"/>
      <c r="P184" s="122"/>
    </row>
    <row r="185" spans="1:21">
      <c r="C185" s="114"/>
      <c r="P185" s="122"/>
    </row>
    <row r="186" spans="1:21">
      <c r="C186" s="114"/>
      <c r="P186" s="122"/>
    </row>
    <row r="187" spans="1:21">
      <c r="A187" s="85" t="s">
        <v>173</v>
      </c>
      <c r="B187" s="168" t="str">
        <f>MID(B189,6,1)</f>
        <v>M</v>
      </c>
      <c r="C187" s="168" t="str">
        <f t="shared" ref="C187:N187" si="6">MID(C189,6,1)</f>
        <v>J</v>
      </c>
      <c r="D187" s="168" t="str">
        <f t="shared" si="6"/>
        <v>J</v>
      </c>
      <c r="E187" s="168" t="str">
        <f t="shared" si="6"/>
        <v>A</v>
      </c>
      <c r="F187" s="168" t="str">
        <f t="shared" si="6"/>
        <v>S</v>
      </c>
      <c r="G187" s="168" t="str">
        <f t="shared" si="6"/>
        <v>O</v>
      </c>
      <c r="H187" s="168" t="str">
        <f t="shared" si="6"/>
        <v>N</v>
      </c>
      <c r="I187" s="168" t="str">
        <f t="shared" si="6"/>
        <v>D</v>
      </c>
      <c r="J187" s="168" t="str">
        <f t="shared" si="6"/>
        <v>E</v>
      </c>
      <c r="K187" s="168" t="str">
        <f t="shared" si="6"/>
        <v>F</v>
      </c>
      <c r="L187" s="168" t="str">
        <f t="shared" si="6"/>
        <v>M</v>
      </c>
      <c r="M187" s="168" t="str">
        <f t="shared" si="6"/>
        <v>A</v>
      </c>
      <c r="N187" s="168" t="str">
        <f t="shared" si="6"/>
        <v>M</v>
      </c>
      <c r="P187" s="157"/>
      <c r="Q187" s="157"/>
    </row>
    <row r="188" spans="1:21">
      <c r="A188" s="125" t="s">
        <v>27</v>
      </c>
      <c r="B188" s="229" t="s">
        <v>192</v>
      </c>
      <c r="C188" s="230"/>
      <c r="D188" s="230"/>
      <c r="E188" s="230"/>
      <c r="F188" s="230"/>
      <c r="G188" s="230"/>
      <c r="H188" s="230"/>
      <c r="I188" s="230"/>
      <c r="J188" s="230"/>
      <c r="K188" s="230"/>
      <c r="L188" s="230"/>
      <c r="M188" s="230"/>
      <c r="N188" s="230"/>
      <c r="P188" s="157"/>
      <c r="Q188" s="157"/>
    </row>
    <row r="189" spans="1:21">
      <c r="A189" s="125" t="s">
        <v>87</v>
      </c>
      <c r="B189" s="147" t="s">
        <v>211</v>
      </c>
      <c r="C189" s="147" t="s">
        <v>213</v>
      </c>
      <c r="D189" s="147" t="s">
        <v>215</v>
      </c>
      <c r="E189" s="147" t="s">
        <v>217</v>
      </c>
      <c r="F189" s="147" t="s">
        <v>219</v>
      </c>
      <c r="G189" s="147" t="s">
        <v>223</v>
      </c>
      <c r="H189" s="147" t="s">
        <v>226</v>
      </c>
      <c r="I189" s="147" t="s">
        <v>228</v>
      </c>
      <c r="J189" s="147" t="s">
        <v>232</v>
      </c>
      <c r="K189" s="147" t="s">
        <v>235</v>
      </c>
      <c r="L189" s="147" t="s">
        <v>238</v>
      </c>
      <c r="M189" s="147" t="s">
        <v>248</v>
      </c>
      <c r="N189" s="147" t="s">
        <v>283</v>
      </c>
      <c r="P189" s="157"/>
      <c r="Q189" s="157"/>
    </row>
    <row r="190" spans="1:21">
      <c r="A190" s="125" t="s">
        <v>120</v>
      </c>
      <c r="B190" s="145"/>
      <c r="C190" s="145"/>
      <c r="D190" s="145"/>
      <c r="E190" s="145"/>
      <c r="F190" s="145"/>
      <c r="G190" s="145"/>
      <c r="H190" s="145"/>
      <c r="I190" s="145"/>
      <c r="J190" s="145"/>
      <c r="K190" s="145"/>
      <c r="L190" s="145"/>
      <c r="M190" s="145"/>
      <c r="N190" s="145"/>
      <c r="O190" s="159"/>
      <c r="P190" s="157"/>
      <c r="Q190" s="157"/>
    </row>
    <row r="191" spans="1:21">
      <c r="A191" s="127" t="s">
        <v>75</v>
      </c>
      <c r="B191" s="114">
        <v>129.96244999999999</v>
      </c>
      <c r="C191" s="114">
        <v>140.64422500000001</v>
      </c>
      <c r="D191" s="114">
        <v>145.18279999999999</v>
      </c>
      <c r="E191" s="114">
        <v>180.042475</v>
      </c>
      <c r="F191" s="114">
        <v>165.537925</v>
      </c>
      <c r="G191" s="114">
        <v>131.49952500000001</v>
      </c>
      <c r="H191" s="114">
        <v>91.061660000000003</v>
      </c>
      <c r="I191" s="114">
        <v>58.437812999999998</v>
      </c>
      <c r="J191" s="114">
        <v>78.902215999999996</v>
      </c>
      <c r="K191" s="114">
        <v>84.822263000000007</v>
      </c>
      <c r="L191" s="114">
        <v>105.459892</v>
      </c>
      <c r="M191" s="114">
        <v>92.657791000000003</v>
      </c>
      <c r="N191" s="114">
        <v>95.844481999999999</v>
      </c>
      <c r="O191" s="159">
        <f>N191/B191-1</f>
        <v>-0.2625217360860771</v>
      </c>
      <c r="P191" s="157"/>
      <c r="Q191" s="157"/>
      <c r="S191" s="114"/>
      <c r="T191" s="114"/>
      <c r="U191" s="114"/>
    </row>
    <row r="192" spans="1:21">
      <c r="A192" s="127" t="s">
        <v>71</v>
      </c>
      <c r="B192" s="114">
        <v>255.9136</v>
      </c>
      <c r="C192" s="114">
        <v>200.79612499999999</v>
      </c>
      <c r="D192" s="114">
        <v>219.31675000000001</v>
      </c>
      <c r="E192" s="114">
        <v>174.548475</v>
      </c>
      <c r="F192" s="114">
        <v>172.08167499999999</v>
      </c>
      <c r="G192" s="114">
        <v>201.38062500000001</v>
      </c>
      <c r="H192" s="114">
        <v>135.71709799999999</v>
      </c>
      <c r="I192" s="114">
        <v>90.003534999999999</v>
      </c>
      <c r="J192" s="114">
        <v>75.798308000000006</v>
      </c>
      <c r="K192" s="114">
        <v>59.611581999999999</v>
      </c>
      <c r="L192" s="114">
        <v>81.554850999999999</v>
      </c>
      <c r="M192" s="114">
        <v>85.516738000000004</v>
      </c>
      <c r="N192" s="114">
        <v>100.845438</v>
      </c>
      <c r="O192" s="159">
        <f>N192/B192-1</f>
        <v>-0.60593951239793431</v>
      </c>
      <c r="P192" s="159">
        <f>(N191+N192)/(B191+B192)-1</f>
        <v>-0.49027694255707233</v>
      </c>
      <c r="Q192" s="157"/>
      <c r="S192" s="114"/>
      <c r="T192" s="114"/>
      <c r="U192" s="114"/>
    </row>
    <row r="193" spans="1:17">
      <c r="B193" s="172"/>
      <c r="M193" s="172"/>
      <c r="N193" s="172"/>
    </row>
    <row r="194" spans="1:17">
      <c r="A194" s="85" t="s">
        <v>174</v>
      </c>
      <c r="C194" s="144" t="str">
        <f t="shared" ref="C194:O194" si="7">MID(C196,6,1)</f>
        <v>M</v>
      </c>
      <c r="D194" s="144" t="str">
        <f t="shared" si="7"/>
        <v>J</v>
      </c>
      <c r="E194" s="144" t="str">
        <f t="shared" si="7"/>
        <v>J</v>
      </c>
      <c r="F194" s="144" t="str">
        <f t="shared" si="7"/>
        <v>A</v>
      </c>
      <c r="G194" s="144" t="str">
        <f t="shared" si="7"/>
        <v>S</v>
      </c>
      <c r="H194" s="144" t="str">
        <f t="shared" si="7"/>
        <v>O</v>
      </c>
      <c r="I194" s="144" t="str">
        <f t="shared" si="7"/>
        <v>N</v>
      </c>
      <c r="J194" s="144" t="str">
        <f t="shared" si="7"/>
        <v>D</v>
      </c>
      <c r="K194" s="144" t="str">
        <f t="shared" si="7"/>
        <v>E</v>
      </c>
      <c r="L194" s="144" t="str">
        <f t="shared" si="7"/>
        <v>F</v>
      </c>
      <c r="M194" s="144" t="str">
        <f t="shared" si="7"/>
        <v>M</v>
      </c>
      <c r="N194" s="144" t="str">
        <f t="shared" si="7"/>
        <v>A</v>
      </c>
      <c r="O194" s="144" t="str">
        <f t="shared" si="7"/>
        <v>M</v>
      </c>
    </row>
    <row r="195" spans="1:17">
      <c r="A195" s="125"/>
      <c r="B195" s="125" t="s">
        <v>27</v>
      </c>
      <c r="C195" s="225" t="s">
        <v>157</v>
      </c>
      <c r="D195" s="226"/>
      <c r="E195" s="226"/>
      <c r="F195" s="226"/>
      <c r="G195" s="226"/>
      <c r="H195" s="226"/>
      <c r="I195" s="226"/>
      <c r="J195" s="226"/>
      <c r="K195" s="226"/>
      <c r="L195" s="226"/>
      <c r="M195" s="226"/>
      <c r="N195" s="226"/>
      <c r="O195" s="226"/>
      <c r="P195" s="157"/>
      <c r="Q195" s="157"/>
    </row>
    <row r="196" spans="1:17">
      <c r="A196" s="125"/>
      <c r="B196" s="126" t="s">
        <v>87</v>
      </c>
      <c r="C196" s="147" t="s">
        <v>211</v>
      </c>
      <c r="D196" s="147" t="s">
        <v>213</v>
      </c>
      <c r="E196" s="147" t="s">
        <v>215</v>
      </c>
      <c r="F196" s="147" t="s">
        <v>217</v>
      </c>
      <c r="G196" s="147" t="s">
        <v>219</v>
      </c>
      <c r="H196" s="147" t="s">
        <v>223</v>
      </c>
      <c r="I196" s="147" t="s">
        <v>226</v>
      </c>
      <c r="J196" s="147" t="s">
        <v>228</v>
      </c>
      <c r="K196" s="147" t="s">
        <v>232</v>
      </c>
      <c r="L196" s="147" t="s">
        <v>235</v>
      </c>
      <c r="M196" s="147" t="s">
        <v>238</v>
      </c>
      <c r="N196" s="147" t="s">
        <v>248</v>
      </c>
      <c r="O196" s="147" t="s">
        <v>283</v>
      </c>
      <c r="P196" s="157"/>
      <c r="Q196" s="157"/>
    </row>
    <row r="197" spans="1:17">
      <c r="A197" s="125" t="s">
        <v>120</v>
      </c>
      <c r="B197" s="125" t="s">
        <v>121</v>
      </c>
      <c r="C197" s="145"/>
      <c r="D197" s="145"/>
      <c r="E197" s="145"/>
      <c r="F197" s="145"/>
      <c r="G197" s="145"/>
      <c r="H197" s="145"/>
      <c r="I197" s="145"/>
      <c r="J197" s="145"/>
      <c r="K197" s="145"/>
      <c r="L197" s="145"/>
      <c r="M197" s="145"/>
      <c r="N197" s="145"/>
      <c r="O197" s="145"/>
      <c r="P197" s="157"/>
      <c r="Q197" s="157"/>
    </row>
    <row r="198" spans="1:17">
      <c r="A198" s="233" t="s">
        <v>71</v>
      </c>
      <c r="B198" s="127" t="s">
        <v>82</v>
      </c>
      <c r="C198" s="128">
        <v>0</v>
      </c>
      <c r="D198" s="128">
        <v>0</v>
      </c>
      <c r="E198" s="128">
        <v>0</v>
      </c>
      <c r="F198" s="128">
        <v>0</v>
      </c>
      <c r="G198" s="128">
        <v>0</v>
      </c>
      <c r="H198" s="128">
        <v>0</v>
      </c>
      <c r="I198" s="128">
        <v>0</v>
      </c>
      <c r="J198" s="128">
        <v>0</v>
      </c>
      <c r="K198" s="128">
        <v>0</v>
      </c>
      <c r="L198" s="128">
        <v>0</v>
      </c>
      <c r="M198" s="128">
        <v>0</v>
      </c>
      <c r="N198" s="128">
        <v>0</v>
      </c>
      <c r="O198" s="128">
        <v>0</v>
      </c>
      <c r="P198" s="157"/>
      <c r="Q198" s="157"/>
    </row>
    <row r="199" spans="1:17">
      <c r="A199" s="235"/>
      <c r="B199" s="127" t="s">
        <v>73</v>
      </c>
      <c r="C199" s="128">
        <v>46.674999999999997</v>
      </c>
      <c r="D199" s="128">
        <v>56.25</v>
      </c>
      <c r="E199" s="128">
        <v>537</v>
      </c>
      <c r="F199" s="128">
        <v>17.5</v>
      </c>
      <c r="G199" s="128">
        <v>275.2</v>
      </c>
      <c r="H199" s="128">
        <v>379.41399999999999</v>
      </c>
      <c r="I199" s="128">
        <v>960.09100000000001</v>
      </c>
      <c r="J199" s="128">
        <v>1807.4749999999999</v>
      </c>
      <c r="K199" s="128">
        <v>485.25</v>
      </c>
      <c r="L199" s="128">
        <v>155.25</v>
      </c>
      <c r="M199" s="128">
        <v>34.450000000000003</v>
      </c>
      <c r="N199" s="128">
        <v>30.05</v>
      </c>
      <c r="O199" s="128">
        <v>0</v>
      </c>
      <c r="P199" s="157"/>
      <c r="Q199" s="157"/>
    </row>
    <row r="200" spans="1:17">
      <c r="A200" s="235"/>
      <c r="B200" s="127" t="s">
        <v>23</v>
      </c>
      <c r="C200" s="128">
        <v>37388.398000000001</v>
      </c>
      <c r="D200" s="128">
        <v>61515.864999999998</v>
      </c>
      <c r="E200" s="128">
        <v>117733.28599999999</v>
      </c>
      <c r="F200" s="128">
        <v>108037.599</v>
      </c>
      <c r="G200" s="128">
        <v>71329.876000000004</v>
      </c>
      <c r="H200" s="128">
        <v>55707.942999999999</v>
      </c>
      <c r="I200" s="128">
        <v>92005.611000000004</v>
      </c>
      <c r="J200" s="128">
        <v>149676.72500000001</v>
      </c>
      <c r="K200" s="128">
        <v>75138.25</v>
      </c>
      <c r="L200" s="128">
        <v>41086.735000000001</v>
      </c>
      <c r="M200" s="128">
        <v>42628.800000000003</v>
      </c>
      <c r="N200" s="128">
        <v>21334.2</v>
      </c>
      <c r="O200" s="128">
        <v>43474.65</v>
      </c>
      <c r="P200" s="157"/>
      <c r="Q200" s="157"/>
    </row>
    <row r="201" spans="1:17">
      <c r="A201" s="235"/>
      <c r="B201" s="127" t="s">
        <v>80</v>
      </c>
      <c r="C201" s="128">
        <v>5.15</v>
      </c>
      <c r="D201" s="128">
        <v>28.95</v>
      </c>
      <c r="E201" s="128">
        <v>6.75</v>
      </c>
      <c r="F201" s="128">
        <v>23.632999999999999</v>
      </c>
      <c r="G201" s="128">
        <v>8.4250000000000007</v>
      </c>
      <c r="H201" s="128">
        <v>4.7</v>
      </c>
      <c r="I201" s="128">
        <v>15.625</v>
      </c>
      <c r="J201" s="128">
        <v>16.25</v>
      </c>
      <c r="K201" s="128">
        <v>3</v>
      </c>
      <c r="L201" s="128">
        <v>0</v>
      </c>
      <c r="M201" s="128">
        <v>140</v>
      </c>
      <c r="N201" s="128">
        <v>52.5</v>
      </c>
      <c r="O201" s="128">
        <v>92.75</v>
      </c>
      <c r="P201" s="157"/>
      <c r="Q201" s="157"/>
    </row>
    <row r="202" spans="1:17">
      <c r="A202" s="235"/>
      <c r="B202" s="127" t="s">
        <v>74</v>
      </c>
      <c r="C202" s="128">
        <v>24589.24</v>
      </c>
      <c r="D202" s="128">
        <v>35192.391000000003</v>
      </c>
      <c r="E202" s="128">
        <v>33501.832999999999</v>
      </c>
      <c r="F202" s="128">
        <v>27203.424999999999</v>
      </c>
      <c r="G202" s="128">
        <v>25004.131000000001</v>
      </c>
      <c r="H202" s="128">
        <v>19519.491000000002</v>
      </c>
      <c r="I202" s="128">
        <v>14910.407999999999</v>
      </c>
      <c r="J202" s="128">
        <v>17618.241999999998</v>
      </c>
      <c r="K202" s="128">
        <v>30294.2</v>
      </c>
      <c r="L202" s="128">
        <v>10732.416999999999</v>
      </c>
      <c r="M202" s="128">
        <v>30167.8</v>
      </c>
      <c r="N202" s="128">
        <v>25127.55</v>
      </c>
      <c r="O202" s="128">
        <v>28512.400000000001</v>
      </c>
      <c r="P202" s="157"/>
      <c r="Q202" s="157"/>
    </row>
    <row r="203" spans="1:17">
      <c r="A203" s="235"/>
      <c r="B203" s="127" t="s">
        <v>83</v>
      </c>
      <c r="C203" s="128">
        <v>0</v>
      </c>
      <c r="D203" s="128">
        <v>0</v>
      </c>
      <c r="E203" s="128">
        <v>0</v>
      </c>
      <c r="F203" s="128">
        <v>0</v>
      </c>
      <c r="G203" s="128">
        <v>0</v>
      </c>
      <c r="H203" s="128">
        <v>0</v>
      </c>
      <c r="I203" s="128">
        <v>0</v>
      </c>
      <c r="J203" s="128">
        <v>0</v>
      </c>
      <c r="K203" s="128">
        <v>0</v>
      </c>
      <c r="L203" s="128">
        <v>0</v>
      </c>
      <c r="M203" s="128">
        <v>0</v>
      </c>
      <c r="N203" s="128">
        <v>0</v>
      </c>
      <c r="O203" s="128">
        <v>0</v>
      </c>
      <c r="P203" s="157"/>
      <c r="Q203" s="157"/>
    </row>
    <row r="204" spans="1:17">
      <c r="A204" s="235"/>
      <c r="B204" s="127" t="s">
        <v>77</v>
      </c>
      <c r="C204" s="128">
        <v>18793.464</v>
      </c>
      <c r="D204" s="128">
        <v>19769.831999999999</v>
      </c>
      <c r="E204" s="128">
        <v>27242.550999999999</v>
      </c>
      <c r="F204" s="128">
        <v>18314.178</v>
      </c>
      <c r="G204" s="128">
        <v>14389.375</v>
      </c>
      <c r="H204" s="128">
        <v>24306.028999999999</v>
      </c>
      <c r="I204" s="128">
        <v>13826.055</v>
      </c>
      <c r="J204" s="128">
        <v>22650.025000000001</v>
      </c>
      <c r="K204" s="128">
        <v>24907.05</v>
      </c>
      <c r="L204" s="128">
        <v>9668.9809999999998</v>
      </c>
      <c r="M204" s="128">
        <v>31429.5</v>
      </c>
      <c r="N204" s="128">
        <v>27448.1</v>
      </c>
      <c r="O204" s="128">
        <v>43167.925000000003</v>
      </c>
      <c r="P204" s="157"/>
      <c r="Q204" s="157"/>
    </row>
    <row r="205" spans="1:17">
      <c r="A205" s="235"/>
      <c r="B205" s="127" t="s">
        <v>84</v>
      </c>
      <c r="C205" s="128">
        <v>0</v>
      </c>
      <c r="D205" s="128">
        <v>0</v>
      </c>
      <c r="E205" s="128">
        <v>0</v>
      </c>
      <c r="F205" s="128">
        <v>0</v>
      </c>
      <c r="G205" s="128">
        <v>0</v>
      </c>
      <c r="H205" s="128">
        <v>0</v>
      </c>
      <c r="I205" s="128">
        <v>0</v>
      </c>
      <c r="J205" s="128">
        <v>0</v>
      </c>
      <c r="K205" s="128">
        <v>0</v>
      </c>
      <c r="L205" s="128">
        <v>0</v>
      </c>
      <c r="M205" s="128">
        <v>0</v>
      </c>
      <c r="N205" s="128">
        <v>0</v>
      </c>
      <c r="O205" s="128">
        <v>0</v>
      </c>
      <c r="P205" s="157"/>
      <c r="Q205" s="157"/>
    </row>
    <row r="206" spans="1:17">
      <c r="A206" s="235"/>
      <c r="B206" s="127" t="s">
        <v>210</v>
      </c>
      <c r="C206" s="128">
        <v>0</v>
      </c>
      <c r="D206" s="128">
        <v>0</v>
      </c>
      <c r="E206" s="128">
        <v>0</v>
      </c>
      <c r="F206" s="128">
        <v>0</v>
      </c>
      <c r="G206" s="128">
        <v>0</v>
      </c>
      <c r="H206" s="128">
        <v>0</v>
      </c>
      <c r="I206" s="128">
        <v>0</v>
      </c>
      <c r="J206" s="128">
        <v>0</v>
      </c>
      <c r="K206" s="128">
        <v>0</v>
      </c>
      <c r="L206" s="128">
        <v>0</v>
      </c>
      <c r="M206" s="128">
        <v>0</v>
      </c>
      <c r="N206" s="128">
        <v>0</v>
      </c>
      <c r="O206" s="128">
        <v>0</v>
      </c>
      <c r="P206" s="157"/>
      <c r="Q206" s="157"/>
    </row>
    <row r="207" spans="1:17">
      <c r="A207" s="235"/>
      <c r="B207" s="127" t="s">
        <v>19</v>
      </c>
      <c r="C207" s="128">
        <v>34258.17</v>
      </c>
      <c r="D207" s="128">
        <v>52189.11</v>
      </c>
      <c r="E207" s="128">
        <v>44286.06</v>
      </c>
      <c r="F207" s="128">
        <v>45614.728999999999</v>
      </c>
      <c r="G207" s="128">
        <v>21337.156999999999</v>
      </c>
      <c r="H207" s="128">
        <v>36443.067999999999</v>
      </c>
      <c r="I207" s="128">
        <v>25115.334999999999</v>
      </c>
      <c r="J207" s="128">
        <v>46447.163</v>
      </c>
      <c r="K207" s="128">
        <v>30091.7</v>
      </c>
      <c r="L207" s="128">
        <v>17178.798999999999</v>
      </c>
      <c r="M207" s="128">
        <v>34297.5</v>
      </c>
      <c r="N207" s="128">
        <v>36084.15</v>
      </c>
      <c r="O207" s="128">
        <v>30711.75</v>
      </c>
      <c r="P207" s="157"/>
      <c r="Q207" s="157"/>
    </row>
    <row r="208" spans="1:17">
      <c r="A208" s="235"/>
      <c r="B208" s="127" t="s">
        <v>171</v>
      </c>
      <c r="C208" s="128">
        <v>0</v>
      </c>
      <c r="D208" s="128">
        <v>0</v>
      </c>
      <c r="E208" s="128">
        <v>0</v>
      </c>
      <c r="F208" s="128">
        <v>0</v>
      </c>
      <c r="G208" s="128">
        <v>0</v>
      </c>
      <c r="H208" s="128">
        <v>0</v>
      </c>
      <c r="I208" s="128">
        <v>0</v>
      </c>
      <c r="J208" s="128">
        <v>0</v>
      </c>
      <c r="K208" s="128">
        <v>0</v>
      </c>
      <c r="L208" s="128">
        <v>0</v>
      </c>
      <c r="M208" s="128">
        <v>0</v>
      </c>
      <c r="N208" s="128">
        <v>0</v>
      </c>
      <c r="O208" s="128">
        <v>0</v>
      </c>
      <c r="P208" s="157"/>
      <c r="Q208" s="157"/>
    </row>
    <row r="209" spans="1:17">
      <c r="A209" s="235"/>
      <c r="B209" s="127" t="s">
        <v>85</v>
      </c>
      <c r="C209" s="128">
        <v>0</v>
      </c>
      <c r="D209" s="128">
        <v>0</v>
      </c>
      <c r="E209" s="128">
        <v>0</v>
      </c>
      <c r="F209" s="128">
        <v>0</v>
      </c>
      <c r="G209" s="128">
        <v>0</v>
      </c>
      <c r="H209" s="128">
        <v>0</v>
      </c>
      <c r="I209" s="128">
        <v>0</v>
      </c>
      <c r="J209" s="128">
        <v>8416.4750000000004</v>
      </c>
      <c r="K209" s="128">
        <v>34556.9</v>
      </c>
      <c r="L209" s="128">
        <v>28098.799999999999</v>
      </c>
      <c r="M209" s="128">
        <v>34080.6</v>
      </c>
      <c r="N209" s="128">
        <v>26275.474999999999</v>
      </c>
      <c r="O209" s="128">
        <v>35039.25</v>
      </c>
      <c r="P209" s="157"/>
      <c r="Q209" s="157"/>
    </row>
    <row r="210" spans="1:17">
      <c r="A210" s="235"/>
      <c r="B210" s="127" t="s">
        <v>72</v>
      </c>
      <c r="C210" s="128">
        <v>318.7</v>
      </c>
      <c r="D210" s="128">
        <v>7.2</v>
      </c>
      <c r="E210" s="128">
        <v>522.85</v>
      </c>
      <c r="F210" s="128">
        <v>0</v>
      </c>
      <c r="G210" s="128">
        <v>0</v>
      </c>
      <c r="H210" s="128">
        <v>0</v>
      </c>
      <c r="I210" s="128">
        <v>100.05</v>
      </c>
      <c r="J210" s="128">
        <v>30</v>
      </c>
      <c r="K210" s="128">
        <v>139.15</v>
      </c>
      <c r="L210" s="128">
        <v>0</v>
      </c>
      <c r="M210" s="128">
        <v>359.05</v>
      </c>
      <c r="N210" s="128">
        <v>364</v>
      </c>
      <c r="O210" s="128">
        <v>1965.25</v>
      </c>
      <c r="P210" s="157"/>
      <c r="Q210" s="157"/>
    </row>
    <row r="211" spans="1:17">
      <c r="A211" s="235"/>
      <c r="B211" s="127" t="s">
        <v>81</v>
      </c>
      <c r="C211" s="128">
        <v>0</v>
      </c>
      <c r="D211" s="128">
        <v>9</v>
      </c>
      <c r="E211" s="128">
        <v>60.5</v>
      </c>
      <c r="F211" s="128">
        <v>299.625</v>
      </c>
      <c r="G211" s="128">
        <v>284.55</v>
      </c>
      <c r="H211" s="128">
        <v>361.459</v>
      </c>
      <c r="I211" s="128">
        <v>76.349999999999994</v>
      </c>
      <c r="J211" s="128">
        <v>47.25</v>
      </c>
      <c r="K211" s="128">
        <v>85</v>
      </c>
      <c r="L211" s="128">
        <v>17.25</v>
      </c>
      <c r="M211" s="128">
        <v>304.89999999999998</v>
      </c>
      <c r="N211" s="128">
        <v>301.3</v>
      </c>
      <c r="O211" s="128">
        <v>1099.6500000000001</v>
      </c>
      <c r="P211" s="157"/>
      <c r="Q211" s="157"/>
    </row>
    <row r="212" spans="1:17">
      <c r="A212" s="235"/>
      <c r="B212" s="127" t="s">
        <v>86</v>
      </c>
      <c r="C212" s="128">
        <v>0</v>
      </c>
      <c r="D212" s="128">
        <v>0</v>
      </c>
      <c r="E212" s="128">
        <v>0</v>
      </c>
      <c r="F212" s="128">
        <v>0</v>
      </c>
      <c r="G212" s="128">
        <v>0</v>
      </c>
      <c r="H212" s="128">
        <v>0</v>
      </c>
      <c r="I212" s="128">
        <v>0</v>
      </c>
      <c r="J212" s="128">
        <v>0</v>
      </c>
      <c r="K212" s="128">
        <v>0</v>
      </c>
      <c r="L212" s="128">
        <v>0</v>
      </c>
      <c r="M212" s="128">
        <v>0</v>
      </c>
      <c r="N212" s="128">
        <v>0</v>
      </c>
      <c r="O212" s="128">
        <v>0</v>
      </c>
      <c r="P212" s="157"/>
      <c r="Q212" s="157"/>
    </row>
    <row r="213" spans="1:17">
      <c r="A213" s="235"/>
      <c r="B213" s="127" t="s">
        <v>78</v>
      </c>
      <c r="C213" s="128">
        <v>12342.802</v>
      </c>
      <c r="D213" s="128">
        <v>5942.2259999999997</v>
      </c>
      <c r="E213" s="128">
        <v>11715.717000000001</v>
      </c>
      <c r="F213" s="128">
        <v>6043.3620000000001</v>
      </c>
      <c r="G213" s="128">
        <v>3037.88</v>
      </c>
      <c r="H213" s="128">
        <v>4937.223</v>
      </c>
      <c r="I213" s="128">
        <v>2907.0349999999999</v>
      </c>
      <c r="J213" s="128">
        <v>3403.0250000000001</v>
      </c>
      <c r="K213" s="128">
        <v>3800</v>
      </c>
      <c r="L213" s="128">
        <v>2360.9009999999998</v>
      </c>
      <c r="M213" s="128">
        <v>6670.45</v>
      </c>
      <c r="N213" s="128">
        <v>9866.9</v>
      </c>
      <c r="O213" s="128">
        <v>14137.575000000001</v>
      </c>
      <c r="P213" s="157"/>
      <c r="Q213" s="157"/>
    </row>
    <row r="214" spans="1:17">
      <c r="A214" s="235"/>
      <c r="B214" s="127" t="s">
        <v>79</v>
      </c>
      <c r="C214" s="128">
        <v>10.925000000000001</v>
      </c>
      <c r="D214" s="128">
        <v>17.5</v>
      </c>
      <c r="E214" s="128">
        <v>0</v>
      </c>
      <c r="F214" s="128">
        <v>42.45</v>
      </c>
      <c r="G214" s="128">
        <v>35.475000000000001</v>
      </c>
      <c r="H214" s="128">
        <v>19.399999999999999</v>
      </c>
      <c r="I214" s="128">
        <v>6.7</v>
      </c>
      <c r="J214" s="128">
        <v>9.25</v>
      </c>
      <c r="K214" s="128">
        <v>15.25</v>
      </c>
      <c r="L214" s="128">
        <v>4.75</v>
      </c>
      <c r="M214" s="128">
        <v>62.75</v>
      </c>
      <c r="N214" s="128">
        <v>157.75</v>
      </c>
      <c r="O214" s="128">
        <v>300.5</v>
      </c>
      <c r="P214" s="157"/>
      <c r="Q214" s="157"/>
    </row>
    <row r="215" spans="1:17">
      <c r="A215" s="235"/>
      <c r="B215" s="127" t="s">
        <v>76</v>
      </c>
      <c r="C215" s="128">
        <v>41513.373</v>
      </c>
      <c r="D215" s="128">
        <v>26517.401000000002</v>
      </c>
      <c r="E215" s="128">
        <v>25433.624</v>
      </c>
      <c r="F215" s="128">
        <v>17591.724999999999</v>
      </c>
      <c r="G215" s="128">
        <v>23246.357</v>
      </c>
      <c r="H215" s="128">
        <v>14903.813</v>
      </c>
      <c r="I215" s="128">
        <v>9228.6530000000002</v>
      </c>
      <c r="J215" s="128">
        <v>13417.55</v>
      </c>
      <c r="K215" s="128">
        <v>19331.099999999999</v>
      </c>
      <c r="L215" s="128">
        <v>5627</v>
      </c>
      <c r="M215" s="128">
        <v>14804.75</v>
      </c>
      <c r="N215" s="128">
        <v>16764.75</v>
      </c>
      <c r="O215" s="128">
        <v>23021.55</v>
      </c>
      <c r="P215" s="158"/>
      <c r="Q215" s="157"/>
    </row>
    <row r="216" spans="1:17">
      <c r="A216" s="234"/>
      <c r="B216" s="189" t="s">
        <v>0</v>
      </c>
      <c r="C216" s="191">
        <v>169266.897</v>
      </c>
      <c r="D216" s="191">
        <v>201245.72500000001</v>
      </c>
      <c r="E216" s="191">
        <v>261040.171</v>
      </c>
      <c r="F216" s="191">
        <v>223188.226</v>
      </c>
      <c r="G216" s="191">
        <v>158948.42600000001</v>
      </c>
      <c r="H216" s="191">
        <v>156582.54</v>
      </c>
      <c r="I216" s="191">
        <v>159151.913</v>
      </c>
      <c r="J216" s="191">
        <v>263539.43</v>
      </c>
      <c r="K216" s="191">
        <v>218846.85</v>
      </c>
      <c r="L216" s="191">
        <v>114930.883</v>
      </c>
      <c r="M216" s="191">
        <v>194980.55</v>
      </c>
      <c r="N216" s="191">
        <v>163806.72500000001</v>
      </c>
      <c r="O216" s="191">
        <v>221523.25</v>
      </c>
      <c r="P216" s="158">
        <f>O216/C216-1</f>
        <v>0.30872163385850926</v>
      </c>
      <c r="Q216" s="157"/>
    </row>
    <row r="217" spans="1:17">
      <c r="A217" s="237" t="s">
        <v>75</v>
      </c>
      <c r="B217" s="127" t="s">
        <v>82</v>
      </c>
      <c r="C217" s="128">
        <v>0</v>
      </c>
      <c r="D217" s="128">
        <v>0</v>
      </c>
      <c r="E217" s="128">
        <v>0</v>
      </c>
      <c r="F217" s="128">
        <v>0</v>
      </c>
      <c r="G217" s="128">
        <v>0</v>
      </c>
      <c r="H217" s="128">
        <v>0</v>
      </c>
      <c r="I217" s="128">
        <v>0</v>
      </c>
      <c r="J217" s="128">
        <v>0</v>
      </c>
      <c r="K217" s="128">
        <v>0</v>
      </c>
      <c r="L217" s="128">
        <v>0</v>
      </c>
      <c r="M217" s="128">
        <v>0</v>
      </c>
      <c r="N217" s="128">
        <v>0</v>
      </c>
      <c r="O217" s="128">
        <v>0</v>
      </c>
      <c r="P217" s="159"/>
      <c r="Q217" s="157"/>
    </row>
    <row r="218" spans="1:17">
      <c r="A218" s="235"/>
      <c r="B218" s="127" t="s">
        <v>73</v>
      </c>
      <c r="C218" s="128">
        <v>0</v>
      </c>
      <c r="D218" s="128">
        <v>28.875</v>
      </c>
      <c r="E218" s="128">
        <v>43.225000000000001</v>
      </c>
      <c r="F218" s="128">
        <v>24.35</v>
      </c>
      <c r="G218" s="128">
        <v>50.225000000000001</v>
      </c>
      <c r="H218" s="128">
        <v>78.75</v>
      </c>
      <c r="I218" s="128">
        <v>484.8</v>
      </c>
      <c r="J218" s="128">
        <v>289.85000000000002</v>
      </c>
      <c r="K218" s="128">
        <v>938.7</v>
      </c>
      <c r="L218" s="128">
        <v>339</v>
      </c>
      <c r="M218" s="128">
        <v>85</v>
      </c>
      <c r="N218" s="128">
        <v>105</v>
      </c>
      <c r="O218" s="128">
        <v>0</v>
      </c>
      <c r="P218" s="157"/>
      <c r="Q218" s="157"/>
    </row>
    <row r="219" spans="1:17">
      <c r="A219" s="235"/>
      <c r="B219" s="127" t="s">
        <v>23</v>
      </c>
      <c r="C219" s="128">
        <v>5794.3</v>
      </c>
      <c r="D219" s="128">
        <v>17066.666000000001</v>
      </c>
      <c r="E219" s="128">
        <v>18884.698</v>
      </c>
      <c r="F219" s="128">
        <v>30465.23</v>
      </c>
      <c r="G219" s="128">
        <v>26552.251</v>
      </c>
      <c r="H219" s="128">
        <v>33915.699999999997</v>
      </c>
      <c r="I219" s="128">
        <v>38070.457999999999</v>
      </c>
      <c r="J219" s="128">
        <v>42667.476000000002</v>
      </c>
      <c r="K219" s="128">
        <v>78421.95</v>
      </c>
      <c r="L219" s="128">
        <v>87805.447</v>
      </c>
      <c r="M219" s="128">
        <v>30848.534</v>
      </c>
      <c r="N219" s="128">
        <v>16612.3</v>
      </c>
      <c r="O219" s="128">
        <v>9449.5499999999993</v>
      </c>
      <c r="P219" s="157"/>
      <c r="Q219" s="157"/>
    </row>
    <row r="220" spans="1:17">
      <c r="A220" s="235"/>
      <c r="B220" s="127" t="s">
        <v>80</v>
      </c>
      <c r="C220" s="128">
        <v>686.75300000000004</v>
      </c>
      <c r="D220" s="128">
        <v>663.923</v>
      </c>
      <c r="E220" s="128">
        <v>535.89800000000002</v>
      </c>
      <c r="F220" s="128">
        <v>464.19200000000001</v>
      </c>
      <c r="G220" s="128">
        <v>423.447</v>
      </c>
      <c r="H220" s="128">
        <v>758.50800000000004</v>
      </c>
      <c r="I220" s="128">
        <v>689.47500000000002</v>
      </c>
      <c r="J220" s="128">
        <v>935.173</v>
      </c>
      <c r="K220" s="128">
        <v>668.6</v>
      </c>
      <c r="L220" s="128">
        <v>993.53399999999999</v>
      </c>
      <c r="M220" s="128">
        <v>1360.5</v>
      </c>
      <c r="N220" s="128">
        <v>1570.2</v>
      </c>
      <c r="O220" s="128">
        <v>863.15</v>
      </c>
      <c r="P220" s="157"/>
      <c r="Q220" s="157"/>
    </row>
    <row r="221" spans="1:17">
      <c r="A221" s="235"/>
      <c r="B221" s="127" t="s">
        <v>74</v>
      </c>
      <c r="C221" s="128">
        <v>48624.482000000004</v>
      </c>
      <c r="D221" s="128">
        <v>41321.692000000003</v>
      </c>
      <c r="E221" s="128">
        <v>25771.183000000001</v>
      </c>
      <c r="F221" s="128">
        <v>38344.226999999999</v>
      </c>
      <c r="G221" s="128">
        <v>45577.822999999997</v>
      </c>
      <c r="H221" s="128">
        <v>54566.771000000001</v>
      </c>
      <c r="I221" s="128">
        <v>41349.216999999997</v>
      </c>
      <c r="J221" s="128">
        <v>35243.148999999998</v>
      </c>
      <c r="K221" s="128">
        <v>53314.275000000001</v>
      </c>
      <c r="L221" s="128">
        <v>76705.798999999999</v>
      </c>
      <c r="M221" s="128">
        <v>53970.15</v>
      </c>
      <c r="N221" s="128">
        <v>44515.75</v>
      </c>
      <c r="O221" s="128">
        <v>21756.775000000001</v>
      </c>
      <c r="P221" s="157"/>
      <c r="Q221" s="157"/>
    </row>
    <row r="222" spans="1:17">
      <c r="A222" s="235"/>
      <c r="B222" s="127" t="s">
        <v>83</v>
      </c>
      <c r="C222" s="128">
        <v>0</v>
      </c>
      <c r="D222" s="128">
        <v>0</v>
      </c>
      <c r="E222" s="128">
        <v>0</v>
      </c>
      <c r="F222" s="128">
        <v>0</v>
      </c>
      <c r="G222" s="128">
        <v>0</v>
      </c>
      <c r="H222" s="128">
        <v>0</v>
      </c>
      <c r="I222" s="128">
        <v>0</v>
      </c>
      <c r="J222" s="128">
        <v>0</v>
      </c>
      <c r="K222" s="128">
        <v>0</v>
      </c>
      <c r="L222" s="128">
        <v>0</v>
      </c>
      <c r="M222" s="128">
        <v>0</v>
      </c>
      <c r="N222" s="128">
        <v>0</v>
      </c>
      <c r="O222" s="128">
        <v>0</v>
      </c>
      <c r="P222" s="157"/>
      <c r="Q222" s="157"/>
    </row>
    <row r="223" spans="1:17">
      <c r="A223" s="235"/>
      <c r="B223" s="127" t="s">
        <v>77</v>
      </c>
      <c r="C223" s="128">
        <v>77983.278000000006</v>
      </c>
      <c r="D223" s="128">
        <v>42036.362000000001</v>
      </c>
      <c r="E223" s="128">
        <v>28492.343000000001</v>
      </c>
      <c r="F223" s="128">
        <v>34129.855000000003</v>
      </c>
      <c r="G223" s="128">
        <v>73676.551000000007</v>
      </c>
      <c r="H223" s="128">
        <v>80386.748999999996</v>
      </c>
      <c r="I223" s="128">
        <v>42290.15</v>
      </c>
      <c r="J223" s="128">
        <v>50300.607000000004</v>
      </c>
      <c r="K223" s="128">
        <v>95848.875</v>
      </c>
      <c r="L223" s="128">
        <v>82469.11</v>
      </c>
      <c r="M223" s="128">
        <v>172995.63699999999</v>
      </c>
      <c r="N223" s="128">
        <v>130325.917</v>
      </c>
      <c r="O223" s="128">
        <v>60074.966999999997</v>
      </c>
      <c r="P223" s="157"/>
      <c r="Q223" s="157"/>
    </row>
    <row r="224" spans="1:17">
      <c r="A224" s="235"/>
      <c r="B224" s="127" t="s">
        <v>84</v>
      </c>
      <c r="C224" s="128">
        <v>0</v>
      </c>
      <c r="D224" s="128">
        <v>0</v>
      </c>
      <c r="E224" s="128">
        <v>0</v>
      </c>
      <c r="F224" s="128">
        <v>0</v>
      </c>
      <c r="G224" s="128">
        <v>0</v>
      </c>
      <c r="H224" s="128">
        <v>0</v>
      </c>
      <c r="I224" s="128">
        <v>0</v>
      </c>
      <c r="J224" s="128">
        <v>0</v>
      </c>
      <c r="K224" s="128">
        <v>0</v>
      </c>
      <c r="L224" s="128">
        <v>0</v>
      </c>
      <c r="M224" s="128">
        <v>0</v>
      </c>
      <c r="N224" s="128">
        <v>0</v>
      </c>
      <c r="O224" s="128">
        <v>0</v>
      </c>
      <c r="P224" s="157"/>
      <c r="Q224" s="157"/>
    </row>
    <row r="225" spans="1:28">
      <c r="A225" s="235"/>
      <c r="B225" s="127" t="s">
        <v>210</v>
      </c>
      <c r="C225" s="128">
        <v>0</v>
      </c>
      <c r="D225" s="128">
        <v>0</v>
      </c>
      <c r="E225" s="128">
        <v>0</v>
      </c>
      <c r="F225" s="128">
        <v>0</v>
      </c>
      <c r="G225" s="128">
        <v>0</v>
      </c>
      <c r="H225" s="128">
        <v>0</v>
      </c>
      <c r="I225" s="128">
        <v>0</v>
      </c>
      <c r="J225" s="128">
        <v>0</v>
      </c>
      <c r="K225" s="128">
        <v>0</v>
      </c>
      <c r="L225" s="128">
        <v>0</v>
      </c>
      <c r="M225" s="128">
        <v>0</v>
      </c>
      <c r="N225" s="128">
        <v>22.75</v>
      </c>
      <c r="O225" s="128">
        <v>22</v>
      </c>
      <c r="P225" s="157"/>
      <c r="Q225" s="157"/>
    </row>
    <row r="226" spans="1:28">
      <c r="A226" s="235"/>
      <c r="B226" s="127" t="s">
        <v>19</v>
      </c>
      <c r="C226" s="128">
        <v>23028.602999999999</v>
      </c>
      <c r="D226" s="128">
        <v>24414.344000000001</v>
      </c>
      <c r="E226" s="128">
        <v>18123.583999999999</v>
      </c>
      <c r="F226" s="128">
        <v>20826.226999999999</v>
      </c>
      <c r="G226" s="128">
        <v>23009.672999999999</v>
      </c>
      <c r="H226" s="128">
        <v>45128.546000000002</v>
      </c>
      <c r="I226" s="128">
        <v>28604.075000000001</v>
      </c>
      <c r="J226" s="128">
        <v>51705.65</v>
      </c>
      <c r="K226" s="128">
        <v>50536.925000000003</v>
      </c>
      <c r="L226" s="128">
        <v>84995.438999999998</v>
      </c>
      <c r="M226" s="128">
        <v>62327.576000000001</v>
      </c>
      <c r="N226" s="128">
        <v>66807.899999999994</v>
      </c>
      <c r="O226" s="128">
        <v>38696.474999999999</v>
      </c>
      <c r="P226" s="157"/>
      <c r="Q226" s="157"/>
    </row>
    <row r="227" spans="1:28">
      <c r="A227" s="235"/>
      <c r="B227" s="127" t="s">
        <v>171</v>
      </c>
      <c r="C227" s="128">
        <v>0</v>
      </c>
      <c r="D227" s="128">
        <v>0</v>
      </c>
      <c r="E227" s="128">
        <v>0</v>
      </c>
      <c r="F227" s="128">
        <v>0</v>
      </c>
      <c r="G227" s="128">
        <v>0</v>
      </c>
      <c r="H227" s="128">
        <v>0</v>
      </c>
      <c r="I227" s="128">
        <v>0</v>
      </c>
      <c r="J227" s="128">
        <v>0</v>
      </c>
      <c r="K227" s="128">
        <v>0</v>
      </c>
      <c r="L227" s="128">
        <v>0</v>
      </c>
      <c r="M227" s="128">
        <v>0</v>
      </c>
      <c r="N227" s="128">
        <v>0</v>
      </c>
      <c r="O227" s="128">
        <v>0</v>
      </c>
      <c r="P227" s="157"/>
      <c r="Q227" s="157"/>
    </row>
    <row r="228" spans="1:28">
      <c r="A228" s="235"/>
      <c r="B228" s="127" t="s">
        <v>85</v>
      </c>
      <c r="C228" s="128">
        <v>0</v>
      </c>
      <c r="D228" s="128">
        <v>0</v>
      </c>
      <c r="E228" s="128">
        <v>0</v>
      </c>
      <c r="F228" s="128">
        <v>0</v>
      </c>
      <c r="G228" s="128">
        <v>0</v>
      </c>
      <c r="H228" s="128">
        <v>0</v>
      </c>
      <c r="I228" s="128">
        <v>0</v>
      </c>
      <c r="J228" s="128">
        <v>6955.3249999999998</v>
      </c>
      <c r="K228" s="128">
        <v>26087.775000000001</v>
      </c>
      <c r="L228" s="128">
        <v>33505.375</v>
      </c>
      <c r="M228" s="128">
        <v>36555.050000000003</v>
      </c>
      <c r="N228" s="128">
        <v>42367.775000000001</v>
      </c>
      <c r="O228" s="128">
        <v>23024.25</v>
      </c>
      <c r="P228" s="157"/>
      <c r="Q228" s="157"/>
    </row>
    <row r="229" spans="1:28">
      <c r="A229" s="235"/>
      <c r="B229" s="127" t="s">
        <v>72</v>
      </c>
      <c r="C229" s="128">
        <v>418.625</v>
      </c>
      <c r="D229" s="128">
        <v>350.47500000000002</v>
      </c>
      <c r="E229" s="128">
        <v>226.30799999999999</v>
      </c>
      <c r="F229" s="128">
        <v>0.4</v>
      </c>
      <c r="G229" s="128">
        <v>140</v>
      </c>
      <c r="H229" s="128">
        <v>0</v>
      </c>
      <c r="I229" s="128">
        <v>176.42500000000001</v>
      </c>
      <c r="J229" s="128">
        <v>415</v>
      </c>
      <c r="K229" s="128">
        <v>798.25</v>
      </c>
      <c r="L229" s="128">
        <v>703.5</v>
      </c>
      <c r="M229" s="128">
        <v>479.5</v>
      </c>
      <c r="N229" s="128">
        <v>203.75</v>
      </c>
      <c r="O229" s="128">
        <v>2702</v>
      </c>
      <c r="P229" s="157"/>
      <c r="Q229" s="157"/>
    </row>
    <row r="230" spans="1:28">
      <c r="A230" s="235"/>
      <c r="B230" s="127" t="s">
        <v>81</v>
      </c>
      <c r="C230" s="128">
        <v>154.42500000000001</v>
      </c>
      <c r="D230" s="128">
        <v>130.041</v>
      </c>
      <c r="E230" s="128">
        <v>54.158000000000001</v>
      </c>
      <c r="F230" s="128">
        <v>122.11</v>
      </c>
      <c r="G230" s="128">
        <v>266.00099999999998</v>
      </c>
      <c r="H230" s="128">
        <v>214.92400000000001</v>
      </c>
      <c r="I230" s="128">
        <v>268.07499999999999</v>
      </c>
      <c r="J230" s="128">
        <v>35.75</v>
      </c>
      <c r="K230" s="128">
        <v>234</v>
      </c>
      <c r="L230" s="128">
        <v>980.66600000000005</v>
      </c>
      <c r="M230" s="128">
        <v>1739.683</v>
      </c>
      <c r="N230" s="128">
        <v>3907.0160000000001</v>
      </c>
      <c r="O230" s="128">
        <v>4437.6490000000003</v>
      </c>
      <c r="P230" s="157"/>
      <c r="Q230" s="157"/>
    </row>
    <row r="231" spans="1:28">
      <c r="A231" s="235"/>
      <c r="B231" s="127" t="s">
        <v>86</v>
      </c>
      <c r="C231" s="128">
        <v>0</v>
      </c>
      <c r="D231" s="128">
        <v>0</v>
      </c>
      <c r="E231" s="128">
        <v>0</v>
      </c>
      <c r="F231" s="128">
        <v>0</v>
      </c>
      <c r="G231" s="128">
        <v>0</v>
      </c>
      <c r="H231" s="128">
        <v>0</v>
      </c>
      <c r="I231" s="128">
        <v>0</v>
      </c>
      <c r="J231" s="128">
        <v>0</v>
      </c>
      <c r="K231" s="128">
        <v>0</v>
      </c>
      <c r="L231" s="128">
        <v>0</v>
      </c>
      <c r="M231" s="128">
        <v>0</v>
      </c>
      <c r="N231" s="128">
        <v>0</v>
      </c>
      <c r="O231" s="128">
        <v>0</v>
      </c>
      <c r="P231" s="157"/>
      <c r="Q231" s="157"/>
    </row>
    <row r="232" spans="1:28">
      <c r="A232" s="235"/>
      <c r="B232" s="127" t="s">
        <v>78</v>
      </c>
      <c r="C232" s="128">
        <v>74394.532000000007</v>
      </c>
      <c r="D232" s="128">
        <v>44510.667000000001</v>
      </c>
      <c r="E232" s="128">
        <v>33083.256999999998</v>
      </c>
      <c r="F232" s="128">
        <v>23626.941999999999</v>
      </c>
      <c r="G232" s="128">
        <v>44275.593999999997</v>
      </c>
      <c r="H232" s="128">
        <v>20296.477999999999</v>
      </c>
      <c r="I232" s="128">
        <v>10034.625</v>
      </c>
      <c r="J232" s="128">
        <v>11185.225</v>
      </c>
      <c r="K232" s="128">
        <v>23892.075000000001</v>
      </c>
      <c r="L232" s="128">
        <v>63591.995999999999</v>
      </c>
      <c r="M232" s="128">
        <v>87722.982999999993</v>
      </c>
      <c r="N232" s="128">
        <v>105099.533</v>
      </c>
      <c r="O232" s="128">
        <v>99194.45</v>
      </c>
      <c r="P232" s="157"/>
      <c r="Q232" s="157"/>
    </row>
    <row r="233" spans="1:28">
      <c r="A233" s="235"/>
      <c r="B233" s="127" t="s">
        <v>79</v>
      </c>
      <c r="C233" s="128">
        <v>447.3</v>
      </c>
      <c r="D233" s="128">
        <v>258.75</v>
      </c>
      <c r="E233" s="128">
        <v>95.025000000000006</v>
      </c>
      <c r="F233" s="128">
        <v>300.3</v>
      </c>
      <c r="G233" s="128">
        <v>851.55</v>
      </c>
      <c r="H233" s="128">
        <v>1234.2249999999999</v>
      </c>
      <c r="I233" s="128">
        <v>817.65</v>
      </c>
      <c r="J233" s="128">
        <v>1436.25</v>
      </c>
      <c r="K233" s="128">
        <v>2461.75</v>
      </c>
      <c r="L233" s="128">
        <v>2296.4499999999998</v>
      </c>
      <c r="M233" s="128">
        <v>2136.5</v>
      </c>
      <c r="N233" s="128">
        <v>679</v>
      </c>
      <c r="O233" s="128">
        <v>1243.3</v>
      </c>
      <c r="P233" s="158"/>
      <c r="Q233" s="158"/>
    </row>
    <row r="234" spans="1:28">
      <c r="A234" s="235"/>
      <c r="B234" s="127" t="s">
        <v>76</v>
      </c>
      <c r="C234" s="128">
        <v>27594.224999999999</v>
      </c>
      <c r="D234" s="128">
        <v>16767.825000000001</v>
      </c>
      <c r="E234" s="128">
        <v>8009.9250000000002</v>
      </c>
      <c r="F234" s="128">
        <v>8058.9750000000004</v>
      </c>
      <c r="G234" s="128">
        <v>17383.25</v>
      </c>
      <c r="H234" s="128">
        <v>19175.525000000001</v>
      </c>
      <c r="I234" s="128">
        <v>10980.45</v>
      </c>
      <c r="J234" s="128">
        <v>9205.7000000000007</v>
      </c>
      <c r="K234" s="128">
        <v>28796.799999999999</v>
      </c>
      <c r="L234" s="128">
        <v>30971.184000000001</v>
      </c>
      <c r="M234" s="128">
        <v>23083.05</v>
      </c>
      <c r="N234" s="128">
        <v>24323</v>
      </c>
      <c r="O234" s="128">
        <v>15956.517</v>
      </c>
      <c r="P234" s="122"/>
      <c r="Q234" s="122"/>
    </row>
    <row r="235" spans="1:28">
      <c r="A235" s="234"/>
      <c r="B235" s="189" t="s">
        <v>0</v>
      </c>
      <c r="C235" s="191">
        <v>259126.52299999999</v>
      </c>
      <c r="D235" s="191">
        <v>187549.62</v>
      </c>
      <c r="E235" s="191">
        <v>133319.60399999999</v>
      </c>
      <c r="F235" s="191">
        <v>156362.80799999999</v>
      </c>
      <c r="G235" s="191">
        <v>232206.36499999999</v>
      </c>
      <c r="H235" s="191">
        <v>255756.17600000001</v>
      </c>
      <c r="I235" s="191">
        <v>173765.4</v>
      </c>
      <c r="J235" s="191">
        <v>210375.155</v>
      </c>
      <c r="K235" s="191">
        <v>361999.97499999998</v>
      </c>
      <c r="L235" s="191">
        <v>465357.5</v>
      </c>
      <c r="M235" s="191">
        <v>473304.163</v>
      </c>
      <c r="N235" s="191">
        <v>436539.891</v>
      </c>
      <c r="O235" s="191">
        <v>277421.08299999998</v>
      </c>
      <c r="P235" s="158">
        <f>O235/C235-1</f>
        <v>7.0600877857647903E-2</v>
      </c>
      <c r="Q235" s="158">
        <f>(O216+O235)/(C235+C216)-1</f>
        <v>0.16468720037763429</v>
      </c>
    </row>
    <row r="236" spans="1:28">
      <c r="C236" s="173"/>
      <c r="O236" s="173"/>
      <c r="P236" s="166"/>
      <c r="Q236" s="166"/>
      <c r="R236" s="166"/>
      <c r="S236" s="166"/>
      <c r="T236" s="166"/>
      <c r="U236" s="166"/>
      <c r="V236" s="166"/>
      <c r="W236" s="166"/>
      <c r="X236" s="166"/>
      <c r="Y236" s="166"/>
      <c r="Z236" s="166"/>
      <c r="AA236" s="166"/>
      <c r="AB236" s="166"/>
    </row>
    <row r="237" spans="1:28">
      <c r="O237" s="173"/>
      <c r="P237" s="166"/>
      <c r="Q237" s="166"/>
      <c r="R237" s="166"/>
      <c r="S237" s="166"/>
      <c r="T237" s="166"/>
      <c r="U237" s="166"/>
      <c r="V237" s="166"/>
      <c r="W237" s="166"/>
      <c r="X237" s="166"/>
      <c r="Y237" s="166"/>
      <c r="Z237" s="166"/>
      <c r="AA237" s="166"/>
      <c r="AB237" s="166"/>
    </row>
    <row r="238" spans="1:28">
      <c r="P238" s="166"/>
      <c r="Q238" s="166"/>
      <c r="R238" s="166"/>
      <c r="S238" s="166"/>
      <c r="T238" s="166"/>
      <c r="U238" s="166"/>
      <c r="V238" s="166"/>
      <c r="W238" s="166"/>
      <c r="X238" s="166"/>
      <c r="Y238" s="166"/>
      <c r="Z238" s="166"/>
      <c r="AA238" s="166"/>
      <c r="AB238" s="166"/>
    </row>
    <row r="239" spans="1:28">
      <c r="P239" s="166"/>
      <c r="Q239" s="166"/>
      <c r="R239" s="166"/>
      <c r="S239" s="166"/>
      <c r="T239" s="166"/>
      <c r="U239" s="166"/>
      <c r="V239" s="166"/>
      <c r="W239" s="166"/>
      <c r="X239" s="166"/>
      <c r="Y239" s="166"/>
      <c r="Z239" s="166"/>
      <c r="AA239" s="166"/>
      <c r="AB239" s="166"/>
    </row>
    <row r="240" spans="1:28">
      <c r="P240" s="166"/>
      <c r="Q240" s="166"/>
      <c r="R240" s="166"/>
      <c r="S240" s="166"/>
      <c r="T240" s="166"/>
      <c r="U240" s="166"/>
      <c r="V240" s="166"/>
      <c r="W240" s="166"/>
      <c r="X240" s="166"/>
      <c r="Y240" s="166"/>
      <c r="Z240" s="166"/>
      <c r="AA240" s="166"/>
      <c r="AB240" s="166"/>
    </row>
    <row r="241" spans="1:28">
      <c r="P241" s="166"/>
      <c r="Q241" s="166"/>
      <c r="R241" s="166"/>
      <c r="S241" s="166"/>
      <c r="T241" s="166"/>
      <c r="U241" s="166"/>
      <c r="V241" s="166"/>
      <c r="W241" s="166"/>
      <c r="X241" s="166"/>
      <c r="Y241" s="166"/>
      <c r="Z241" s="166"/>
      <c r="AA241" s="166"/>
      <c r="AB241" s="166"/>
    </row>
    <row r="242" spans="1:28">
      <c r="O242" s="173"/>
      <c r="P242" s="166"/>
      <c r="Q242" s="166"/>
      <c r="R242" s="166"/>
      <c r="S242" s="166"/>
      <c r="T242" s="166"/>
      <c r="U242" s="166"/>
      <c r="V242" s="166"/>
      <c r="W242" s="166"/>
      <c r="X242" s="166"/>
      <c r="Y242" s="166"/>
      <c r="Z242" s="166"/>
      <c r="AA242" s="166"/>
      <c r="AB242" s="166"/>
    </row>
    <row r="243" spans="1:28">
      <c r="O243" s="173"/>
      <c r="P243" s="166"/>
      <c r="Q243" s="166"/>
      <c r="R243" s="166"/>
      <c r="S243" s="166"/>
      <c r="T243" s="166"/>
      <c r="U243" s="166"/>
      <c r="V243" s="166"/>
      <c r="W243" s="166"/>
      <c r="X243" s="166"/>
      <c r="Y243" s="166"/>
      <c r="Z243" s="166"/>
      <c r="AA243" s="166"/>
      <c r="AB243" s="166"/>
    </row>
    <row r="244" spans="1:28">
      <c r="O244" s="173"/>
      <c r="P244" s="166"/>
      <c r="Q244" s="166"/>
      <c r="R244" s="166"/>
      <c r="S244" s="166"/>
      <c r="T244" s="166"/>
      <c r="U244" s="166"/>
      <c r="V244" s="166"/>
      <c r="W244" s="166"/>
      <c r="X244" s="166"/>
      <c r="Y244" s="166"/>
      <c r="Z244" s="166"/>
      <c r="AA244" s="166"/>
      <c r="AB244" s="166"/>
    </row>
    <row r="245" spans="1:28">
      <c r="P245" s="166"/>
      <c r="Q245" s="166"/>
      <c r="R245" s="166"/>
      <c r="S245" s="166"/>
      <c r="T245" s="166"/>
      <c r="U245" s="166"/>
      <c r="V245" s="166"/>
      <c r="W245" s="166"/>
      <c r="X245" s="166"/>
      <c r="Y245" s="166"/>
      <c r="Z245" s="166"/>
      <c r="AA245" s="166"/>
      <c r="AB245" s="166"/>
    </row>
    <row r="246" spans="1:28">
      <c r="P246" s="166"/>
      <c r="Q246" s="166"/>
      <c r="R246" s="166"/>
      <c r="S246" s="166"/>
      <c r="T246" s="166"/>
      <c r="U246" s="166"/>
      <c r="V246" s="166"/>
      <c r="W246" s="166"/>
      <c r="X246" s="166"/>
      <c r="Y246" s="166"/>
      <c r="Z246" s="166"/>
      <c r="AA246" s="166"/>
      <c r="AB246" s="166"/>
    </row>
    <row r="247" spans="1:28">
      <c r="O247" s="166"/>
      <c r="P247" s="166"/>
      <c r="Q247" s="166"/>
      <c r="R247" s="166"/>
      <c r="S247" s="166"/>
      <c r="T247" s="166"/>
      <c r="U247" s="166"/>
      <c r="V247" s="166"/>
      <c r="W247" s="166"/>
      <c r="X247" s="166"/>
      <c r="Y247" s="166"/>
      <c r="Z247" s="166"/>
      <c r="AA247" s="166"/>
      <c r="AB247" s="166"/>
    </row>
    <row r="248" spans="1:28">
      <c r="O248" s="166"/>
      <c r="P248" s="166"/>
      <c r="Q248" s="166"/>
      <c r="R248" s="166"/>
      <c r="S248" s="166"/>
      <c r="T248" s="166"/>
      <c r="U248" s="166"/>
      <c r="V248" s="166"/>
      <c r="W248" s="166"/>
      <c r="X248" s="166"/>
      <c r="Y248" s="166"/>
      <c r="Z248" s="166"/>
      <c r="AA248" s="166"/>
      <c r="AB248" s="166"/>
    </row>
    <row r="249" spans="1:28">
      <c r="A249" s="167"/>
      <c r="B249" s="166"/>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166"/>
      <c r="AB249" s="166"/>
    </row>
    <row r="250" spans="1:28">
      <c r="P250" s="166"/>
      <c r="Q250" s="166"/>
      <c r="R250" s="166"/>
      <c r="S250" s="166"/>
      <c r="T250" s="166"/>
      <c r="U250" s="166"/>
      <c r="V250" s="166"/>
      <c r="W250" s="166"/>
      <c r="X250" s="166"/>
      <c r="Y250" s="166"/>
      <c r="Z250" s="166"/>
      <c r="AA250" s="166"/>
      <c r="AB250" s="166"/>
    </row>
    <row r="251" spans="1:28">
      <c r="P251" s="166"/>
      <c r="Q251" s="166"/>
      <c r="R251" s="166"/>
      <c r="S251" s="166"/>
      <c r="T251" s="166"/>
      <c r="U251" s="166"/>
      <c r="V251" s="166"/>
      <c r="W251" s="166"/>
      <c r="X251" s="166"/>
      <c r="Y251" s="166"/>
      <c r="Z251" s="166"/>
      <c r="AA251" s="166"/>
      <c r="AB251" s="166"/>
    </row>
    <row r="252" spans="1:28">
      <c r="Q252" s="166"/>
      <c r="R252" s="166"/>
      <c r="S252" s="166"/>
      <c r="T252" s="166"/>
      <c r="U252" s="166"/>
      <c r="V252" s="166"/>
      <c r="W252" s="166"/>
      <c r="X252" s="166"/>
      <c r="Y252" s="166"/>
      <c r="Z252" s="166"/>
      <c r="AA252" s="166"/>
      <c r="AB252" s="166"/>
    </row>
    <row r="253" spans="1:28">
      <c r="Q253" s="157"/>
    </row>
    <row r="254" spans="1:28">
      <c r="Q254" s="157"/>
    </row>
    <row r="255" spans="1:28">
      <c r="Q255" s="157"/>
    </row>
    <row r="256" spans="1:28">
      <c r="Q256" s="157"/>
    </row>
    <row r="257" spans="1:17">
      <c r="A257" s="85" t="s">
        <v>175</v>
      </c>
      <c r="C257" s="169" t="str">
        <f>MID(C259,6,1)</f>
        <v>M</v>
      </c>
      <c r="D257" s="169" t="str">
        <f t="shared" ref="D257:O257" si="8">MID(D259,6,1)</f>
        <v>J</v>
      </c>
      <c r="E257" s="169" t="str">
        <f t="shared" si="8"/>
        <v>J</v>
      </c>
      <c r="F257" s="169" t="str">
        <f t="shared" si="8"/>
        <v>A</v>
      </c>
      <c r="G257" s="169" t="str">
        <f t="shared" si="8"/>
        <v>S</v>
      </c>
      <c r="H257" s="169" t="str">
        <f t="shared" si="8"/>
        <v>O</v>
      </c>
      <c r="I257" s="169" t="str">
        <f t="shared" si="8"/>
        <v>N</v>
      </c>
      <c r="J257" s="169" t="str">
        <f t="shared" si="8"/>
        <v>D</v>
      </c>
      <c r="K257" s="169" t="str">
        <f t="shared" si="8"/>
        <v>E</v>
      </c>
      <c r="L257" s="169" t="str">
        <f t="shared" si="8"/>
        <v>F</v>
      </c>
      <c r="M257" s="169" t="str">
        <f t="shared" si="8"/>
        <v>M</v>
      </c>
      <c r="N257" s="169" t="str">
        <f t="shared" si="8"/>
        <v>A</v>
      </c>
      <c r="O257" s="169" t="str">
        <f t="shared" si="8"/>
        <v>M</v>
      </c>
      <c r="Q257" s="157"/>
    </row>
    <row r="258" spans="1:17">
      <c r="A258" s="125"/>
      <c r="B258" s="125" t="s">
        <v>27</v>
      </c>
      <c r="C258" s="231" t="s">
        <v>172</v>
      </c>
      <c r="D258" s="232"/>
      <c r="E258" s="232"/>
      <c r="F258" s="232"/>
      <c r="G258" s="232"/>
      <c r="H258" s="232"/>
      <c r="I258" s="232"/>
      <c r="J258" s="232"/>
      <c r="K258" s="232"/>
      <c r="L258" s="232"/>
      <c r="M258" s="232"/>
      <c r="N258" s="232"/>
      <c r="O258" s="232"/>
      <c r="Q258" s="157"/>
    </row>
    <row r="259" spans="1:17">
      <c r="A259" s="125"/>
      <c r="B259" s="125" t="s">
        <v>87</v>
      </c>
      <c r="C259" s="147" t="s">
        <v>211</v>
      </c>
      <c r="D259" s="147" t="s">
        <v>213</v>
      </c>
      <c r="E259" s="147" t="s">
        <v>215</v>
      </c>
      <c r="F259" s="147" t="s">
        <v>217</v>
      </c>
      <c r="G259" s="147" t="s">
        <v>219</v>
      </c>
      <c r="H259" s="147" t="s">
        <v>223</v>
      </c>
      <c r="I259" s="147" t="s">
        <v>226</v>
      </c>
      <c r="J259" s="147" t="s">
        <v>228</v>
      </c>
      <c r="K259" s="147" t="s">
        <v>232</v>
      </c>
      <c r="L259" s="147" t="s">
        <v>235</v>
      </c>
      <c r="M259" s="147" t="s">
        <v>238</v>
      </c>
      <c r="N259" s="147" t="s">
        <v>248</v>
      </c>
      <c r="O259" s="147" t="s">
        <v>283</v>
      </c>
      <c r="Q259" s="157"/>
    </row>
    <row r="260" spans="1:17">
      <c r="A260" s="125" t="s">
        <v>120</v>
      </c>
      <c r="B260" s="125" t="s">
        <v>121</v>
      </c>
      <c r="C260" s="145"/>
      <c r="D260" s="145"/>
      <c r="E260" s="145"/>
      <c r="F260" s="145"/>
      <c r="G260" s="145"/>
      <c r="H260" s="145"/>
      <c r="I260" s="145"/>
      <c r="J260" s="145"/>
      <c r="K260" s="145"/>
      <c r="L260" s="145"/>
      <c r="M260" s="145"/>
      <c r="N260" s="145"/>
      <c r="O260" s="145"/>
      <c r="Q260" s="157"/>
    </row>
    <row r="261" spans="1:17">
      <c r="A261" s="233" t="s">
        <v>71</v>
      </c>
      <c r="B261" s="127" t="s">
        <v>82</v>
      </c>
      <c r="C261" s="128">
        <v>0</v>
      </c>
      <c r="D261" s="128">
        <v>0</v>
      </c>
      <c r="E261" s="128">
        <v>0</v>
      </c>
      <c r="F261" s="128">
        <v>0</v>
      </c>
      <c r="G261" s="128">
        <v>0</v>
      </c>
      <c r="H261" s="128">
        <v>0</v>
      </c>
      <c r="I261" s="128">
        <v>0</v>
      </c>
      <c r="J261" s="128">
        <v>0</v>
      </c>
      <c r="K261" s="128">
        <v>0</v>
      </c>
      <c r="L261" s="128">
        <v>0</v>
      </c>
      <c r="M261" s="128">
        <v>0</v>
      </c>
      <c r="N261" s="128">
        <v>0</v>
      </c>
      <c r="O261" s="128">
        <v>0</v>
      </c>
      <c r="Q261" s="157"/>
    </row>
    <row r="262" spans="1:17">
      <c r="A262" s="235"/>
      <c r="B262" s="127" t="s">
        <v>73</v>
      </c>
      <c r="C262" s="128">
        <v>0</v>
      </c>
      <c r="D262" s="128">
        <v>8.25</v>
      </c>
      <c r="E262" s="128">
        <v>0</v>
      </c>
      <c r="F262" s="128">
        <v>0</v>
      </c>
      <c r="G262" s="128">
        <v>127.5</v>
      </c>
      <c r="H262" s="128">
        <v>362</v>
      </c>
      <c r="I262" s="128">
        <v>1633</v>
      </c>
      <c r="J262" s="128">
        <v>2088.5</v>
      </c>
      <c r="K262" s="128">
        <v>693</v>
      </c>
      <c r="L262" s="128">
        <v>260</v>
      </c>
      <c r="M262" s="128">
        <v>897.77499999999998</v>
      </c>
      <c r="N262" s="128">
        <v>298.75</v>
      </c>
      <c r="O262" s="128">
        <v>0</v>
      </c>
      <c r="Q262" s="157"/>
    </row>
    <row r="263" spans="1:17">
      <c r="A263" s="235"/>
      <c r="B263" s="127" t="s">
        <v>23</v>
      </c>
      <c r="C263" s="128">
        <v>32926.224999999999</v>
      </c>
      <c r="D263" s="128">
        <v>64006.1</v>
      </c>
      <c r="E263" s="128">
        <v>163340.42499999999</v>
      </c>
      <c r="F263" s="128">
        <v>165694.04999999999</v>
      </c>
      <c r="G263" s="128">
        <v>125756.45</v>
      </c>
      <c r="H263" s="128">
        <v>89216.125</v>
      </c>
      <c r="I263" s="128">
        <v>197862.55</v>
      </c>
      <c r="J263" s="128">
        <v>213803.25</v>
      </c>
      <c r="K263" s="128">
        <v>129121.52499999999</v>
      </c>
      <c r="L263" s="128">
        <v>119835.95</v>
      </c>
      <c r="M263" s="128">
        <v>65766.524999999994</v>
      </c>
      <c r="N263" s="128">
        <v>18888.825000000001</v>
      </c>
      <c r="O263" s="128">
        <v>20152.424999999999</v>
      </c>
      <c r="P263" s="157"/>
      <c r="Q263" s="157"/>
    </row>
    <row r="264" spans="1:17">
      <c r="A264" s="235"/>
      <c r="B264" s="127" t="s">
        <v>80</v>
      </c>
      <c r="C264" s="128">
        <v>8.25</v>
      </c>
      <c r="D264" s="128">
        <v>103.2</v>
      </c>
      <c r="E264" s="128">
        <v>13.175000000000001</v>
      </c>
      <c r="F264" s="128">
        <v>45.65</v>
      </c>
      <c r="G264" s="128">
        <v>14.25</v>
      </c>
      <c r="H264" s="128">
        <v>24.5</v>
      </c>
      <c r="I264" s="128">
        <v>6</v>
      </c>
      <c r="J264" s="128">
        <v>2.75</v>
      </c>
      <c r="K264" s="128">
        <v>0</v>
      </c>
      <c r="L264" s="128">
        <v>0</v>
      </c>
      <c r="M264" s="128">
        <v>99.275000000000006</v>
      </c>
      <c r="N264" s="128">
        <v>7.25</v>
      </c>
      <c r="O264" s="128">
        <v>35.174999999999997</v>
      </c>
      <c r="P264" s="157"/>
      <c r="Q264" s="157"/>
    </row>
    <row r="265" spans="1:17">
      <c r="A265" s="235"/>
      <c r="B265" s="127" t="s">
        <v>74</v>
      </c>
      <c r="C265" s="128">
        <v>9859.75</v>
      </c>
      <c r="D265" s="128">
        <v>17882.150000000001</v>
      </c>
      <c r="E265" s="128">
        <v>15875.5</v>
      </c>
      <c r="F265" s="128">
        <v>8039.05</v>
      </c>
      <c r="G265" s="128">
        <v>7439.25</v>
      </c>
      <c r="H265" s="128">
        <v>12368</v>
      </c>
      <c r="I265" s="128">
        <v>6237.75</v>
      </c>
      <c r="J265" s="128">
        <v>7032</v>
      </c>
      <c r="K265" s="128">
        <v>12204.95</v>
      </c>
      <c r="L265" s="128">
        <v>6649.75</v>
      </c>
      <c r="M265" s="128">
        <v>13922</v>
      </c>
      <c r="N265" s="128">
        <v>7157.5749999999998</v>
      </c>
      <c r="O265" s="128">
        <v>13771.375</v>
      </c>
      <c r="P265" s="157"/>
      <c r="Q265" s="157"/>
    </row>
    <row r="266" spans="1:17">
      <c r="A266" s="235"/>
      <c r="B266" s="127" t="s">
        <v>83</v>
      </c>
      <c r="C266" s="128">
        <v>0</v>
      </c>
      <c r="D266" s="128">
        <v>0</v>
      </c>
      <c r="E266" s="128">
        <v>0</v>
      </c>
      <c r="F266" s="128">
        <v>0</v>
      </c>
      <c r="G266" s="128">
        <v>0</v>
      </c>
      <c r="H266" s="128">
        <v>0</v>
      </c>
      <c r="I266" s="128">
        <v>0</v>
      </c>
      <c r="J266" s="128">
        <v>0</v>
      </c>
      <c r="K266" s="128">
        <v>0</v>
      </c>
      <c r="L266" s="128">
        <v>0</v>
      </c>
      <c r="M266" s="128">
        <v>0</v>
      </c>
      <c r="N266" s="128">
        <v>0</v>
      </c>
      <c r="O266" s="128">
        <v>0</v>
      </c>
      <c r="P266" s="158"/>
      <c r="Q266" s="157"/>
    </row>
    <row r="267" spans="1:17">
      <c r="A267" s="235"/>
      <c r="B267" s="127" t="s">
        <v>77</v>
      </c>
      <c r="C267" s="128">
        <v>13277.424999999999</v>
      </c>
      <c r="D267" s="128">
        <v>17743.05</v>
      </c>
      <c r="E267" s="128">
        <v>20474.400000000001</v>
      </c>
      <c r="F267" s="128">
        <v>12857.125</v>
      </c>
      <c r="G267" s="128">
        <v>10297.075000000001</v>
      </c>
      <c r="H267" s="128">
        <v>17407.400000000001</v>
      </c>
      <c r="I267" s="128">
        <v>18914.650000000001</v>
      </c>
      <c r="J267" s="128">
        <v>19104.8</v>
      </c>
      <c r="K267" s="128">
        <v>19423.2</v>
      </c>
      <c r="L267" s="128">
        <v>12835.85</v>
      </c>
      <c r="M267" s="128">
        <v>17127.724999999999</v>
      </c>
      <c r="N267" s="128">
        <v>14921.8</v>
      </c>
      <c r="O267" s="128">
        <v>16516.95</v>
      </c>
      <c r="P267" s="157"/>
      <c r="Q267" s="157"/>
    </row>
    <row r="268" spans="1:17">
      <c r="A268" s="235"/>
      <c r="B268" s="127" t="s">
        <v>84</v>
      </c>
      <c r="C268" s="128">
        <v>0</v>
      </c>
      <c r="D268" s="128">
        <v>0</v>
      </c>
      <c r="E268" s="128">
        <v>0</v>
      </c>
      <c r="F268" s="128">
        <v>0</v>
      </c>
      <c r="G268" s="128">
        <v>0</v>
      </c>
      <c r="H268" s="128">
        <v>0</v>
      </c>
      <c r="I268" s="128">
        <v>0</v>
      </c>
      <c r="J268" s="128">
        <v>0</v>
      </c>
      <c r="K268" s="128">
        <v>0</v>
      </c>
      <c r="L268" s="128">
        <v>0</v>
      </c>
      <c r="M268" s="128">
        <v>0</v>
      </c>
      <c r="N268" s="128">
        <v>0</v>
      </c>
      <c r="O268" s="128">
        <v>0</v>
      </c>
      <c r="P268" s="157"/>
      <c r="Q268" s="157"/>
    </row>
    <row r="269" spans="1:17">
      <c r="A269" s="235"/>
      <c r="B269" s="127" t="s">
        <v>210</v>
      </c>
      <c r="C269" s="128">
        <v>0</v>
      </c>
      <c r="D269" s="128">
        <v>0</v>
      </c>
      <c r="E269" s="128">
        <v>0</v>
      </c>
      <c r="F269" s="128">
        <v>0</v>
      </c>
      <c r="G269" s="128">
        <v>0</v>
      </c>
      <c r="H269" s="128">
        <v>0</v>
      </c>
      <c r="I269" s="128">
        <v>0</v>
      </c>
      <c r="J269" s="128">
        <v>0</v>
      </c>
      <c r="K269" s="128">
        <v>0</v>
      </c>
      <c r="L269" s="128">
        <v>0</v>
      </c>
      <c r="M269" s="128">
        <v>0</v>
      </c>
      <c r="N269" s="128">
        <v>0</v>
      </c>
      <c r="O269" s="128">
        <v>0</v>
      </c>
      <c r="P269" s="157"/>
      <c r="Q269" s="157"/>
    </row>
    <row r="270" spans="1:17">
      <c r="A270" s="235"/>
      <c r="B270" s="127" t="s">
        <v>19</v>
      </c>
      <c r="C270" s="128">
        <v>27349.875</v>
      </c>
      <c r="D270" s="128">
        <v>34456.25</v>
      </c>
      <c r="E270" s="128">
        <v>28817.424999999999</v>
      </c>
      <c r="F270" s="128">
        <v>18607.349999999999</v>
      </c>
      <c r="G270" s="128">
        <v>15957.25</v>
      </c>
      <c r="H270" s="128">
        <v>25102.724999999999</v>
      </c>
      <c r="I270" s="128">
        <v>20039.8</v>
      </c>
      <c r="J270" s="128">
        <v>26686.775000000001</v>
      </c>
      <c r="K270" s="128">
        <v>30557.85</v>
      </c>
      <c r="L270" s="128">
        <v>23615.575000000001</v>
      </c>
      <c r="M270" s="128">
        <v>26903.4</v>
      </c>
      <c r="N270" s="128">
        <v>24686.325000000001</v>
      </c>
      <c r="O270" s="128">
        <v>20361.7</v>
      </c>
      <c r="P270" s="157"/>
      <c r="Q270" s="157"/>
    </row>
    <row r="271" spans="1:17">
      <c r="A271" s="235"/>
      <c r="B271" s="127" t="s">
        <v>171</v>
      </c>
      <c r="C271" s="128">
        <v>0</v>
      </c>
      <c r="D271" s="128">
        <v>0</v>
      </c>
      <c r="E271" s="128">
        <v>0</v>
      </c>
      <c r="F271" s="128">
        <v>0</v>
      </c>
      <c r="G271" s="128">
        <v>0</v>
      </c>
      <c r="H271" s="128">
        <v>0</v>
      </c>
      <c r="I271" s="128">
        <v>0</v>
      </c>
      <c r="J271" s="128">
        <v>0</v>
      </c>
      <c r="K271" s="128">
        <v>0</v>
      </c>
      <c r="L271" s="128">
        <v>0</v>
      </c>
      <c r="M271" s="128">
        <v>0</v>
      </c>
      <c r="N271" s="128">
        <v>0</v>
      </c>
      <c r="O271" s="128">
        <v>0</v>
      </c>
      <c r="P271" s="157"/>
      <c r="Q271" s="157"/>
    </row>
    <row r="272" spans="1:17">
      <c r="A272" s="235"/>
      <c r="B272" s="127" t="s">
        <v>85</v>
      </c>
      <c r="C272" s="128">
        <v>0</v>
      </c>
      <c r="D272" s="128">
        <v>0</v>
      </c>
      <c r="E272" s="128">
        <v>0</v>
      </c>
      <c r="F272" s="128">
        <v>0</v>
      </c>
      <c r="G272" s="128">
        <v>0</v>
      </c>
      <c r="H272" s="128">
        <v>0</v>
      </c>
      <c r="I272" s="128">
        <v>0</v>
      </c>
      <c r="J272" s="128">
        <v>0</v>
      </c>
      <c r="K272" s="128">
        <v>0</v>
      </c>
      <c r="L272" s="128">
        <v>0</v>
      </c>
      <c r="M272" s="128">
        <v>0</v>
      </c>
      <c r="N272" s="128">
        <v>0</v>
      </c>
      <c r="O272" s="128">
        <v>0</v>
      </c>
      <c r="P272" s="157"/>
      <c r="Q272" s="157"/>
    </row>
    <row r="273" spans="1:18">
      <c r="A273" s="235"/>
      <c r="B273" s="127" t="s">
        <v>72</v>
      </c>
      <c r="C273" s="128">
        <v>201.3</v>
      </c>
      <c r="D273" s="128">
        <v>1.325</v>
      </c>
      <c r="E273" s="128">
        <v>238.82499999999999</v>
      </c>
      <c r="F273" s="128">
        <v>342</v>
      </c>
      <c r="G273" s="128">
        <v>0</v>
      </c>
      <c r="H273" s="128">
        <v>0</v>
      </c>
      <c r="I273" s="128">
        <v>119.52500000000001</v>
      </c>
      <c r="J273" s="128">
        <v>15.75</v>
      </c>
      <c r="K273" s="128">
        <v>369.95</v>
      </c>
      <c r="L273" s="128">
        <v>0</v>
      </c>
      <c r="M273" s="128">
        <v>384.25</v>
      </c>
      <c r="N273" s="128">
        <v>324.5</v>
      </c>
      <c r="O273" s="128">
        <v>1562.875</v>
      </c>
      <c r="P273" s="157"/>
      <c r="Q273" s="157"/>
    </row>
    <row r="274" spans="1:18">
      <c r="A274" s="235"/>
      <c r="B274" s="127" t="s">
        <v>81</v>
      </c>
      <c r="C274" s="128">
        <v>9</v>
      </c>
      <c r="D274" s="128">
        <v>6</v>
      </c>
      <c r="E274" s="128">
        <v>13</v>
      </c>
      <c r="F274" s="128">
        <v>0</v>
      </c>
      <c r="G274" s="128">
        <v>2</v>
      </c>
      <c r="H274" s="128">
        <v>10</v>
      </c>
      <c r="I274" s="128">
        <v>0</v>
      </c>
      <c r="J274" s="128">
        <v>0</v>
      </c>
      <c r="K274" s="128">
        <v>0</v>
      </c>
      <c r="L274" s="128">
        <v>28</v>
      </c>
      <c r="M274" s="128">
        <v>266.25</v>
      </c>
      <c r="N274" s="128">
        <v>44.25</v>
      </c>
      <c r="O274" s="128">
        <v>17.75</v>
      </c>
      <c r="P274" s="157"/>
      <c r="Q274" s="157"/>
    </row>
    <row r="275" spans="1:18">
      <c r="A275" s="235"/>
      <c r="B275" s="127" t="s">
        <v>86</v>
      </c>
      <c r="C275" s="128">
        <v>0</v>
      </c>
      <c r="D275" s="128">
        <v>0</v>
      </c>
      <c r="E275" s="128">
        <v>0</v>
      </c>
      <c r="F275" s="128">
        <v>0</v>
      </c>
      <c r="G275" s="128">
        <v>0</v>
      </c>
      <c r="H275" s="128">
        <v>0</v>
      </c>
      <c r="I275" s="128">
        <v>0</v>
      </c>
      <c r="J275" s="128">
        <v>0</v>
      </c>
      <c r="K275" s="128">
        <v>0</v>
      </c>
      <c r="L275" s="128">
        <v>0</v>
      </c>
      <c r="M275" s="128">
        <v>0</v>
      </c>
      <c r="N275" s="128">
        <v>0</v>
      </c>
      <c r="O275" s="128">
        <v>0</v>
      </c>
      <c r="P275" s="157"/>
      <c r="Q275" s="157"/>
    </row>
    <row r="276" spans="1:18">
      <c r="A276" s="235"/>
      <c r="B276" s="127" t="s">
        <v>78</v>
      </c>
      <c r="C276" s="128">
        <v>2653.85</v>
      </c>
      <c r="D276" s="128">
        <v>4092.125</v>
      </c>
      <c r="E276" s="128">
        <v>7436.6</v>
      </c>
      <c r="F276" s="128">
        <v>5419.0249999999996</v>
      </c>
      <c r="G276" s="128">
        <v>3986.1750000000002</v>
      </c>
      <c r="H276" s="128">
        <v>5834.9250000000002</v>
      </c>
      <c r="I276" s="128">
        <v>8104.85</v>
      </c>
      <c r="J276" s="128">
        <v>5803.45</v>
      </c>
      <c r="K276" s="128">
        <v>4828.8</v>
      </c>
      <c r="L276" s="128">
        <v>5984.15</v>
      </c>
      <c r="M276" s="128">
        <v>6692.5249999999996</v>
      </c>
      <c r="N276" s="128">
        <v>4274.6750000000002</v>
      </c>
      <c r="O276" s="128">
        <v>6754.4</v>
      </c>
      <c r="P276" s="157"/>
      <c r="Q276" s="157"/>
    </row>
    <row r="277" spans="1:18">
      <c r="A277" s="235"/>
      <c r="B277" s="127" t="s">
        <v>79</v>
      </c>
      <c r="C277" s="128">
        <v>36.25</v>
      </c>
      <c r="D277" s="128">
        <v>1</v>
      </c>
      <c r="E277" s="128">
        <v>0</v>
      </c>
      <c r="F277" s="128">
        <v>129</v>
      </c>
      <c r="G277" s="128">
        <v>100.75</v>
      </c>
      <c r="H277" s="128">
        <v>79.5</v>
      </c>
      <c r="I277" s="128">
        <v>169</v>
      </c>
      <c r="J277" s="128">
        <v>76.75</v>
      </c>
      <c r="K277" s="128">
        <v>103.5</v>
      </c>
      <c r="L277" s="128">
        <v>86</v>
      </c>
      <c r="M277" s="128">
        <v>265.75</v>
      </c>
      <c r="N277" s="128">
        <v>984</v>
      </c>
      <c r="O277" s="128">
        <v>815.25</v>
      </c>
      <c r="P277" s="157"/>
      <c r="Q277" s="157"/>
    </row>
    <row r="278" spans="1:18">
      <c r="A278" s="235"/>
      <c r="B278" s="127" t="s">
        <v>76</v>
      </c>
      <c r="C278" s="128">
        <v>40992.875</v>
      </c>
      <c r="D278" s="128">
        <v>19780.849999999999</v>
      </c>
      <c r="E278" s="128">
        <v>24586.275000000001</v>
      </c>
      <c r="F278" s="128">
        <v>12669</v>
      </c>
      <c r="G278" s="128">
        <v>25155.45</v>
      </c>
      <c r="H278" s="128">
        <v>19543.974999999999</v>
      </c>
      <c r="I278" s="128">
        <v>11408.825000000001</v>
      </c>
      <c r="J278" s="128">
        <v>14501.075000000001</v>
      </c>
      <c r="K278" s="128">
        <v>15439.674999999999</v>
      </c>
      <c r="L278" s="128">
        <v>8457.2749999999996</v>
      </c>
      <c r="M278" s="128">
        <v>13758.475</v>
      </c>
      <c r="N278" s="128">
        <v>13137.825000000001</v>
      </c>
      <c r="O278" s="128">
        <v>16514.55</v>
      </c>
      <c r="P278" s="158"/>
      <c r="Q278" s="158"/>
    </row>
    <row r="279" spans="1:18">
      <c r="A279" s="234"/>
      <c r="B279" s="189" t="s">
        <v>0</v>
      </c>
      <c r="C279" s="191">
        <v>127314.8</v>
      </c>
      <c r="D279" s="191">
        <v>158080.29999999999</v>
      </c>
      <c r="E279" s="191">
        <v>260795.625</v>
      </c>
      <c r="F279" s="191">
        <v>223802.25</v>
      </c>
      <c r="G279" s="191">
        <v>188836.15</v>
      </c>
      <c r="H279" s="191">
        <v>169949.15</v>
      </c>
      <c r="I279" s="191">
        <v>264495.95</v>
      </c>
      <c r="J279" s="191">
        <v>289115.09999999998</v>
      </c>
      <c r="K279" s="191">
        <v>212742.45</v>
      </c>
      <c r="L279" s="191">
        <v>177752.55</v>
      </c>
      <c r="M279" s="191">
        <v>146083.95000000001</v>
      </c>
      <c r="N279" s="191">
        <v>84725.774999999994</v>
      </c>
      <c r="O279" s="191">
        <v>96502.45</v>
      </c>
      <c r="P279" s="158">
        <f>O279/C279-1</f>
        <v>-0.24201703179834555</v>
      </c>
      <c r="Q279" s="158"/>
    </row>
    <row r="280" spans="1:18">
      <c r="A280" s="237" t="s">
        <v>75</v>
      </c>
      <c r="B280" s="127" t="s">
        <v>82</v>
      </c>
      <c r="C280" s="128">
        <v>0</v>
      </c>
      <c r="D280" s="128">
        <v>0</v>
      </c>
      <c r="E280" s="128">
        <v>0</v>
      </c>
      <c r="F280" s="128">
        <v>0</v>
      </c>
      <c r="G280" s="128">
        <v>0</v>
      </c>
      <c r="H280" s="128">
        <v>0</v>
      </c>
      <c r="I280" s="128">
        <v>0</v>
      </c>
      <c r="J280" s="128">
        <v>0</v>
      </c>
      <c r="K280" s="128">
        <v>0</v>
      </c>
      <c r="L280" s="128">
        <v>0</v>
      </c>
      <c r="M280" s="128">
        <v>0</v>
      </c>
      <c r="N280" s="128">
        <v>0</v>
      </c>
      <c r="O280" s="128">
        <v>0</v>
      </c>
    </row>
    <row r="281" spans="1:18">
      <c r="A281" s="235"/>
      <c r="B281" s="127" t="s">
        <v>73</v>
      </c>
      <c r="C281" s="128">
        <v>0</v>
      </c>
      <c r="D281" s="128">
        <v>41.5</v>
      </c>
      <c r="E281" s="128">
        <v>412.6</v>
      </c>
      <c r="F281" s="128">
        <v>381</v>
      </c>
      <c r="G281" s="128">
        <v>406</v>
      </c>
      <c r="H281" s="128">
        <v>833.8</v>
      </c>
      <c r="I281" s="128">
        <v>128.25</v>
      </c>
      <c r="J281" s="128">
        <v>200.75</v>
      </c>
      <c r="K281" s="128">
        <v>810</v>
      </c>
      <c r="L281" s="128">
        <v>132</v>
      </c>
      <c r="M281" s="128">
        <v>28.75</v>
      </c>
      <c r="N281" s="128">
        <v>155.75</v>
      </c>
      <c r="O281" s="128">
        <v>0</v>
      </c>
    </row>
    <row r="282" spans="1:18">
      <c r="A282" s="235"/>
      <c r="B282" s="127" t="s">
        <v>23</v>
      </c>
      <c r="C282" s="128">
        <v>6791.0749999999998</v>
      </c>
      <c r="D282" s="128">
        <v>13289.825000000001</v>
      </c>
      <c r="E282" s="128">
        <v>16226.75</v>
      </c>
      <c r="F282" s="128">
        <v>19143.775000000001</v>
      </c>
      <c r="G282" s="128">
        <v>23707.275000000001</v>
      </c>
      <c r="H282" s="128">
        <v>20838.625</v>
      </c>
      <c r="I282" s="128">
        <v>20258.349999999999</v>
      </c>
      <c r="J282" s="128">
        <v>23259.55</v>
      </c>
      <c r="K282" s="128">
        <v>40918.074999999997</v>
      </c>
      <c r="L282" s="128">
        <v>55261.525000000001</v>
      </c>
      <c r="M282" s="128">
        <v>35693.599999999999</v>
      </c>
      <c r="N282" s="128">
        <v>15588.025</v>
      </c>
      <c r="O282" s="128">
        <v>9638.65</v>
      </c>
      <c r="P282" s="166"/>
      <c r="Q282" s="166"/>
      <c r="R282" s="166"/>
    </row>
    <row r="283" spans="1:18">
      <c r="A283" s="235"/>
      <c r="B283" s="127" t="s">
        <v>80</v>
      </c>
      <c r="C283" s="128">
        <v>60.15</v>
      </c>
      <c r="D283" s="128">
        <v>142.65</v>
      </c>
      <c r="E283" s="128">
        <v>350.52499999999998</v>
      </c>
      <c r="F283" s="128">
        <v>574.29999999999995</v>
      </c>
      <c r="G283" s="128">
        <v>336.55</v>
      </c>
      <c r="H283" s="128">
        <v>485.85</v>
      </c>
      <c r="I283" s="128">
        <v>367.02499999999998</v>
      </c>
      <c r="J283" s="128">
        <v>136.5</v>
      </c>
      <c r="K283" s="128">
        <v>765.1</v>
      </c>
      <c r="L283" s="128">
        <v>17</v>
      </c>
      <c r="M283" s="128">
        <v>461.27499999999998</v>
      </c>
      <c r="N283" s="128">
        <v>424</v>
      </c>
      <c r="O283" s="128">
        <v>44.6</v>
      </c>
      <c r="P283" s="166"/>
      <c r="Q283" s="166"/>
      <c r="R283" s="166"/>
    </row>
    <row r="284" spans="1:18">
      <c r="A284" s="235"/>
      <c r="B284" s="127" t="s">
        <v>74</v>
      </c>
      <c r="C284" s="128">
        <v>45527.15</v>
      </c>
      <c r="D284" s="128">
        <v>45937.275000000001</v>
      </c>
      <c r="E284" s="128">
        <v>43872.800000000003</v>
      </c>
      <c r="F284" s="128">
        <v>85489</v>
      </c>
      <c r="G284" s="128">
        <v>57096.4</v>
      </c>
      <c r="H284" s="128">
        <v>57520.25</v>
      </c>
      <c r="I284" s="128">
        <v>40508.199999999997</v>
      </c>
      <c r="J284" s="128">
        <v>40637.15</v>
      </c>
      <c r="K284" s="128">
        <v>50389.4</v>
      </c>
      <c r="L284" s="128">
        <v>53214.7</v>
      </c>
      <c r="M284" s="128">
        <v>66433.399999999994</v>
      </c>
      <c r="N284" s="128">
        <v>61311.05</v>
      </c>
      <c r="O284" s="128">
        <v>30223.3</v>
      </c>
      <c r="P284" s="166"/>
      <c r="Q284" s="166"/>
      <c r="R284" s="166"/>
    </row>
    <row r="285" spans="1:18">
      <c r="A285" s="235"/>
      <c r="B285" s="127" t="s">
        <v>83</v>
      </c>
      <c r="C285" s="128">
        <v>0</v>
      </c>
      <c r="D285" s="128">
        <v>0</v>
      </c>
      <c r="E285" s="128">
        <v>0</v>
      </c>
      <c r="F285" s="128">
        <v>0</v>
      </c>
      <c r="G285" s="128">
        <v>0</v>
      </c>
      <c r="H285" s="128">
        <v>0</v>
      </c>
      <c r="I285" s="128">
        <v>0</v>
      </c>
      <c r="J285" s="128">
        <v>0</v>
      </c>
      <c r="K285" s="128">
        <v>0</v>
      </c>
      <c r="L285" s="128">
        <v>0</v>
      </c>
      <c r="M285" s="128">
        <v>0</v>
      </c>
      <c r="N285" s="128">
        <v>0</v>
      </c>
      <c r="O285" s="128">
        <v>0</v>
      </c>
      <c r="P285" s="166"/>
      <c r="Q285" s="166"/>
      <c r="R285" s="166"/>
    </row>
    <row r="286" spans="1:18">
      <c r="A286" s="235"/>
      <c r="B286" s="127" t="s">
        <v>77</v>
      </c>
      <c r="C286" s="128">
        <v>120354.125</v>
      </c>
      <c r="D286" s="128">
        <v>92592.25</v>
      </c>
      <c r="E286" s="128">
        <v>91542.55</v>
      </c>
      <c r="F286" s="128">
        <v>130294.325</v>
      </c>
      <c r="G286" s="128">
        <v>162821.57500000001</v>
      </c>
      <c r="H286" s="128">
        <v>154544.22500000001</v>
      </c>
      <c r="I286" s="128">
        <v>104938.175</v>
      </c>
      <c r="J286" s="128">
        <v>76241.225000000006</v>
      </c>
      <c r="K286" s="128">
        <v>101824.35</v>
      </c>
      <c r="L286" s="128">
        <v>121282.75</v>
      </c>
      <c r="M286" s="128">
        <v>183823.9</v>
      </c>
      <c r="N286" s="128">
        <v>144046.39999999999</v>
      </c>
      <c r="O286" s="128">
        <v>40362.474999999999</v>
      </c>
      <c r="P286" s="166"/>
      <c r="Q286" s="166"/>
      <c r="R286" s="166"/>
    </row>
    <row r="287" spans="1:18">
      <c r="A287" s="235"/>
      <c r="B287" s="127" t="s">
        <v>84</v>
      </c>
      <c r="C287" s="128">
        <v>0</v>
      </c>
      <c r="D287" s="128">
        <v>0</v>
      </c>
      <c r="E287" s="128">
        <v>0</v>
      </c>
      <c r="F287" s="128">
        <v>0</v>
      </c>
      <c r="G287" s="128">
        <v>0</v>
      </c>
      <c r="H287" s="128">
        <v>0</v>
      </c>
      <c r="I287" s="128">
        <v>0</v>
      </c>
      <c r="J287" s="128">
        <v>0</v>
      </c>
      <c r="K287" s="128">
        <v>0</v>
      </c>
      <c r="L287" s="128">
        <v>0</v>
      </c>
      <c r="M287" s="128">
        <v>0</v>
      </c>
      <c r="N287" s="128">
        <v>0</v>
      </c>
      <c r="O287" s="128">
        <v>0</v>
      </c>
      <c r="P287" s="166"/>
      <c r="Q287" s="166"/>
      <c r="R287" s="166"/>
    </row>
    <row r="288" spans="1:18">
      <c r="A288" s="235"/>
      <c r="B288" s="127" t="s">
        <v>210</v>
      </c>
      <c r="C288" s="128">
        <v>0</v>
      </c>
      <c r="D288" s="128">
        <v>0</v>
      </c>
      <c r="E288" s="128">
        <v>0</v>
      </c>
      <c r="F288" s="128">
        <v>0</v>
      </c>
      <c r="G288" s="128">
        <v>0</v>
      </c>
      <c r="H288" s="128">
        <v>0</v>
      </c>
      <c r="I288" s="128">
        <v>0</v>
      </c>
      <c r="J288" s="128">
        <v>0</v>
      </c>
      <c r="K288" s="128">
        <v>0</v>
      </c>
      <c r="L288" s="128">
        <v>0</v>
      </c>
      <c r="M288" s="128">
        <v>0</v>
      </c>
      <c r="N288" s="128">
        <v>27</v>
      </c>
      <c r="O288" s="128">
        <v>41.875</v>
      </c>
      <c r="P288" s="166"/>
      <c r="Q288" s="166"/>
      <c r="R288" s="166"/>
    </row>
    <row r="289" spans="1:18">
      <c r="A289" s="235"/>
      <c r="B289" s="127" t="s">
        <v>19</v>
      </c>
      <c r="C289" s="128">
        <v>22738.424999999999</v>
      </c>
      <c r="D289" s="128">
        <v>25203.9</v>
      </c>
      <c r="E289" s="128">
        <v>22661.65</v>
      </c>
      <c r="F289" s="128">
        <v>24531.674999999999</v>
      </c>
      <c r="G289" s="128">
        <v>29122.674999999999</v>
      </c>
      <c r="H289" s="128">
        <v>48937.175000000003</v>
      </c>
      <c r="I289" s="128">
        <v>28066.5</v>
      </c>
      <c r="J289" s="128">
        <v>55051.875</v>
      </c>
      <c r="K289" s="128">
        <v>49899.25</v>
      </c>
      <c r="L289" s="128">
        <v>69284.95</v>
      </c>
      <c r="M289" s="128">
        <v>84328.975000000006</v>
      </c>
      <c r="N289" s="128">
        <v>67307.55</v>
      </c>
      <c r="O289" s="128">
        <v>28568.724999999999</v>
      </c>
      <c r="P289" s="166"/>
      <c r="Q289" s="166"/>
      <c r="R289" s="166"/>
    </row>
    <row r="290" spans="1:18">
      <c r="A290" s="235"/>
      <c r="B290" s="127" t="s">
        <v>171</v>
      </c>
      <c r="C290" s="128">
        <v>0</v>
      </c>
      <c r="D290" s="128">
        <v>0</v>
      </c>
      <c r="E290" s="128">
        <v>0</v>
      </c>
      <c r="F290" s="128">
        <v>0</v>
      </c>
      <c r="G290" s="128">
        <v>0</v>
      </c>
      <c r="H290" s="128">
        <v>0</v>
      </c>
      <c r="I290" s="128">
        <v>0</v>
      </c>
      <c r="J290" s="128">
        <v>0</v>
      </c>
      <c r="K290" s="128">
        <v>0</v>
      </c>
      <c r="L290" s="128">
        <v>0</v>
      </c>
      <c r="M290" s="128">
        <v>0</v>
      </c>
      <c r="N290" s="128">
        <v>0</v>
      </c>
      <c r="O290" s="128">
        <v>0</v>
      </c>
      <c r="P290" s="166"/>
      <c r="Q290" s="166"/>
      <c r="R290" s="166"/>
    </row>
    <row r="291" spans="1:18">
      <c r="A291" s="235"/>
      <c r="B291" s="127" t="s">
        <v>85</v>
      </c>
      <c r="C291" s="128">
        <v>0</v>
      </c>
      <c r="D291" s="128">
        <v>0</v>
      </c>
      <c r="E291" s="128">
        <v>0</v>
      </c>
      <c r="F291" s="128">
        <v>0</v>
      </c>
      <c r="G291" s="128">
        <v>0</v>
      </c>
      <c r="H291" s="128">
        <v>0</v>
      </c>
      <c r="I291" s="128">
        <v>0</v>
      </c>
      <c r="J291" s="128">
        <v>0</v>
      </c>
      <c r="K291" s="128">
        <v>0</v>
      </c>
      <c r="L291" s="128">
        <v>0</v>
      </c>
      <c r="M291" s="128">
        <v>0</v>
      </c>
      <c r="N291" s="128">
        <v>0</v>
      </c>
      <c r="O291" s="128">
        <v>0</v>
      </c>
      <c r="P291" s="166"/>
      <c r="Q291" s="166"/>
      <c r="R291" s="166"/>
    </row>
    <row r="292" spans="1:18">
      <c r="A292" s="235"/>
      <c r="B292" s="127" t="s">
        <v>72</v>
      </c>
      <c r="C292" s="128">
        <v>495.25</v>
      </c>
      <c r="D292" s="128">
        <v>140</v>
      </c>
      <c r="E292" s="128">
        <v>787.42499999999995</v>
      </c>
      <c r="F292" s="128">
        <v>137</v>
      </c>
      <c r="G292" s="128">
        <v>120</v>
      </c>
      <c r="H292" s="128">
        <v>0</v>
      </c>
      <c r="I292" s="128">
        <v>175.97499999999999</v>
      </c>
      <c r="J292" s="128">
        <v>243.75</v>
      </c>
      <c r="K292" s="128">
        <v>855.6</v>
      </c>
      <c r="L292" s="128">
        <v>2488.5</v>
      </c>
      <c r="M292" s="128">
        <v>368.6</v>
      </c>
      <c r="N292" s="128">
        <v>1670.625</v>
      </c>
      <c r="O292" s="128">
        <v>4390.55</v>
      </c>
      <c r="P292" s="166"/>
      <c r="Q292" s="166"/>
      <c r="R292" s="166"/>
    </row>
    <row r="293" spans="1:18">
      <c r="A293" s="235"/>
      <c r="B293" s="127" t="s">
        <v>81</v>
      </c>
      <c r="C293" s="128">
        <v>177.25</v>
      </c>
      <c r="D293" s="128">
        <v>47.75</v>
      </c>
      <c r="E293" s="128">
        <v>81.75</v>
      </c>
      <c r="F293" s="128">
        <v>152.5</v>
      </c>
      <c r="G293" s="128">
        <v>335.75</v>
      </c>
      <c r="H293" s="128">
        <v>196.5</v>
      </c>
      <c r="I293" s="128">
        <v>252</v>
      </c>
      <c r="J293" s="128">
        <v>18</v>
      </c>
      <c r="K293" s="128">
        <v>51</v>
      </c>
      <c r="L293" s="128">
        <v>147</v>
      </c>
      <c r="M293" s="128">
        <v>6</v>
      </c>
      <c r="N293" s="128">
        <v>406.75</v>
      </c>
      <c r="O293" s="128">
        <v>112</v>
      </c>
      <c r="P293" s="166"/>
      <c r="Q293" s="166"/>
      <c r="R293" s="166"/>
    </row>
    <row r="294" spans="1:18">
      <c r="A294" s="235"/>
      <c r="B294" s="127" t="s">
        <v>86</v>
      </c>
      <c r="C294" s="128">
        <v>0</v>
      </c>
      <c r="D294" s="128">
        <v>0</v>
      </c>
      <c r="E294" s="128">
        <v>0</v>
      </c>
      <c r="F294" s="128">
        <v>0</v>
      </c>
      <c r="G294" s="128">
        <v>0</v>
      </c>
      <c r="H294" s="128">
        <v>0</v>
      </c>
      <c r="I294" s="128">
        <v>0</v>
      </c>
      <c r="J294" s="128">
        <v>0</v>
      </c>
      <c r="K294" s="128">
        <v>0</v>
      </c>
      <c r="L294" s="128">
        <v>0</v>
      </c>
      <c r="M294" s="128">
        <v>0</v>
      </c>
      <c r="N294" s="128">
        <v>0</v>
      </c>
      <c r="O294" s="128">
        <v>0</v>
      </c>
      <c r="P294" s="166"/>
      <c r="Q294" s="166"/>
      <c r="R294" s="166"/>
    </row>
    <row r="295" spans="1:18">
      <c r="A295" s="235"/>
      <c r="B295" s="127" t="s">
        <v>78</v>
      </c>
      <c r="C295" s="128">
        <v>105239.4</v>
      </c>
      <c r="D295" s="128">
        <v>73395.25</v>
      </c>
      <c r="E295" s="128">
        <v>57932.775000000001</v>
      </c>
      <c r="F295" s="128">
        <v>56016.35</v>
      </c>
      <c r="G295" s="128">
        <v>54552.375</v>
      </c>
      <c r="H295" s="128">
        <v>20732.650000000001</v>
      </c>
      <c r="I295" s="128">
        <v>21085.15</v>
      </c>
      <c r="J295" s="128">
        <v>18646.599999999999</v>
      </c>
      <c r="K295" s="128">
        <v>23535.525000000001</v>
      </c>
      <c r="L295" s="128">
        <v>42195.45</v>
      </c>
      <c r="M295" s="128">
        <v>96803.75</v>
      </c>
      <c r="N295" s="128">
        <v>146364.54999999999</v>
      </c>
      <c r="O295" s="128">
        <v>92281.725000000006</v>
      </c>
      <c r="P295" s="166"/>
      <c r="Q295" s="166"/>
      <c r="R295" s="166"/>
    </row>
    <row r="296" spans="1:18">
      <c r="A296" s="235"/>
      <c r="B296" s="127" t="s">
        <v>79</v>
      </c>
      <c r="C296" s="128">
        <v>164.75</v>
      </c>
      <c r="D296" s="128">
        <v>10.55</v>
      </c>
      <c r="E296" s="128">
        <v>0</v>
      </c>
      <c r="F296" s="128">
        <v>1854.825</v>
      </c>
      <c r="G296" s="128">
        <v>7491.5</v>
      </c>
      <c r="H296" s="128">
        <v>13007.775</v>
      </c>
      <c r="I296" s="128">
        <v>19087.900000000001</v>
      </c>
      <c r="J296" s="128">
        <v>14697</v>
      </c>
      <c r="K296" s="128">
        <v>17053.275000000001</v>
      </c>
      <c r="L296" s="128">
        <v>17562.8</v>
      </c>
      <c r="M296" s="128">
        <v>11071.275</v>
      </c>
      <c r="N296" s="128">
        <v>9746.75</v>
      </c>
      <c r="O296" s="128">
        <v>3151.25</v>
      </c>
      <c r="P296" s="166"/>
      <c r="Q296" s="166"/>
      <c r="R296" s="166"/>
    </row>
    <row r="297" spans="1:18">
      <c r="A297" s="235"/>
      <c r="B297" s="127" t="s">
        <v>76</v>
      </c>
      <c r="C297" s="128">
        <v>24725.375</v>
      </c>
      <c r="D297" s="128">
        <v>21775.599999999999</v>
      </c>
      <c r="E297" s="128">
        <v>16501.599999999999</v>
      </c>
      <c r="F297" s="128">
        <v>17942.75</v>
      </c>
      <c r="G297" s="128">
        <v>24462.5</v>
      </c>
      <c r="H297" s="128">
        <v>27379.85</v>
      </c>
      <c r="I297" s="128">
        <v>27583.724999999999</v>
      </c>
      <c r="J297" s="128">
        <v>25957.25</v>
      </c>
      <c r="K297" s="128">
        <v>46658.175000000003</v>
      </c>
      <c r="L297" s="128">
        <v>51895.625</v>
      </c>
      <c r="M297" s="128">
        <v>37795.15</v>
      </c>
      <c r="N297" s="128">
        <v>27303.9</v>
      </c>
      <c r="O297" s="128">
        <v>14841.9</v>
      </c>
      <c r="P297" s="166"/>
      <c r="Q297" s="166"/>
      <c r="R297" s="166"/>
    </row>
    <row r="298" spans="1:18">
      <c r="A298" s="234"/>
      <c r="B298" s="189" t="s">
        <v>0</v>
      </c>
      <c r="C298" s="191">
        <v>326272.95</v>
      </c>
      <c r="D298" s="191">
        <v>272576.55</v>
      </c>
      <c r="E298" s="191">
        <v>250370.42499999999</v>
      </c>
      <c r="F298" s="191">
        <v>336517.5</v>
      </c>
      <c r="G298" s="191">
        <v>360452.6</v>
      </c>
      <c r="H298" s="191">
        <v>344476.7</v>
      </c>
      <c r="I298" s="191">
        <v>262451.25</v>
      </c>
      <c r="J298" s="191">
        <v>255089.65</v>
      </c>
      <c r="K298" s="191">
        <v>332759.75</v>
      </c>
      <c r="L298" s="191">
        <v>413482.3</v>
      </c>
      <c r="M298" s="191">
        <v>516814.67499999999</v>
      </c>
      <c r="N298" s="191">
        <v>474352.35</v>
      </c>
      <c r="O298" s="191">
        <v>223657.05</v>
      </c>
      <c r="P298" s="158">
        <f>O298/C298-1</f>
        <v>-0.31450937014545655</v>
      </c>
      <c r="Q298" s="158">
        <f>(O279+O298)/(C298+C279)-1</f>
        <v>-0.2941619344878692</v>
      </c>
      <c r="R298" s="166"/>
    </row>
    <row r="299" spans="1:18">
      <c r="A299" s="193"/>
      <c r="B299" s="193"/>
      <c r="C299" s="193"/>
      <c r="D299" s="193"/>
      <c r="E299" s="193"/>
      <c r="F299" s="193"/>
      <c r="G299" s="193"/>
      <c r="H299" s="193"/>
      <c r="I299" s="193"/>
      <c r="J299" s="193"/>
      <c r="K299" s="193"/>
      <c r="L299" s="193"/>
      <c r="M299" s="193"/>
      <c r="N299" s="193"/>
      <c r="O299" s="193"/>
      <c r="P299" s="193"/>
      <c r="Q299" s="193"/>
      <c r="R299" s="166"/>
    </row>
    <row r="300" spans="1:18">
      <c r="A300" s="193"/>
      <c r="B300" s="193"/>
      <c r="C300" s="193"/>
      <c r="D300" s="193"/>
      <c r="E300" s="193"/>
      <c r="F300" s="193"/>
      <c r="G300" s="193"/>
      <c r="H300" s="193"/>
      <c r="I300" s="193"/>
      <c r="J300" s="193"/>
      <c r="K300" s="193"/>
      <c r="L300" s="193"/>
      <c r="M300" s="193"/>
      <c r="N300" s="193"/>
      <c r="O300" s="193"/>
      <c r="P300" s="193"/>
      <c r="Q300" s="193"/>
      <c r="R300" s="166"/>
    </row>
    <row r="301" spans="1:18">
      <c r="A301" s="193"/>
      <c r="B301" s="193"/>
      <c r="C301" s="193"/>
      <c r="D301" s="193"/>
      <c r="E301" s="193"/>
      <c r="F301" s="193"/>
      <c r="G301" s="193"/>
      <c r="H301" s="193"/>
      <c r="I301" s="193"/>
      <c r="J301" s="193"/>
      <c r="K301" s="193"/>
      <c r="L301" s="193"/>
      <c r="M301" s="193"/>
      <c r="N301" s="193"/>
      <c r="O301" s="193"/>
      <c r="P301" s="193"/>
      <c r="Q301" s="193"/>
    </row>
    <row r="302" spans="1:18">
      <c r="A302" s="194"/>
      <c r="B302" s="194"/>
      <c r="C302" s="194"/>
      <c r="D302" s="194"/>
      <c r="E302" s="194"/>
      <c r="F302" s="194"/>
      <c r="G302" s="194"/>
      <c r="H302" s="194"/>
      <c r="I302" s="194"/>
      <c r="J302" s="194"/>
      <c r="K302" s="194"/>
      <c r="L302" s="194"/>
      <c r="M302" s="194"/>
      <c r="N302" s="194"/>
      <c r="O302" s="194"/>
      <c r="P302" s="194"/>
      <c r="Q302" s="194"/>
    </row>
    <row r="306" spans="1:18">
      <c r="Q306" s="157"/>
      <c r="R306" s="157"/>
    </row>
    <row r="307" spans="1:18">
      <c r="Q307" s="157"/>
      <c r="R307" s="157"/>
    </row>
    <row r="308" spans="1:18">
      <c r="Q308" s="157"/>
      <c r="R308" s="157"/>
    </row>
    <row r="309" spans="1:18">
      <c r="P309" s="128"/>
      <c r="Q309" s="157"/>
      <c r="R309" s="157"/>
    </row>
    <row r="310" spans="1:18">
      <c r="P310" s="128"/>
      <c r="Q310" s="157"/>
      <c r="R310" s="157"/>
    </row>
    <row r="311" spans="1:18">
      <c r="P311" s="128"/>
      <c r="Q311" s="157"/>
      <c r="R311" s="157"/>
    </row>
    <row r="312" spans="1:18">
      <c r="P312" s="128"/>
      <c r="Q312" s="157"/>
      <c r="R312" s="157"/>
    </row>
    <row r="313" spans="1:18">
      <c r="A313" s="85" t="s">
        <v>176</v>
      </c>
      <c r="B313" s="169" t="str">
        <f>MID(B314,6,1)</f>
        <v>M</v>
      </c>
      <c r="C313" s="169" t="str">
        <f t="shared" ref="C313:N313" si="9">MID(C314,6,1)</f>
        <v>J</v>
      </c>
      <c r="D313" s="169" t="str">
        <f t="shared" si="9"/>
        <v>J</v>
      </c>
      <c r="E313" s="169" t="str">
        <f t="shared" si="9"/>
        <v>A</v>
      </c>
      <c r="F313" s="169" t="str">
        <f t="shared" si="9"/>
        <v>S</v>
      </c>
      <c r="G313" s="169" t="str">
        <f t="shared" si="9"/>
        <v>O</v>
      </c>
      <c r="H313" s="169" t="str">
        <f t="shared" si="9"/>
        <v>N</v>
      </c>
      <c r="I313" s="169" t="str">
        <f t="shared" si="9"/>
        <v>D</v>
      </c>
      <c r="J313" s="169" t="str">
        <f t="shared" si="9"/>
        <v>E</v>
      </c>
      <c r="K313" s="169" t="str">
        <f t="shared" si="9"/>
        <v>F</v>
      </c>
      <c r="L313" s="169" t="str">
        <f t="shared" si="9"/>
        <v>M</v>
      </c>
      <c r="M313" s="169" t="str">
        <f t="shared" si="9"/>
        <v>A</v>
      </c>
      <c r="N313" s="169" t="str">
        <f t="shared" si="9"/>
        <v>M</v>
      </c>
      <c r="O313" s="128"/>
      <c r="P313" s="128"/>
      <c r="Q313" s="157"/>
      <c r="R313" s="157"/>
    </row>
    <row r="314" spans="1:18">
      <c r="A314" s="125" t="s">
        <v>87</v>
      </c>
      <c r="B314" s="147" t="s">
        <v>211</v>
      </c>
      <c r="C314" s="147" t="s">
        <v>213</v>
      </c>
      <c r="D314" s="147" t="s">
        <v>215</v>
      </c>
      <c r="E314" s="147" t="s">
        <v>217</v>
      </c>
      <c r="F314" s="147" t="s">
        <v>219</v>
      </c>
      <c r="G314" s="147" t="s">
        <v>223</v>
      </c>
      <c r="H314" s="147" t="s">
        <v>226</v>
      </c>
      <c r="I314" s="147" t="s">
        <v>228</v>
      </c>
      <c r="J314" s="147" t="s">
        <v>232</v>
      </c>
      <c r="K314" s="147" t="s">
        <v>235</v>
      </c>
      <c r="L314" s="147" t="s">
        <v>238</v>
      </c>
      <c r="M314" s="147" t="s">
        <v>248</v>
      </c>
      <c r="N314" s="147" t="s">
        <v>283</v>
      </c>
      <c r="O314" s="128"/>
      <c r="P314" s="128"/>
      <c r="Q314" s="157"/>
      <c r="R314" s="157"/>
    </row>
    <row r="315" spans="1:18">
      <c r="A315" s="125" t="s">
        <v>27</v>
      </c>
      <c r="B315" s="145"/>
      <c r="C315" s="145"/>
      <c r="D315" s="145"/>
      <c r="E315" s="145"/>
      <c r="F315" s="145"/>
      <c r="G315" s="145"/>
      <c r="H315" s="145"/>
      <c r="I315" s="145"/>
      <c r="J315" s="145"/>
      <c r="K315" s="145"/>
      <c r="L315" s="145"/>
      <c r="M315" s="145"/>
      <c r="N315" s="145"/>
      <c r="P315" s="128"/>
      <c r="Q315" s="157"/>
      <c r="R315" s="157"/>
    </row>
    <row r="316" spans="1:18">
      <c r="A316" s="127" t="s">
        <v>71</v>
      </c>
      <c r="B316" s="128">
        <v>89311.5</v>
      </c>
      <c r="C316" s="128">
        <v>127607.75</v>
      </c>
      <c r="D316" s="128">
        <v>199179.5</v>
      </c>
      <c r="E316" s="128">
        <v>129470.5</v>
      </c>
      <c r="F316" s="128">
        <v>94718.25</v>
      </c>
      <c r="G316" s="128">
        <v>109914.5</v>
      </c>
      <c r="H316" s="128">
        <v>123489</v>
      </c>
      <c r="I316" s="128">
        <v>186787.25</v>
      </c>
      <c r="J316" s="128">
        <v>90348.25</v>
      </c>
      <c r="K316" s="128">
        <v>44962.25</v>
      </c>
      <c r="L316" s="128">
        <v>68619</v>
      </c>
      <c r="M316" s="128">
        <v>41863.5</v>
      </c>
      <c r="N316" s="128">
        <v>74085.75</v>
      </c>
      <c r="Q316" s="157"/>
      <c r="R316" s="157"/>
    </row>
    <row r="317" spans="1:18">
      <c r="A317" s="127" t="s">
        <v>75</v>
      </c>
      <c r="B317" s="128">
        <v>215330.75</v>
      </c>
      <c r="C317" s="128">
        <v>177774</v>
      </c>
      <c r="D317" s="128">
        <v>118924</v>
      </c>
      <c r="E317" s="128">
        <v>160328.25</v>
      </c>
      <c r="F317" s="128">
        <v>243145</v>
      </c>
      <c r="G317" s="128">
        <v>284049</v>
      </c>
      <c r="H317" s="128">
        <v>159008</v>
      </c>
      <c r="I317" s="128">
        <v>122864.5</v>
      </c>
      <c r="J317" s="128">
        <v>265986.25</v>
      </c>
      <c r="K317" s="128">
        <v>396960.5</v>
      </c>
      <c r="L317" s="128">
        <v>417916.5</v>
      </c>
      <c r="M317" s="128">
        <v>402526.75</v>
      </c>
      <c r="N317" s="128">
        <v>196774</v>
      </c>
    </row>
    <row r="318" spans="1:18">
      <c r="A318" s="150" t="s">
        <v>160</v>
      </c>
      <c r="B318" s="153">
        <f>SUM(B316:B317)</f>
        <v>304642.25</v>
      </c>
      <c r="C318" s="153">
        <f t="shared" ref="C318:N318" si="10">SUM(C316:C317)</f>
        <v>305381.75</v>
      </c>
      <c r="D318" s="153">
        <f t="shared" si="10"/>
        <v>318103.5</v>
      </c>
      <c r="E318" s="153">
        <f t="shared" si="10"/>
        <v>289798.75</v>
      </c>
      <c r="F318" s="153">
        <f t="shared" si="10"/>
        <v>337863.25</v>
      </c>
      <c r="G318" s="153">
        <f t="shared" si="10"/>
        <v>393963.5</v>
      </c>
      <c r="H318" s="153">
        <f t="shared" si="10"/>
        <v>282497</v>
      </c>
      <c r="I318" s="153">
        <f t="shared" si="10"/>
        <v>309651.75</v>
      </c>
      <c r="J318" s="153">
        <f t="shared" si="10"/>
        <v>356334.5</v>
      </c>
      <c r="K318" s="153">
        <f t="shared" si="10"/>
        <v>441922.75</v>
      </c>
      <c r="L318" s="153">
        <f t="shared" si="10"/>
        <v>486535.5</v>
      </c>
      <c r="M318" s="153">
        <f t="shared" si="10"/>
        <v>444390.25</v>
      </c>
      <c r="N318" s="153">
        <f t="shared" si="10"/>
        <v>270859.75</v>
      </c>
      <c r="P318" s="157"/>
      <c r="Q318" s="157"/>
    </row>
    <row r="319" spans="1:18">
      <c r="A319" s="85" t="s">
        <v>164</v>
      </c>
      <c r="P319" s="157"/>
      <c r="Q319" s="157"/>
    </row>
    <row r="320" spans="1:18">
      <c r="A320" s="125"/>
      <c r="B320" s="125"/>
      <c r="C320" s="125" t="s">
        <v>27</v>
      </c>
      <c r="D320" s="219" t="s">
        <v>196</v>
      </c>
      <c r="E320" s="220"/>
      <c r="F320" s="220"/>
      <c r="G320" s="220"/>
      <c r="H320" s="220"/>
      <c r="I320" s="220"/>
      <c r="J320" s="220"/>
      <c r="K320" s="220"/>
      <c r="L320" s="220"/>
      <c r="M320" s="220"/>
      <c r="N320" s="220"/>
      <c r="O320" s="220"/>
      <c r="P320" s="220"/>
      <c r="Q320" s="157"/>
    </row>
    <row r="321" spans="1:21">
      <c r="A321" s="125"/>
      <c r="B321" s="125"/>
      <c r="C321" s="125" t="s">
        <v>87</v>
      </c>
      <c r="D321" s="147" t="s">
        <v>211</v>
      </c>
      <c r="E321" s="147" t="s">
        <v>213</v>
      </c>
      <c r="F321" s="147" t="s">
        <v>215</v>
      </c>
      <c r="G321" s="147" t="s">
        <v>217</v>
      </c>
      <c r="H321" s="147" t="s">
        <v>219</v>
      </c>
      <c r="I321" s="147" t="s">
        <v>223</v>
      </c>
      <c r="J321" s="147" t="s">
        <v>226</v>
      </c>
      <c r="K321" s="147" t="s">
        <v>228</v>
      </c>
      <c r="L321" s="147" t="s">
        <v>232</v>
      </c>
      <c r="M321" s="147" t="s">
        <v>235</v>
      </c>
      <c r="N321" s="147" t="s">
        <v>238</v>
      </c>
      <c r="O321" s="147" t="s">
        <v>248</v>
      </c>
      <c r="P321" s="147" t="s">
        <v>283</v>
      </c>
      <c r="Q321" s="157"/>
    </row>
    <row r="322" spans="1:21">
      <c r="A322" s="125" t="s">
        <v>120</v>
      </c>
      <c r="B322" s="125" t="s">
        <v>143</v>
      </c>
      <c r="C322" s="125" t="s">
        <v>144</v>
      </c>
      <c r="D322" s="145"/>
      <c r="E322" s="145"/>
      <c r="F322" s="145"/>
      <c r="G322" s="145"/>
      <c r="H322" s="145"/>
      <c r="I322" s="145"/>
      <c r="J322" s="145"/>
      <c r="K322" s="145"/>
      <c r="L322" s="145"/>
      <c r="M322" s="145"/>
      <c r="N322" s="145"/>
      <c r="O322" s="145"/>
      <c r="P322" s="145"/>
      <c r="Q322" s="157"/>
    </row>
    <row r="323" spans="1:21">
      <c r="A323" s="233" t="s">
        <v>138</v>
      </c>
      <c r="B323" s="233" t="s">
        <v>139</v>
      </c>
      <c r="C323" s="127" t="s">
        <v>140</v>
      </c>
      <c r="D323" s="128">
        <v>6692</v>
      </c>
      <c r="E323" s="128">
        <v>5900</v>
      </c>
      <c r="F323" s="128">
        <v>5752.1</v>
      </c>
      <c r="G323" s="128">
        <v>2420</v>
      </c>
      <c r="H323" s="128">
        <v>3714</v>
      </c>
      <c r="I323" s="128">
        <v>6616</v>
      </c>
      <c r="J323" s="128">
        <v>11168.4</v>
      </c>
      <c r="K323" s="128">
        <v>9655</v>
      </c>
      <c r="L323" s="128">
        <v>18787</v>
      </c>
      <c r="M323" s="128">
        <v>12671</v>
      </c>
      <c r="N323" s="128">
        <v>13320.25</v>
      </c>
      <c r="O323" s="128">
        <v>681.75</v>
      </c>
      <c r="P323" s="128">
        <v>287.25</v>
      </c>
      <c r="Q323" s="157"/>
      <c r="U323" s="173"/>
    </row>
    <row r="324" spans="1:21">
      <c r="A324" s="235"/>
      <c r="B324" s="234"/>
      <c r="C324" s="127" t="s">
        <v>141</v>
      </c>
      <c r="D324" s="128">
        <v>141126.39999999999</v>
      </c>
      <c r="E324" s="128">
        <v>125705</v>
      </c>
      <c r="F324" s="128">
        <v>136962</v>
      </c>
      <c r="G324" s="128">
        <v>164237</v>
      </c>
      <c r="H324" s="128">
        <v>104951</v>
      </c>
      <c r="I324" s="128">
        <v>134927</v>
      </c>
      <c r="J324" s="128">
        <v>91782</v>
      </c>
      <c r="K324" s="128">
        <v>114637.2</v>
      </c>
      <c r="L324" s="128">
        <v>67725.7</v>
      </c>
      <c r="M324" s="128">
        <v>37653.699999999997</v>
      </c>
      <c r="N324" s="128">
        <v>90855.824999999997</v>
      </c>
      <c r="O324" s="128">
        <v>107349.6</v>
      </c>
      <c r="P324" s="128">
        <v>45497.95</v>
      </c>
      <c r="Q324" s="157"/>
    </row>
    <row r="325" spans="1:21">
      <c r="A325" s="235"/>
      <c r="B325" s="237" t="s">
        <v>142</v>
      </c>
      <c r="C325" s="127" t="s">
        <v>140</v>
      </c>
      <c r="D325" s="128">
        <v>0</v>
      </c>
      <c r="E325" s="128">
        <v>0</v>
      </c>
      <c r="F325" s="128">
        <v>0</v>
      </c>
      <c r="G325" s="128">
        <v>0</v>
      </c>
      <c r="H325" s="128">
        <v>0</v>
      </c>
      <c r="I325" s="128">
        <v>0</v>
      </c>
      <c r="J325" s="128">
        <v>0</v>
      </c>
      <c r="K325" s="128">
        <v>0</v>
      </c>
      <c r="L325" s="128">
        <v>0</v>
      </c>
      <c r="M325" s="128">
        <v>0</v>
      </c>
      <c r="N325" s="128">
        <v>0</v>
      </c>
      <c r="O325" s="128">
        <v>0</v>
      </c>
      <c r="P325" s="128">
        <v>0</v>
      </c>
      <c r="Q325" s="157"/>
    </row>
    <row r="326" spans="1:21">
      <c r="A326" s="234"/>
      <c r="B326" s="234"/>
      <c r="C326" s="127" t="s">
        <v>141</v>
      </c>
      <c r="D326" s="128">
        <v>0</v>
      </c>
      <c r="E326" s="128">
        <v>0</v>
      </c>
      <c r="F326" s="128">
        <v>0</v>
      </c>
      <c r="G326" s="128">
        <v>0</v>
      </c>
      <c r="H326" s="128">
        <v>0</v>
      </c>
      <c r="I326" s="128">
        <v>0</v>
      </c>
      <c r="J326" s="128">
        <v>0</v>
      </c>
      <c r="K326" s="128">
        <v>0</v>
      </c>
      <c r="L326" s="128">
        <v>0</v>
      </c>
      <c r="M326" s="128">
        <v>0</v>
      </c>
      <c r="N326" s="128">
        <v>0</v>
      </c>
      <c r="O326" s="128">
        <v>0</v>
      </c>
      <c r="P326" s="128">
        <v>0</v>
      </c>
      <c r="Q326" s="157"/>
    </row>
    <row r="327" spans="1:21">
      <c r="A327" s="237" t="s">
        <v>168</v>
      </c>
      <c r="B327" s="237" t="s">
        <v>139</v>
      </c>
      <c r="C327" s="127" t="s">
        <v>140</v>
      </c>
      <c r="D327" s="128">
        <v>26707</v>
      </c>
      <c r="E327" s="128">
        <v>24345.4</v>
      </c>
      <c r="F327" s="128">
        <v>40017.800000000003</v>
      </c>
      <c r="G327" s="128">
        <v>47585.5</v>
      </c>
      <c r="H327" s="128">
        <v>30360.7</v>
      </c>
      <c r="I327" s="128">
        <v>55216.2</v>
      </c>
      <c r="J327" s="128">
        <v>55068</v>
      </c>
      <c r="K327" s="128">
        <v>32982.699999999997</v>
      </c>
      <c r="L327" s="128">
        <v>25033</v>
      </c>
      <c r="M327" s="128">
        <v>30692</v>
      </c>
      <c r="N327" s="128">
        <v>11006.25</v>
      </c>
      <c r="O327" s="128">
        <v>7049</v>
      </c>
      <c r="P327" s="128">
        <v>2391.75</v>
      </c>
      <c r="Q327" s="157"/>
    </row>
    <row r="328" spans="1:21">
      <c r="A328" s="235"/>
      <c r="B328" s="234"/>
      <c r="C328" s="127" t="s">
        <v>141</v>
      </c>
      <c r="D328" s="128">
        <v>48172.5</v>
      </c>
      <c r="E328" s="128">
        <v>42929.599999999999</v>
      </c>
      <c r="F328" s="128">
        <v>32491</v>
      </c>
      <c r="G328" s="128">
        <v>37214</v>
      </c>
      <c r="H328" s="128">
        <v>55114.6</v>
      </c>
      <c r="I328" s="128">
        <v>85933.9</v>
      </c>
      <c r="J328" s="128">
        <v>85446.1</v>
      </c>
      <c r="K328" s="128">
        <v>61412.2</v>
      </c>
      <c r="L328" s="128">
        <v>117100.4</v>
      </c>
      <c r="M328" s="128">
        <v>135901.20000000001</v>
      </c>
      <c r="N328" s="128">
        <v>69626.600000000006</v>
      </c>
      <c r="O328" s="128">
        <v>72019.05</v>
      </c>
      <c r="P328" s="128">
        <v>38927.1</v>
      </c>
      <c r="Q328" s="157"/>
    </row>
    <row r="329" spans="1:21">
      <c r="A329" s="235"/>
      <c r="B329" s="237" t="s">
        <v>142</v>
      </c>
      <c r="C329" s="127" t="s">
        <v>140</v>
      </c>
      <c r="D329" s="128">
        <v>0</v>
      </c>
      <c r="E329" s="128">
        <v>0</v>
      </c>
      <c r="F329" s="128">
        <v>0</v>
      </c>
      <c r="G329" s="128">
        <v>0</v>
      </c>
      <c r="H329" s="128">
        <v>0</v>
      </c>
      <c r="I329" s="128">
        <v>0</v>
      </c>
      <c r="J329" s="128">
        <v>0</v>
      </c>
      <c r="K329" s="128">
        <v>0</v>
      </c>
      <c r="L329" s="128">
        <v>0</v>
      </c>
      <c r="M329" s="128">
        <v>0</v>
      </c>
      <c r="N329" s="128">
        <v>0</v>
      </c>
      <c r="O329" s="128">
        <v>0</v>
      </c>
      <c r="P329" s="128">
        <v>0</v>
      </c>
      <c r="Q329" s="157"/>
    </row>
    <row r="330" spans="1:21">
      <c r="A330" s="234"/>
      <c r="B330" s="234"/>
      <c r="C330" s="127" t="s">
        <v>141</v>
      </c>
      <c r="D330" s="128">
        <v>0</v>
      </c>
      <c r="E330" s="128">
        <v>0</v>
      </c>
      <c r="F330" s="128">
        <v>0</v>
      </c>
      <c r="G330" s="128">
        <v>0</v>
      </c>
      <c r="H330" s="128">
        <v>0</v>
      </c>
      <c r="I330" s="128">
        <v>0</v>
      </c>
      <c r="J330" s="128">
        <v>0</v>
      </c>
      <c r="K330" s="128">
        <v>0</v>
      </c>
      <c r="L330" s="128">
        <v>0</v>
      </c>
      <c r="M330" s="128">
        <v>0</v>
      </c>
      <c r="N330" s="128">
        <v>0</v>
      </c>
      <c r="O330" s="128">
        <v>0</v>
      </c>
      <c r="P330" s="128">
        <v>0</v>
      </c>
      <c r="Q330" s="157"/>
    </row>
    <row r="331" spans="1:21">
      <c r="A331" s="164"/>
      <c r="B331" s="127"/>
      <c r="C331" s="128"/>
      <c r="D331" s="128"/>
      <c r="E331" s="128"/>
      <c r="F331" s="128"/>
      <c r="G331" s="128"/>
      <c r="H331" s="128"/>
      <c r="I331" s="128"/>
      <c r="J331" s="128"/>
      <c r="K331" s="128"/>
      <c r="L331" s="128"/>
      <c r="M331" s="128"/>
      <c r="N331" s="128"/>
      <c r="O331" s="128"/>
      <c r="P331" s="157"/>
      <c r="Q331" s="157"/>
    </row>
    <row r="332" spans="1:21">
      <c r="A332" s="164"/>
      <c r="B332" s="127"/>
      <c r="C332" s="128"/>
      <c r="D332" s="128"/>
      <c r="E332" s="128"/>
      <c r="F332" s="128"/>
      <c r="G332" s="128"/>
      <c r="H332" s="128"/>
      <c r="I332" s="128"/>
      <c r="J332" s="128"/>
      <c r="K332" s="128"/>
      <c r="L332" s="128"/>
      <c r="M332" s="128"/>
      <c r="N332" s="128"/>
      <c r="O332" s="128"/>
      <c r="P332" s="157"/>
      <c r="Q332" s="157"/>
    </row>
    <row r="333" spans="1:21">
      <c r="A333" s="164"/>
      <c r="B333" s="127"/>
      <c r="C333" s="128"/>
      <c r="D333" s="128"/>
      <c r="E333" s="128"/>
      <c r="F333" s="128"/>
      <c r="G333" s="128"/>
      <c r="H333" s="128"/>
      <c r="I333" s="128"/>
      <c r="J333" s="128"/>
      <c r="K333" s="128"/>
      <c r="L333" s="128"/>
      <c r="M333" s="128"/>
      <c r="N333" s="128"/>
      <c r="O333" s="128"/>
      <c r="P333" s="157"/>
      <c r="Q333" s="157"/>
    </row>
    <row r="334" spans="1:21">
      <c r="A334" s="164"/>
      <c r="B334" s="127"/>
      <c r="C334" s="128"/>
      <c r="D334" s="128"/>
      <c r="E334" s="128"/>
      <c r="F334" s="128"/>
      <c r="G334" s="128"/>
      <c r="H334" s="128"/>
      <c r="I334" s="128"/>
      <c r="J334" s="128"/>
      <c r="K334" s="128"/>
      <c r="L334" s="128"/>
      <c r="M334" s="128"/>
      <c r="N334" s="128"/>
      <c r="O334" s="128"/>
      <c r="P334" s="157"/>
      <c r="Q334" s="157"/>
    </row>
    <row r="335" spans="1:21">
      <c r="A335" s="164"/>
      <c r="B335" s="127"/>
      <c r="C335" s="128"/>
      <c r="D335" s="128"/>
      <c r="E335" s="128"/>
      <c r="F335" s="128"/>
      <c r="G335" s="128"/>
      <c r="H335" s="128"/>
      <c r="I335" s="128"/>
      <c r="J335" s="128"/>
      <c r="K335" s="128"/>
      <c r="L335" s="128"/>
      <c r="M335" s="128"/>
      <c r="N335" s="128"/>
      <c r="O335" s="128"/>
      <c r="P335" s="157"/>
      <c r="Q335" s="157"/>
    </row>
    <row r="336" spans="1:21">
      <c r="A336" s="85" t="s">
        <v>177</v>
      </c>
      <c r="C336" s="144" t="str">
        <f>MID(C338,6,1)</f>
        <v>M</v>
      </c>
      <c r="D336" s="144" t="str">
        <f t="shared" ref="D336:O336" si="11">MID(D338,6,1)</f>
        <v>J</v>
      </c>
      <c r="E336" s="144" t="str">
        <f t="shared" si="11"/>
        <v>J</v>
      </c>
      <c r="F336" s="144" t="str">
        <f t="shared" si="11"/>
        <v>A</v>
      </c>
      <c r="G336" s="144" t="str">
        <f t="shared" si="11"/>
        <v>S</v>
      </c>
      <c r="H336" s="144" t="str">
        <f t="shared" si="11"/>
        <v>O</v>
      </c>
      <c r="I336" s="144" t="str">
        <f t="shared" si="11"/>
        <v>N</v>
      </c>
      <c r="J336" s="144" t="str">
        <f t="shared" si="11"/>
        <v>D</v>
      </c>
      <c r="K336" s="144" t="str">
        <f t="shared" si="11"/>
        <v>E</v>
      </c>
      <c r="L336" s="144" t="str">
        <f t="shared" si="11"/>
        <v>F</v>
      </c>
      <c r="M336" s="144" t="str">
        <f t="shared" si="11"/>
        <v>M</v>
      </c>
      <c r="N336" s="144" t="str">
        <f t="shared" si="11"/>
        <v>A</v>
      </c>
      <c r="O336" s="144" t="str">
        <f t="shared" si="11"/>
        <v>M</v>
      </c>
      <c r="P336" s="157"/>
      <c r="Q336" s="157"/>
    </row>
    <row r="337" spans="1:22">
      <c r="A337" s="125"/>
      <c r="B337" s="125" t="s">
        <v>27</v>
      </c>
      <c r="C337" s="241" t="s">
        <v>153</v>
      </c>
      <c r="D337" s="242"/>
      <c r="E337" s="242"/>
      <c r="F337" s="242"/>
      <c r="G337" s="242"/>
      <c r="H337" s="242"/>
      <c r="I337" s="242"/>
      <c r="J337" s="242"/>
      <c r="K337" s="242"/>
      <c r="L337" s="242"/>
      <c r="M337" s="242"/>
      <c r="N337" s="242"/>
      <c r="O337" s="242"/>
      <c r="P337" s="157"/>
      <c r="Q337" s="157"/>
    </row>
    <row r="338" spans="1:22">
      <c r="A338" s="125"/>
      <c r="B338" s="125" t="s">
        <v>87</v>
      </c>
      <c r="C338" s="147" t="s">
        <v>211</v>
      </c>
      <c r="D338" s="147" t="s">
        <v>213</v>
      </c>
      <c r="E338" s="147" t="s">
        <v>215</v>
      </c>
      <c r="F338" s="147" t="s">
        <v>217</v>
      </c>
      <c r="G338" s="147" t="s">
        <v>219</v>
      </c>
      <c r="H338" s="147" t="s">
        <v>223</v>
      </c>
      <c r="I338" s="147" t="s">
        <v>226</v>
      </c>
      <c r="J338" s="147" t="s">
        <v>228</v>
      </c>
      <c r="K338" s="147" t="s">
        <v>232</v>
      </c>
      <c r="L338" s="147" t="s">
        <v>235</v>
      </c>
      <c r="M338" s="147" t="s">
        <v>238</v>
      </c>
      <c r="N338" s="147" t="s">
        <v>248</v>
      </c>
      <c r="O338" s="147" t="s">
        <v>283</v>
      </c>
      <c r="P338" s="157"/>
      <c r="Q338" s="157"/>
    </row>
    <row r="339" spans="1:22">
      <c r="A339" s="125" t="s">
        <v>120</v>
      </c>
      <c r="B339" s="125" t="s">
        <v>121</v>
      </c>
      <c r="C339" s="145"/>
      <c r="D339" s="145"/>
      <c r="E339" s="145"/>
      <c r="F339" s="145"/>
      <c r="G339" s="145"/>
      <c r="H339" s="145"/>
      <c r="I339" s="145"/>
      <c r="J339" s="145"/>
      <c r="K339" s="145"/>
      <c r="L339" s="145"/>
      <c r="M339" s="145"/>
      <c r="N339" s="145"/>
      <c r="O339" s="145"/>
      <c r="P339" s="157"/>
      <c r="Q339" s="157"/>
    </row>
    <row r="340" spans="1:22">
      <c r="A340" s="240" t="s">
        <v>71</v>
      </c>
      <c r="B340" s="127" t="s">
        <v>209</v>
      </c>
      <c r="C340" s="128">
        <v>0</v>
      </c>
      <c r="D340" s="128">
        <v>0</v>
      </c>
      <c r="E340" s="128">
        <v>0</v>
      </c>
      <c r="F340" s="128">
        <v>0</v>
      </c>
      <c r="G340" s="128">
        <v>0</v>
      </c>
      <c r="H340" s="128">
        <v>0</v>
      </c>
      <c r="I340" s="128">
        <v>0</v>
      </c>
      <c r="J340" s="128">
        <v>0</v>
      </c>
      <c r="K340" s="128">
        <v>0</v>
      </c>
      <c r="L340" s="128">
        <v>0</v>
      </c>
      <c r="M340" s="128">
        <v>0</v>
      </c>
      <c r="N340" s="128">
        <v>0</v>
      </c>
      <c r="O340" s="128">
        <v>0</v>
      </c>
      <c r="P340" s="157"/>
      <c r="Q340" s="160"/>
    </row>
    <row r="341" spans="1:22">
      <c r="A341" s="235"/>
      <c r="B341" s="127" t="s">
        <v>73</v>
      </c>
      <c r="C341" s="128">
        <v>0</v>
      </c>
      <c r="D341" s="128">
        <v>4632.6000000000004</v>
      </c>
      <c r="E341" s="128">
        <v>10899</v>
      </c>
      <c r="F341" s="128">
        <v>3159</v>
      </c>
      <c r="G341" s="128">
        <v>6921</v>
      </c>
      <c r="H341" s="128">
        <v>28142.167000000001</v>
      </c>
      <c r="I341" s="128">
        <v>22436</v>
      </c>
      <c r="J341" s="128">
        <v>15140</v>
      </c>
      <c r="K341" s="128">
        <v>14285</v>
      </c>
      <c r="L341" s="128">
        <v>20485</v>
      </c>
      <c r="M341" s="128">
        <v>7623.75</v>
      </c>
      <c r="N341" s="128">
        <v>3547.56</v>
      </c>
      <c r="O341" s="128">
        <v>0</v>
      </c>
      <c r="P341" s="157"/>
      <c r="Q341" s="157"/>
    </row>
    <row r="342" spans="1:22">
      <c r="A342" s="235"/>
      <c r="B342" s="127" t="s">
        <v>23</v>
      </c>
      <c r="C342" s="128">
        <v>292755.49599999998</v>
      </c>
      <c r="D342" s="128">
        <v>305769.40000000002</v>
      </c>
      <c r="E342" s="128">
        <v>417951.071</v>
      </c>
      <c r="F342" s="128">
        <v>452723.04200000002</v>
      </c>
      <c r="G342" s="128">
        <v>430782.21600000001</v>
      </c>
      <c r="H342" s="128">
        <v>609242.973</v>
      </c>
      <c r="I342" s="128">
        <v>435419.359</v>
      </c>
      <c r="J342" s="128">
        <v>394503.52399999998</v>
      </c>
      <c r="K342" s="128">
        <v>451588.02500000002</v>
      </c>
      <c r="L342" s="128">
        <v>797594.67099999997</v>
      </c>
      <c r="M342" s="128">
        <v>640773.63699999999</v>
      </c>
      <c r="N342" s="128">
        <v>339272.77500000002</v>
      </c>
      <c r="O342" s="128">
        <v>190030.19</v>
      </c>
      <c r="P342" s="157"/>
      <c r="Q342" s="157"/>
    </row>
    <row r="343" spans="1:22">
      <c r="A343" s="235"/>
      <c r="B343" s="127" t="s">
        <v>80</v>
      </c>
      <c r="C343" s="128">
        <v>0</v>
      </c>
      <c r="D343" s="128">
        <v>0</v>
      </c>
      <c r="E343" s="128">
        <v>8.61</v>
      </c>
      <c r="F343" s="128">
        <v>0</v>
      </c>
      <c r="G343" s="128">
        <v>0</v>
      </c>
      <c r="H343" s="128">
        <v>1.546</v>
      </c>
      <c r="I343" s="128">
        <v>0</v>
      </c>
      <c r="J343" s="128">
        <v>0</v>
      </c>
      <c r="K343" s="128">
        <v>0</v>
      </c>
      <c r="L343" s="128">
        <v>0</v>
      </c>
      <c r="M343" s="128">
        <v>0</v>
      </c>
      <c r="N343" s="128">
        <v>0</v>
      </c>
      <c r="O343" s="128">
        <v>48.424999999999997</v>
      </c>
      <c r="P343" s="157"/>
      <c r="Q343" s="157"/>
    </row>
    <row r="344" spans="1:22">
      <c r="A344" s="235"/>
      <c r="B344" s="127" t="s">
        <v>74</v>
      </c>
      <c r="C344" s="128">
        <v>1162.867</v>
      </c>
      <c r="D344" s="128">
        <v>1212.25</v>
      </c>
      <c r="E344" s="128">
        <v>5738.7330000000002</v>
      </c>
      <c r="F344" s="128">
        <v>9876.75</v>
      </c>
      <c r="G344" s="128">
        <v>408.33300000000003</v>
      </c>
      <c r="H344" s="128">
        <v>583</v>
      </c>
      <c r="I344" s="128">
        <v>5128.25</v>
      </c>
      <c r="J344" s="128">
        <v>267.5</v>
      </c>
      <c r="K344" s="128">
        <v>1875</v>
      </c>
      <c r="L344" s="128">
        <v>2238.683</v>
      </c>
      <c r="M344" s="128">
        <v>5818.2749999999996</v>
      </c>
      <c r="N344" s="128">
        <v>2631.1329999999998</v>
      </c>
      <c r="O344" s="128">
        <v>948.5</v>
      </c>
      <c r="P344" s="157"/>
      <c r="Q344" s="157"/>
    </row>
    <row r="345" spans="1:22">
      <c r="A345" s="235"/>
      <c r="B345" s="127" t="s">
        <v>83</v>
      </c>
      <c r="C345" s="128">
        <v>1163.7</v>
      </c>
      <c r="D345" s="128">
        <v>2708.7</v>
      </c>
      <c r="E345" s="128">
        <v>0</v>
      </c>
      <c r="F345" s="128">
        <v>2741.6</v>
      </c>
      <c r="G345" s="128">
        <v>372</v>
      </c>
      <c r="H345" s="128">
        <v>1567.5</v>
      </c>
      <c r="I345" s="128">
        <v>190</v>
      </c>
      <c r="J345" s="128">
        <v>102</v>
      </c>
      <c r="K345" s="128">
        <v>40</v>
      </c>
      <c r="L345" s="128">
        <v>1099.2</v>
      </c>
      <c r="M345" s="128">
        <v>729.7</v>
      </c>
      <c r="N345" s="128">
        <v>554.1</v>
      </c>
      <c r="O345" s="128">
        <v>910.22500000000002</v>
      </c>
      <c r="P345" s="157"/>
      <c r="Q345" s="157"/>
    </row>
    <row r="346" spans="1:22">
      <c r="A346" s="235"/>
      <c r="B346" s="127" t="s">
        <v>77</v>
      </c>
      <c r="C346" s="128">
        <v>0</v>
      </c>
      <c r="D346" s="128">
        <v>0</v>
      </c>
      <c r="E346" s="128">
        <v>0</v>
      </c>
      <c r="F346" s="128">
        <v>0</v>
      </c>
      <c r="G346" s="128">
        <v>116.667</v>
      </c>
      <c r="H346" s="128">
        <v>0.17299999999999999</v>
      </c>
      <c r="I346" s="128">
        <v>0</v>
      </c>
      <c r="J346" s="128">
        <v>0</v>
      </c>
      <c r="K346" s="128">
        <v>0</v>
      </c>
      <c r="L346" s="128">
        <v>0</v>
      </c>
      <c r="M346" s="128">
        <v>0</v>
      </c>
      <c r="N346" s="128">
        <v>0</v>
      </c>
      <c r="O346" s="128">
        <v>5.8</v>
      </c>
      <c r="P346" s="157"/>
      <c r="Q346" s="157"/>
    </row>
    <row r="347" spans="1:22">
      <c r="A347" s="235"/>
      <c r="B347" s="127" t="s">
        <v>210</v>
      </c>
      <c r="C347" s="128">
        <v>0</v>
      </c>
      <c r="D347" s="128">
        <v>0</v>
      </c>
      <c r="E347" s="128">
        <v>0</v>
      </c>
      <c r="F347" s="128">
        <v>0</v>
      </c>
      <c r="G347" s="128">
        <v>0</v>
      </c>
      <c r="H347" s="128">
        <v>0</v>
      </c>
      <c r="I347" s="128">
        <v>0</v>
      </c>
      <c r="J347" s="128">
        <v>0</v>
      </c>
      <c r="K347" s="128">
        <v>0</v>
      </c>
      <c r="L347" s="128">
        <v>0</v>
      </c>
      <c r="M347" s="128">
        <v>0</v>
      </c>
      <c r="N347" s="128">
        <v>0</v>
      </c>
      <c r="O347" s="128">
        <v>0</v>
      </c>
      <c r="P347" s="157"/>
      <c r="Q347" s="157"/>
    </row>
    <row r="348" spans="1:22">
      <c r="A348" s="235"/>
      <c r="B348" s="127" t="s">
        <v>19</v>
      </c>
      <c r="C348" s="128">
        <v>489</v>
      </c>
      <c r="D348" s="128">
        <v>0</v>
      </c>
      <c r="E348" s="128">
        <v>755.27</v>
      </c>
      <c r="F348" s="128">
        <v>0</v>
      </c>
      <c r="G348" s="128">
        <v>0</v>
      </c>
      <c r="H348" s="128">
        <v>51.587000000000003</v>
      </c>
      <c r="I348" s="128">
        <v>0</v>
      </c>
      <c r="J348" s="128">
        <v>138</v>
      </c>
      <c r="K348" s="128">
        <v>0</v>
      </c>
      <c r="L348" s="128">
        <v>2</v>
      </c>
      <c r="M348" s="128">
        <v>481.66699999999997</v>
      </c>
      <c r="N348" s="128">
        <v>5753.75</v>
      </c>
      <c r="O348" s="128">
        <v>7951.9669999999996</v>
      </c>
      <c r="P348" s="157"/>
      <c r="Q348" s="158"/>
    </row>
    <row r="349" spans="1:22">
      <c r="A349" s="235"/>
      <c r="B349" s="127" t="s">
        <v>171</v>
      </c>
      <c r="C349" s="128">
        <v>0</v>
      </c>
      <c r="D349" s="128">
        <v>0</v>
      </c>
      <c r="E349" s="128">
        <v>0</v>
      </c>
      <c r="F349" s="128">
        <v>0</v>
      </c>
      <c r="G349" s="128">
        <v>0</v>
      </c>
      <c r="H349" s="128">
        <v>0</v>
      </c>
      <c r="I349" s="128">
        <v>0</v>
      </c>
      <c r="J349" s="128">
        <v>0</v>
      </c>
      <c r="K349" s="128">
        <v>0</v>
      </c>
      <c r="L349" s="128">
        <v>0</v>
      </c>
      <c r="M349" s="128">
        <v>0</v>
      </c>
      <c r="N349" s="128">
        <v>0</v>
      </c>
      <c r="O349" s="128">
        <v>0</v>
      </c>
      <c r="P349" s="157"/>
      <c r="Q349" s="158"/>
    </row>
    <row r="350" spans="1:22">
      <c r="A350" s="235"/>
      <c r="B350" s="127" t="s">
        <v>85</v>
      </c>
      <c r="C350" s="128">
        <v>0</v>
      </c>
      <c r="D350" s="128">
        <v>0</v>
      </c>
      <c r="E350" s="128">
        <v>0</v>
      </c>
      <c r="F350" s="128">
        <v>0</v>
      </c>
      <c r="G350" s="128">
        <v>18.332999999999998</v>
      </c>
      <c r="H350" s="128">
        <v>0</v>
      </c>
      <c r="I350" s="128">
        <v>0</v>
      </c>
      <c r="J350" s="128">
        <v>6190</v>
      </c>
      <c r="K350" s="128">
        <v>0</v>
      </c>
      <c r="L350" s="128">
        <v>0</v>
      </c>
      <c r="M350" s="128">
        <v>0</v>
      </c>
      <c r="N350" s="128">
        <v>0</v>
      </c>
      <c r="O350" s="128">
        <v>0</v>
      </c>
      <c r="P350" s="157"/>
      <c r="Q350" s="165"/>
      <c r="R350" s="165"/>
      <c r="S350" s="165"/>
      <c r="T350" s="165"/>
      <c r="U350" s="165"/>
      <c r="V350" s="165"/>
    </row>
    <row r="351" spans="1:22">
      <c r="A351" s="235"/>
      <c r="B351" s="127" t="s">
        <v>72</v>
      </c>
      <c r="C351" s="128">
        <v>0</v>
      </c>
      <c r="D351" s="128">
        <v>0</v>
      </c>
      <c r="E351" s="128">
        <v>20.260000000000002</v>
      </c>
      <c r="F351" s="128">
        <v>0</v>
      </c>
      <c r="G351" s="128">
        <v>0</v>
      </c>
      <c r="H351" s="128">
        <v>4.1210000000000004</v>
      </c>
      <c r="I351" s="128">
        <v>0</v>
      </c>
      <c r="J351" s="128">
        <v>0</v>
      </c>
      <c r="K351" s="128">
        <v>0</v>
      </c>
      <c r="L351" s="128">
        <v>0</v>
      </c>
      <c r="M351" s="128">
        <v>0</v>
      </c>
      <c r="N351" s="128">
        <v>4387.5</v>
      </c>
      <c r="O351" s="128">
        <v>0</v>
      </c>
      <c r="P351" s="157"/>
      <c r="Q351" s="165"/>
      <c r="R351" s="165"/>
      <c r="S351" s="165"/>
      <c r="T351" s="165"/>
      <c r="U351" s="165"/>
      <c r="V351" s="165"/>
    </row>
    <row r="352" spans="1:22">
      <c r="A352" s="235"/>
      <c r="B352" s="127" t="s">
        <v>81</v>
      </c>
      <c r="C352" s="128">
        <v>0</v>
      </c>
      <c r="D352" s="128">
        <v>0</v>
      </c>
      <c r="E352" s="128">
        <v>29.28</v>
      </c>
      <c r="F352" s="128">
        <v>0</v>
      </c>
      <c r="G352" s="128">
        <v>0</v>
      </c>
      <c r="H352" s="128">
        <v>17.093</v>
      </c>
      <c r="I352" s="128">
        <v>0</v>
      </c>
      <c r="J352" s="128">
        <v>0</v>
      </c>
      <c r="K352" s="128">
        <v>0</v>
      </c>
      <c r="L352" s="128">
        <v>0</v>
      </c>
      <c r="M352" s="128">
        <v>6</v>
      </c>
      <c r="N352" s="128">
        <v>0</v>
      </c>
      <c r="O352" s="128">
        <v>5.5</v>
      </c>
      <c r="P352" s="157"/>
      <c r="Q352" s="165"/>
      <c r="R352" s="165"/>
      <c r="S352" s="165"/>
      <c r="T352" s="165"/>
      <c r="U352" s="165"/>
      <c r="V352" s="165"/>
    </row>
    <row r="353" spans="1:22">
      <c r="A353" s="235"/>
      <c r="B353" s="127" t="s">
        <v>86</v>
      </c>
      <c r="C353" s="128">
        <v>0</v>
      </c>
      <c r="D353" s="128">
        <v>0</v>
      </c>
      <c r="E353" s="128">
        <v>2.4500000000000002</v>
      </c>
      <c r="F353" s="128">
        <v>0</v>
      </c>
      <c r="G353" s="128">
        <v>0</v>
      </c>
      <c r="H353" s="128">
        <v>0</v>
      </c>
      <c r="I353" s="128">
        <v>0</v>
      </c>
      <c r="J353" s="128">
        <v>0</v>
      </c>
      <c r="K353" s="128">
        <v>0</v>
      </c>
      <c r="L353" s="128">
        <v>0</v>
      </c>
      <c r="M353" s="128">
        <v>0</v>
      </c>
      <c r="N353" s="128">
        <v>0</v>
      </c>
      <c r="O353" s="128">
        <v>0</v>
      </c>
      <c r="P353" s="157"/>
      <c r="Q353" s="165"/>
      <c r="R353" s="165"/>
      <c r="S353" s="165"/>
      <c r="T353" s="165"/>
      <c r="U353" s="165"/>
      <c r="V353" s="165"/>
    </row>
    <row r="354" spans="1:22">
      <c r="A354" s="235"/>
      <c r="B354" s="127" t="s">
        <v>78</v>
      </c>
      <c r="C354" s="128">
        <v>0</v>
      </c>
      <c r="D354" s="128">
        <v>0</v>
      </c>
      <c r="E354" s="128">
        <v>0</v>
      </c>
      <c r="F354" s="128">
        <v>0</v>
      </c>
      <c r="G354" s="128">
        <v>0</v>
      </c>
      <c r="H354" s="128">
        <v>0.44</v>
      </c>
      <c r="I354" s="128">
        <v>0</v>
      </c>
      <c r="J354" s="128">
        <v>0</v>
      </c>
      <c r="K354" s="128">
        <v>0.27500000000000002</v>
      </c>
      <c r="L354" s="128">
        <v>0</v>
      </c>
      <c r="M354" s="128">
        <v>0.17499999999999999</v>
      </c>
      <c r="N354" s="128">
        <v>0</v>
      </c>
      <c r="O354" s="128">
        <v>3.5</v>
      </c>
      <c r="P354" s="157"/>
      <c r="Q354" s="165"/>
      <c r="R354" s="165"/>
      <c r="S354" s="165"/>
      <c r="T354" s="165"/>
      <c r="U354" s="165"/>
      <c r="V354" s="165"/>
    </row>
    <row r="355" spans="1:22">
      <c r="A355" s="235"/>
      <c r="B355" s="127" t="s">
        <v>79</v>
      </c>
      <c r="C355" s="128">
        <v>0</v>
      </c>
      <c r="D355" s="128">
        <v>0</v>
      </c>
      <c r="E355" s="128">
        <v>0</v>
      </c>
      <c r="F355" s="128">
        <v>0</v>
      </c>
      <c r="G355" s="128">
        <v>0</v>
      </c>
      <c r="H355" s="128">
        <v>0</v>
      </c>
      <c r="I355" s="128">
        <v>0</v>
      </c>
      <c r="J355" s="128">
        <v>0</v>
      </c>
      <c r="K355" s="128">
        <v>0</v>
      </c>
      <c r="L355" s="128">
        <v>0</v>
      </c>
      <c r="M355" s="128">
        <v>0</v>
      </c>
      <c r="N355" s="128">
        <v>0</v>
      </c>
      <c r="O355" s="128">
        <v>0</v>
      </c>
      <c r="P355" s="158">
        <f>O357/C357-1</f>
        <v>-0.32789830354773541</v>
      </c>
      <c r="Q355" s="165"/>
      <c r="R355" s="165"/>
      <c r="S355" s="165"/>
      <c r="T355" s="165"/>
      <c r="U355" s="165"/>
      <c r="V355" s="165"/>
    </row>
    <row r="356" spans="1:22">
      <c r="A356" s="235"/>
      <c r="B356" s="127" t="s">
        <v>76</v>
      </c>
      <c r="C356" s="128">
        <v>2343.8330000000001</v>
      </c>
      <c r="D356" s="128">
        <v>854.25</v>
      </c>
      <c r="E356" s="128">
        <v>6969.8</v>
      </c>
      <c r="F356" s="128">
        <v>24880.207999999999</v>
      </c>
      <c r="G356" s="128">
        <v>110</v>
      </c>
      <c r="H356" s="128">
        <v>458.57299999999998</v>
      </c>
      <c r="I356" s="128">
        <v>850</v>
      </c>
      <c r="J356" s="128">
        <v>540.75</v>
      </c>
      <c r="K356" s="128">
        <v>66.5</v>
      </c>
      <c r="L356" s="128">
        <v>1200</v>
      </c>
      <c r="M356" s="128">
        <v>1179.3330000000001</v>
      </c>
      <c r="N356" s="128">
        <v>497.25</v>
      </c>
      <c r="O356" s="128">
        <v>325</v>
      </c>
      <c r="P356" s="157"/>
      <c r="Q356" s="165"/>
      <c r="R356" s="165"/>
      <c r="S356" s="165"/>
      <c r="T356" s="165"/>
      <c r="U356" s="165"/>
      <c r="V356" s="165"/>
    </row>
    <row r="357" spans="1:22">
      <c r="A357" s="234"/>
      <c r="B357" s="189" t="s">
        <v>0</v>
      </c>
      <c r="C357" s="191">
        <v>297914.89600000001</v>
      </c>
      <c r="D357" s="191">
        <v>315177.2</v>
      </c>
      <c r="E357" s="191">
        <v>442374.47399999999</v>
      </c>
      <c r="F357" s="191">
        <v>493380.6</v>
      </c>
      <c r="G357" s="191">
        <v>438728.549</v>
      </c>
      <c r="H357" s="191">
        <v>640069.17299999995</v>
      </c>
      <c r="I357" s="191">
        <v>464023.609</v>
      </c>
      <c r="J357" s="191">
        <v>416881.77399999998</v>
      </c>
      <c r="K357" s="191">
        <v>467854.8</v>
      </c>
      <c r="L357" s="191">
        <v>822619.554</v>
      </c>
      <c r="M357" s="191">
        <v>656612.53700000001</v>
      </c>
      <c r="N357" s="191">
        <v>356644.06800000003</v>
      </c>
      <c r="O357" s="191">
        <v>200229.10699999999</v>
      </c>
      <c r="P357" s="157"/>
      <c r="Q357" s="165"/>
      <c r="R357" s="165"/>
      <c r="S357" s="165"/>
      <c r="T357" s="165"/>
      <c r="U357" s="165"/>
      <c r="V357" s="165"/>
    </row>
    <row r="358" spans="1:22">
      <c r="A358" s="239" t="s">
        <v>75</v>
      </c>
      <c r="B358" s="127" t="s">
        <v>209</v>
      </c>
      <c r="C358" s="128">
        <v>0</v>
      </c>
      <c r="D358" s="128">
        <v>0</v>
      </c>
      <c r="E358" s="128">
        <v>0</v>
      </c>
      <c r="F358" s="128">
        <v>0</v>
      </c>
      <c r="G358" s="128">
        <v>0</v>
      </c>
      <c r="H358" s="128">
        <v>0</v>
      </c>
      <c r="I358" s="128">
        <v>0</v>
      </c>
      <c r="J358" s="128">
        <v>0</v>
      </c>
      <c r="K358" s="128">
        <v>0</v>
      </c>
      <c r="L358" s="128">
        <v>0</v>
      </c>
      <c r="M358" s="128">
        <v>0</v>
      </c>
      <c r="N358" s="128">
        <v>0</v>
      </c>
      <c r="O358" s="128">
        <v>0</v>
      </c>
      <c r="P358" s="157"/>
      <c r="Q358" s="165"/>
      <c r="R358" s="165"/>
      <c r="S358" s="165"/>
      <c r="T358" s="165"/>
      <c r="U358" s="165"/>
      <c r="V358" s="165"/>
    </row>
    <row r="359" spans="1:22">
      <c r="A359" s="235"/>
      <c r="B359" s="127" t="s">
        <v>73</v>
      </c>
      <c r="C359" s="128">
        <v>0</v>
      </c>
      <c r="D359" s="128">
        <v>0</v>
      </c>
      <c r="E359" s="128">
        <v>0</v>
      </c>
      <c r="F359" s="128">
        <v>0</v>
      </c>
      <c r="G359" s="128">
        <v>0</v>
      </c>
      <c r="H359" s="128">
        <v>0</v>
      </c>
      <c r="I359" s="128">
        <v>0</v>
      </c>
      <c r="J359" s="128">
        <v>0</v>
      </c>
      <c r="K359" s="128">
        <v>0</v>
      </c>
      <c r="L359" s="128">
        <v>0</v>
      </c>
      <c r="M359" s="128">
        <v>120</v>
      </c>
      <c r="N359" s="128">
        <v>0</v>
      </c>
      <c r="O359" s="128">
        <v>0</v>
      </c>
      <c r="P359" s="157"/>
      <c r="Q359" s="165"/>
      <c r="R359" s="165"/>
      <c r="S359" s="165"/>
      <c r="T359" s="165"/>
      <c r="U359" s="165"/>
      <c r="V359" s="165"/>
    </row>
    <row r="360" spans="1:22">
      <c r="A360" s="235"/>
      <c r="B360" s="127" t="s">
        <v>23</v>
      </c>
      <c r="C360" s="128">
        <v>0</v>
      </c>
      <c r="D360" s="128">
        <v>1365.3</v>
      </c>
      <c r="E360" s="128">
        <v>3894.75</v>
      </c>
      <c r="F360" s="128">
        <v>3825.5839999999998</v>
      </c>
      <c r="G360" s="128">
        <v>1455.4469999999999</v>
      </c>
      <c r="H360" s="128">
        <v>2701.1750000000002</v>
      </c>
      <c r="I360" s="128">
        <v>217.3</v>
      </c>
      <c r="J360" s="128">
        <v>8987.6</v>
      </c>
      <c r="K360" s="128">
        <v>690.8</v>
      </c>
      <c r="L360" s="128">
        <v>0</v>
      </c>
      <c r="M360" s="128">
        <v>7.65</v>
      </c>
      <c r="N360" s="128">
        <v>139.28299999999999</v>
      </c>
      <c r="O360" s="128">
        <v>2.5000000000000001E-2</v>
      </c>
      <c r="P360" s="157"/>
      <c r="Q360" s="165"/>
      <c r="R360" s="165"/>
      <c r="S360" s="165"/>
      <c r="T360" s="165"/>
      <c r="U360" s="165"/>
      <c r="V360" s="165"/>
    </row>
    <row r="361" spans="1:22">
      <c r="A361" s="235"/>
      <c r="B361" s="127" t="s">
        <v>80</v>
      </c>
      <c r="C361" s="128">
        <v>1088.4359999999999</v>
      </c>
      <c r="D361" s="128">
        <v>1965.856</v>
      </c>
      <c r="E361" s="128">
        <v>2542.4380000000001</v>
      </c>
      <c r="F361" s="128">
        <v>1938.558</v>
      </c>
      <c r="G361" s="128">
        <v>847.53599999999994</v>
      </c>
      <c r="H361" s="128">
        <v>1318.671</v>
      </c>
      <c r="I361" s="128">
        <v>32.625</v>
      </c>
      <c r="J361" s="128">
        <v>840.12099999999998</v>
      </c>
      <c r="K361" s="128">
        <v>17.097000000000001</v>
      </c>
      <c r="L361" s="128">
        <v>18.25</v>
      </c>
      <c r="M361" s="128">
        <v>352.702</v>
      </c>
      <c r="N361" s="128">
        <v>1314.1389999999999</v>
      </c>
      <c r="O361" s="128">
        <v>893.82399999999996</v>
      </c>
      <c r="P361" s="157"/>
      <c r="Q361" s="165"/>
      <c r="R361" s="165"/>
      <c r="S361" s="165"/>
      <c r="T361" s="165"/>
      <c r="U361" s="165"/>
      <c r="V361" s="165"/>
    </row>
    <row r="362" spans="1:22">
      <c r="A362" s="235"/>
      <c r="B362" s="127" t="s">
        <v>74</v>
      </c>
      <c r="C362" s="128">
        <v>7774.2160000000003</v>
      </c>
      <c r="D362" s="128">
        <v>1115.75</v>
      </c>
      <c r="E362" s="128">
        <v>2546.0500000000002</v>
      </c>
      <c r="F362" s="128">
        <v>3493.634</v>
      </c>
      <c r="G362" s="128">
        <v>2673.65</v>
      </c>
      <c r="H362" s="128">
        <v>11020.95</v>
      </c>
      <c r="I362" s="128">
        <v>20239.797999999999</v>
      </c>
      <c r="J362" s="128">
        <v>13384.6</v>
      </c>
      <c r="K362" s="128">
        <v>14398.216</v>
      </c>
      <c r="L362" s="128">
        <v>2875.8339999999998</v>
      </c>
      <c r="M362" s="128">
        <v>1714.424</v>
      </c>
      <c r="N362" s="128">
        <v>2159.3330000000001</v>
      </c>
      <c r="O362" s="128">
        <v>5583.5</v>
      </c>
      <c r="P362" s="157"/>
      <c r="Q362" s="165"/>
      <c r="R362" s="165"/>
      <c r="S362" s="165"/>
      <c r="T362" s="165"/>
      <c r="U362" s="165"/>
      <c r="V362" s="165"/>
    </row>
    <row r="363" spans="1:22">
      <c r="A363" s="235"/>
      <c r="B363" s="127" t="s">
        <v>83</v>
      </c>
      <c r="C363" s="128">
        <v>0</v>
      </c>
      <c r="D363" s="128">
        <v>0</v>
      </c>
      <c r="E363" s="128">
        <v>0</v>
      </c>
      <c r="F363" s="128">
        <v>0</v>
      </c>
      <c r="G363" s="128">
        <v>0</v>
      </c>
      <c r="H363" s="128">
        <v>0</v>
      </c>
      <c r="I363" s="128">
        <v>0</v>
      </c>
      <c r="J363" s="128">
        <v>0</v>
      </c>
      <c r="K363" s="128">
        <v>0</v>
      </c>
      <c r="L363" s="128">
        <v>0</v>
      </c>
      <c r="M363" s="128">
        <v>30.225000000000001</v>
      </c>
      <c r="N363" s="128">
        <v>42.7</v>
      </c>
      <c r="O363" s="128">
        <v>0</v>
      </c>
      <c r="P363" s="157"/>
      <c r="Q363" s="165"/>
      <c r="R363" s="165"/>
      <c r="S363" s="165"/>
      <c r="T363" s="165"/>
      <c r="U363" s="165"/>
      <c r="V363" s="165"/>
    </row>
    <row r="364" spans="1:22">
      <c r="A364" s="235"/>
      <c r="B364" s="127" t="s">
        <v>77</v>
      </c>
      <c r="C364" s="128">
        <v>23862.542000000001</v>
      </c>
      <c r="D364" s="128">
        <v>17546.748</v>
      </c>
      <c r="E364" s="128">
        <v>38321.057000000001</v>
      </c>
      <c r="F364" s="128">
        <v>57683.41</v>
      </c>
      <c r="G364" s="128">
        <v>51036.108999999997</v>
      </c>
      <c r="H364" s="128">
        <v>38607.135999999999</v>
      </c>
      <c r="I364" s="128">
        <v>17134.645</v>
      </c>
      <c r="J364" s="128">
        <v>29817.697</v>
      </c>
      <c r="K364" s="128">
        <v>16272.343999999999</v>
      </c>
      <c r="L364" s="128">
        <v>5190.7349999999997</v>
      </c>
      <c r="M364" s="128">
        <v>21109.850999999999</v>
      </c>
      <c r="N364" s="128">
        <v>10600.206</v>
      </c>
      <c r="O364" s="128">
        <v>15107.638999999999</v>
      </c>
      <c r="P364" s="157"/>
      <c r="Q364" s="165"/>
      <c r="R364" s="165"/>
      <c r="S364" s="165"/>
      <c r="T364" s="165"/>
      <c r="U364" s="165"/>
      <c r="V364" s="165"/>
    </row>
    <row r="365" spans="1:22">
      <c r="A365" s="235"/>
      <c r="B365" s="127" t="s">
        <v>210</v>
      </c>
      <c r="C365" s="128">
        <v>0</v>
      </c>
      <c r="D365" s="128">
        <v>42.920999999999999</v>
      </c>
      <c r="E365" s="128">
        <v>23.96</v>
      </c>
      <c r="F365" s="128">
        <v>21.622</v>
      </c>
      <c r="G365" s="128">
        <v>0</v>
      </c>
      <c r="H365" s="128">
        <v>152.154</v>
      </c>
      <c r="I365" s="128">
        <v>85.46</v>
      </c>
      <c r="J365" s="128">
        <v>414.49799999999999</v>
      </c>
      <c r="K365" s="128">
        <v>4.125</v>
      </c>
      <c r="L365" s="128">
        <v>14.95</v>
      </c>
      <c r="M365" s="128">
        <v>639.66700000000003</v>
      </c>
      <c r="N365" s="128">
        <v>1319.4960000000001</v>
      </c>
      <c r="O365" s="128">
        <v>943.077</v>
      </c>
      <c r="P365" s="157"/>
      <c r="Q365" s="165"/>
      <c r="R365" s="165"/>
      <c r="S365" s="165"/>
      <c r="T365" s="165"/>
      <c r="U365" s="165"/>
      <c r="V365" s="165"/>
    </row>
    <row r="366" spans="1:22">
      <c r="A366" s="235"/>
      <c r="B366" s="127" t="s">
        <v>19</v>
      </c>
      <c r="C366" s="128">
        <v>712.31700000000001</v>
      </c>
      <c r="D366" s="128">
        <v>365.18</v>
      </c>
      <c r="E366" s="128">
        <v>1415.2339999999999</v>
      </c>
      <c r="F366" s="128">
        <v>183.179</v>
      </c>
      <c r="G366" s="128">
        <v>614.29399999999998</v>
      </c>
      <c r="H366" s="128">
        <v>562.18100000000004</v>
      </c>
      <c r="I366" s="128">
        <v>119.363</v>
      </c>
      <c r="J366" s="128">
        <v>524.98400000000004</v>
      </c>
      <c r="K366" s="128">
        <v>735.99199999999996</v>
      </c>
      <c r="L366" s="128">
        <v>42.469000000000001</v>
      </c>
      <c r="M366" s="128">
        <v>65.772999999999996</v>
      </c>
      <c r="N366" s="128">
        <v>2249.5949999999998</v>
      </c>
      <c r="O366" s="128">
        <v>2043.925</v>
      </c>
      <c r="P366" s="157"/>
      <c r="Q366" s="165"/>
      <c r="R366" s="165"/>
      <c r="S366" s="165"/>
      <c r="T366" s="165"/>
      <c r="U366" s="165"/>
      <c r="V366" s="165"/>
    </row>
    <row r="367" spans="1:22">
      <c r="A367" s="235"/>
      <c r="B367" s="127" t="s">
        <v>171</v>
      </c>
      <c r="C367" s="128">
        <v>0</v>
      </c>
      <c r="D367" s="128">
        <v>0</v>
      </c>
      <c r="E367" s="128">
        <v>0</v>
      </c>
      <c r="F367" s="128">
        <v>0</v>
      </c>
      <c r="G367" s="128">
        <v>0</v>
      </c>
      <c r="H367" s="128">
        <v>0</v>
      </c>
      <c r="I367" s="128">
        <v>0</v>
      </c>
      <c r="J367" s="128">
        <v>0</v>
      </c>
      <c r="K367" s="128">
        <v>0</v>
      </c>
      <c r="L367" s="128">
        <v>0</v>
      </c>
      <c r="M367" s="128">
        <v>0</v>
      </c>
      <c r="N367" s="128">
        <v>0</v>
      </c>
      <c r="O367" s="128">
        <v>0</v>
      </c>
      <c r="P367" s="157"/>
      <c r="Q367" s="165"/>
      <c r="R367" s="165"/>
      <c r="S367" s="165"/>
      <c r="T367" s="165"/>
      <c r="U367" s="165"/>
      <c r="V367" s="165"/>
    </row>
    <row r="368" spans="1:22">
      <c r="A368" s="235"/>
      <c r="B368" s="127" t="s">
        <v>85</v>
      </c>
      <c r="C368" s="128">
        <v>0</v>
      </c>
      <c r="D368" s="128">
        <v>0</v>
      </c>
      <c r="E368" s="128">
        <v>0</v>
      </c>
      <c r="F368" s="128">
        <v>0</v>
      </c>
      <c r="G368" s="128">
        <v>0</v>
      </c>
      <c r="H368" s="128">
        <v>0</v>
      </c>
      <c r="I368" s="128">
        <v>0</v>
      </c>
      <c r="J368" s="128">
        <v>0</v>
      </c>
      <c r="K368" s="128">
        <v>0</v>
      </c>
      <c r="L368" s="128">
        <v>0</v>
      </c>
      <c r="M368" s="128">
        <v>0</v>
      </c>
      <c r="N368" s="128">
        <v>0</v>
      </c>
      <c r="O368" s="128">
        <v>0</v>
      </c>
      <c r="P368" s="157"/>
      <c r="Q368" s="165"/>
      <c r="R368" s="165"/>
      <c r="S368" s="165"/>
      <c r="T368" s="165"/>
      <c r="U368" s="165"/>
      <c r="V368" s="165"/>
    </row>
    <row r="369" spans="1:17">
      <c r="A369" s="235"/>
      <c r="B369" s="127" t="s">
        <v>72</v>
      </c>
      <c r="C369" s="128">
        <v>0</v>
      </c>
      <c r="D369" s="128">
        <v>0</v>
      </c>
      <c r="E369" s="128">
        <v>0</v>
      </c>
      <c r="F369" s="128">
        <v>0</v>
      </c>
      <c r="G369" s="128">
        <v>0</v>
      </c>
      <c r="H369" s="128">
        <v>0</v>
      </c>
      <c r="I369" s="128">
        <v>0</v>
      </c>
      <c r="J369" s="128">
        <v>0</v>
      </c>
      <c r="K369" s="128">
        <v>0</v>
      </c>
      <c r="L369" s="128">
        <v>0</v>
      </c>
      <c r="M369" s="128">
        <v>0</v>
      </c>
      <c r="N369" s="128">
        <v>0</v>
      </c>
      <c r="O369" s="128">
        <v>0</v>
      </c>
      <c r="P369" s="157"/>
    </row>
    <row r="370" spans="1:17">
      <c r="A370" s="235"/>
      <c r="B370" s="127" t="s">
        <v>81</v>
      </c>
      <c r="C370" s="128">
        <v>490.61900000000003</v>
      </c>
      <c r="D370" s="128">
        <v>598.42600000000004</v>
      </c>
      <c r="E370" s="128">
        <v>669.4</v>
      </c>
      <c r="F370" s="128">
        <v>1386.989</v>
      </c>
      <c r="G370" s="128">
        <v>1121.5920000000001</v>
      </c>
      <c r="H370" s="128">
        <v>696.14200000000005</v>
      </c>
      <c r="I370" s="128">
        <v>21.475000000000001</v>
      </c>
      <c r="J370" s="128">
        <v>673.13300000000004</v>
      </c>
      <c r="K370" s="128">
        <v>10.464</v>
      </c>
      <c r="L370" s="128">
        <v>0</v>
      </c>
      <c r="M370" s="128">
        <v>274.47500000000002</v>
      </c>
      <c r="N370" s="128">
        <v>1254.827</v>
      </c>
      <c r="O370" s="128">
        <v>1793.0419999999999</v>
      </c>
      <c r="P370" s="157"/>
    </row>
    <row r="371" spans="1:17">
      <c r="A371" s="235"/>
      <c r="B371" s="127" t="s">
        <v>86</v>
      </c>
      <c r="C371" s="128">
        <v>78.733000000000004</v>
      </c>
      <c r="D371" s="128">
        <v>91.48</v>
      </c>
      <c r="E371" s="128">
        <v>168.80799999999999</v>
      </c>
      <c r="F371" s="128">
        <v>378.25400000000002</v>
      </c>
      <c r="G371" s="128">
        <v>0</v>
      </c>
      <c r="H371" s="128">
        <v>6.06</v>
      </c>
      <c r="I371" s="128">
        <v>0</v>
      </c>
      <c r="J371" s="128">
        <v>0</v>
      </c>
      <c r="K371" s="128">
        <v>0</v>
      </c>
      <c r="L371" s="128">
        <v>0</v>
      </c>
      <c r="M371" s="128">
        <v>0</v>
      </c>
      <c r="N371" s="128">
        <v>0</v>
      </c>
      <c r="O371" s="128">
        <v>0</v>
      </c>
      <c r="P371" s="158">
        <f>O375/C375-1</f>
        <v>0.96469745052841005</v>
      </c>
      <c r="Q371" s="158">
        <f>(O357+O375)/(C375+C357)-1</f>
        <v>-0.12778316055301464</v>
      </c>
    </row>
    <row r="372" spans="1:17">
      <c r="A372" s="235"/>
      <c r="B372" s="127" t="s">
        <v>78</v>
      </c>
      <c r="C372" s="128">
        <v>8387.5049999999992</v>
      </c>
      <c r="D372" s="128">
        <v>11010.724</v>
      </c>
      <c r="E372" s="128">
        <v>10833.011</v>
      </c>
      <c r="F372" s="128">
        <v>4597.1080000000002</v>
      </c>
      <c r="G372" s="128">
        <v>4121.2039999999997</v>
      </c>
      <c r="H372" s="128">
        <v>6669.0439999999999</v>
      </c>
      <c r="I372" s="128">
        <v>4289.0709999999999</v>
      </c>
      <c r="J372" s="128">
        <v>580.30200000000002</v>
      </c>
      <c r="K372" s="128">
        <v>297.23099999999999</v>
      </c>
      <c r="L372" s="128">
        <v>1129.2550000000001</v>
      </c>
      <c r="M372" s="128">
        <v>38619.468999999997</v>
      </c>
      <c r="N372" s="128">
        <v>36877.692000000003</v>
      </c>
      <c r="O372" s="128">
        <v>51981.506999999998</v>
      </c>
      <c r="P372" s="157"/>
    </row>
    <row r="373" spans="1:17">
      <c r="A373" s="235"/>
      <c r="B373" s="127" t="s">
        <v>79</v>
      </c>
      <c r="C373" s="128">
        <v>12018.695</v>
      </c>
      <c r="D373" s="128">
        <v>10891.841</v>
      </c>
      <c r="E373" s="128">
        <v>5665.9579999999996</v>
      </c>
      <c r="F373" s="128">
        <v>13777.802</v>
      </c>
      <c r="G373" s="128">
        <v>8695.57</v>
      </c>
      <c r="H373" s="128">
        <v>685.92</v>
      </c>
      <c r="I373" s="128">
        <v>0</v>
      </c>
      <c r="J373" s="128">
        <v>12.4</v>
      </c>
      <c r="K373" s="128">
        <v>102.47499999999999</v>
      </c>
      <c r="L373" s="128">
        <v>151.67500000000001</v>
      </c>
      <c r="M373" s="128">
        <v>2600.2660000000001</v>
      </c>
      <c r="N373" s="128">
        <v>15191.608</v>
      </c>
      <c r="O373" s="128">
        <v>25605.382000000001</v>
      </c>
      <c r="P373" s="157"/>
    </row>
    <row r="374" spans="1:17">
      <c r="A374" s="235"/>
      <c r="B374" s="127" t="s">
        <v>76</v>
      </c>
      <c r="C374" s="128">
        <v>157.5</v>
      </c>
      <c r="D374" s="128">
        <v>0</v>
      </c>
      <c r="E374" s="128">
        <v>1978.1659999999999</v>
      </c>
      <c r="F374" s="128">
        <v>0</v>
      </c>
      <c r="G374" s="128">
        <v>996.77499999999998</v>
      </c>
      <c r="H374" s="128">
        <v>3929.3</v>
      </c>
      <c r="I374" s="128">
        <v>3606.1</v>
      </c>
      <c r="J374" s="128">
        <v>4997.3999999999996</v>
      </c>
      <c r="K374" s="128">
        <v>649.82500000000005</v>
      </c>
      <c r="L374" s="128">
        <v>0</v>
      </c>
      <c r="M374" s="128">
        <v>1116.925</v>
      </c>
      <c r="N374" s="128">
        <v>147.36600000000001</v>
      </c>
      <c r="O374" s="128">
        <v>3262.7249999999999</v>
      </c>
      <c r="P374" s="157"/>
    </row>
    <row r="375" spans="1:17">
      <c r="A375" s="234"/>
      <c r="B375" s="189" t="s">
        <v>0</v>
      </c>
      <c r="C375" s="191">
        <v>54570.563000000002</v>
      </c>
      <c r="D375" s="191">
        <v>44994.226000000002</v>
      </c>
      <c r="E375" s="191">
        <v>68058.831999999995</v>
      </c>
      <c r="F375" s="191">
        <v>87286.14</v>
      </c>
      <c r="G375" s="191">
        <v>71562.176999999996</v>
      </c>
      <c r="H375" s="191">
        <v>66348.732999999993</v>
      </c>
      <c r="I375" s="191">
        <v>45745.837</v>
      </c>
      <c r="J375" s="191">
        <v>60232.735000000001</v>
      </c>
      <c r="K375" s="191">
        <v>33178.569000000003</v>
      </c>
      <c r="L375" s="191">
        <v>9423.1679999999997</v>
      </c>
      <c r="M375" s="191">
        <v>66651.426999999996</v>
      </c>
      <c r="N375" s="191">
        <v>71296.244999999995</v>
      </c>
      <c r="O375" s="191">
        <v>107214.64599999999</v>
      </c>
      <c r="P375" s="157"/>
    </row>
    <row r="376" spans="1:17">
      <c r="A376" s="165"/>
      <c r="B376" s="165"/>
      <c r="C376" s="165"/>
      <c r="D376" s="165"/>
      <c r="E376" s="165"/>
      <c r="F376" s="165"/>
      <c r="G376" s="165"/>
      <c r="H376" s="165"/>
      <c r="I376" s="165"/>
      <c r="J376" s="165"/>
      <c r="K376" s="165"/>
      <c r="L376" s="165"/>
      <c r="M376" s="165"/>
      <c r="N376" s="165"/>
      <c r="P376" s="157"/>
    </row>
    <row r="377" spans="1:17">
      <c r="A377" s="165"/>
      <c r="B377" s="165"/>
      <c r="C377" s="165"/>
      <c r="D377" s="165"/>
      <c r="E377" s="165"/>
      <c r="F377" s="165"/>
      <c r="G377" s="165"/>
      <c r="H377" s="165"/>
      <c r="I377" s="165"/>
      <c r="J377" s="165"/>
      <c r="K377" s="165"/>
      <c r="L377" s="165"/>
      <c r="M377" s="165"/>
      <c r="N377" s="165"/>
    </row>
    <row r="378" spans="1:17">
      <c r="A378" s="165"/>
      <c r="B378" s="165"/>
      <c r="C378" s="165"/>
      <c r="D378" s="165"/>
      <c r="E378" s="165"/>
      <c r="F378" s="165"/>
      <c r="G378" s="165"/>
      <c r="H378" s="165"/>
      <c r="I378" s="165"/>
      <c r="J378" s="165"/>
      <c r="K378" s="165"/>
      <c r="L378" s="165"/>
      <c r="M378" s="165"/>
      <c r="N378" s="165"/>
    </row>
    <row r="379" spans="1:17">
      <c r="A379" s="85"/>
    </row>
    <row r="380" spans="1:17">
      <c r="A380" s="85"/>
    </row>
    <row r="381" spans="1:17">
      <c r="A381" s="85"/>
    </row>
    <row r="382" spans="1:17">
      <c r="A382" s="85"/>
    </row>
    <row r="383" spans="1:17">
      <c r="A383" s="85"/>
    </row>
    <row r="384" spans="1:17">
      <c r="A384" s="85"/>
    </row>
    <row r="385" spans="1:15">
      <c r="A385" s="85"/>
    </row>
    <row r="386" spans="1:15">
      <c r="A386" s="85"/>
    </row>
    <row r="387" spans="1:15">
      <c r="A387" s="85"/>
    </row>
    <row r="388" spans="1:15">
      <c r="A388" s="85"/>
    </row>
    <row r="389" spans="1:15">
      <c r="A389" s="85" t="s">
        <v>206</v>
      </c>
    </row>
    <row r="390" spans="1:15">
      <c r="B390" s="144" t="str">
        <f>MID(B391,6,1)</f>
        <v>M</v>
      </c>
      <c r="C390" s="144" t="str">
        <f t="shared" ref="C390:N390" si="12">MID(C391,6,1)</f>
        <v>J</v>
      </c>
      <c r="D390" s="144" t="str">
        <f t="shared" si="12"/>
        <v>J</v>
      </c>
      <c r="E390" s="144" t="str">
        <f t="shared" si="12"/>
        <v>A</v>
      </c>
      <c r="F390" s="144" t="str">
        <f t="shared" si="12"/>
        <v>S</v>
      </c>
      <c r="G390" s="144" t="str">
        <f t="shared" si="12"/>
        <v>O</v>
      </c>
      <c r="H390" s="144" t="str">
        <f t="shared" si="12"/>
        <v>N</v>
      </c>
      <c r="I390" s="144" t="str">
        <f t="shared" si="12"/>
        <v>D</v>
      </c>
      <c r="J390" s="144" t="str">
        <f t="shared" si="12"/>
        <v>E</v>
      </c>
      <c r="K390" s="144" t="str">
        <f t="shared" si="12"/>
        <v>F</v>
      </c>
      <c r="L390" s="144" t="str">
        <f t="shared" si="12"/>
        <v>M</v>
      </c>
      <c r="M390" s="144" t="str">
        <f t="shared" si="12"/>
        <v>A</v>
      </c>
      <c r="N390" s="144" t="str">
        <f t="shared" si="12"/>
        <v>M</v>
      </c>
    </row>
    <row r="391" spans="1:15">
      <c r="A391" s="125" t="s">
        <v>87</v>
      </c>
      <c r="B391" s="147" t="s">
        <v>211</v>
      </c>
      <c r="C391" s="147" t="s">
        <v>213</v>
      </c>
      <c r="D391" s="147" t="s">
        <v>215</v>
      </c>
      <c r="E391" s="147" t="s">
        <v>217</v>
      </c>
      <c r="F391" s="147" t="s">
        <v>219</v>
      </c>
      <c r="G391" s="147" t="s">
        <v>223</v>
      </c>
      <c r="H391" s="147" t="s">
        <v>226</v>
      </c>
      <c r="I391" s="147" t="s">
        <v>228</v>
      </c>
      <c r="J391" s="147" t="s">
        <v>232</v>
      </c>
      <c r="K391" s="147" t="s">
        <v>235</v>
      </c>
      <c r="L391" s="147" t="s">
        <v>238</v>
      </c>
      <c r="M391" s="147" t="s">
        <v>248</v>
      </c>
      <c r="N391" s="147" t="s">
        <v>283</v>
      </c>
    </row>
    <row r="392" spans="1:15">
      <c r="A392" s="125" t="s">
        <v>27</v>
      </c>
      <c r="B392" s="145"/>
      <c r="C392" s="145"/>
      <c r="D392" s="145"/>
      <c r="E392" s="145"/>
      <c r="F392" s="145"/>
      <c r="G392" s="145"/>
      <c r="H392" s="145"/>
      <c r="I392" s="145"/>
      <c r="J392" s="145"/>
      <c r="K392" s="145"/>
      <c r="L392" s="145"/>
      <c r="M392" s="145"/>
      <c r="N392" s="145"/>
    </row>
    <row r="393" spans="1:15">
      <c r="A393" s="127" t="s">
        <v>161</v>
      </c>
      <c r="B393" s="192">
        <v>40829.029000000002</v>
      </c>
      <c r="C393" s="192">
        <v>25415.793000000001</v>
      </c>
      <c r="D393" s="192">
        <v>21564.28</v>
      </c>
      <c r="E393" s="192">
        <v>22923.624</v>
      </c>
      <c r="F393" s="192">
        <v>30495.718000000001</v>
      </c>
      <c r="G393" s="192">
        <v>56182.945</v>
      </c>
      <c r="H393" s="192">
        <v>56797.224999999999</v>
      </c>
      <c r="I393" s="192">
        <v>41067.438999999998</v>
      </c>
      <c r="J393" s="192">
        <v>70956.782000000007</v>
      </c>
      <c r="K393" s="192">
        <v>61245.858</v>
      </c>
      <c r="L393" s="192">
        <v>99891.236000000004</v>
      </c>
      <c r="M393" s="192">
        <v>93450.634999999995</v>
      </c>
      <c r="N393" s="192">
        <v>97291.297000000006</v>
      </c>
      <c r="O393" s="63"/>
    </row>
    <row r="394" spans="1:15">
      <c r="A394" s="127" t="s">
        <v>162</v>
      </c>
      <c r="B394" s="192">
        <v>49598.798000000003</v>
      </c>
      <c r="C394" s="192">
        <v>52468.745000000003</v>
      </c>
      <c r="D394" s="192">
        <v>56804.675000000003</v>
      </c>
      <c r="E394" s="192">
        <v>50694.324000000001</v>
      </c>
      <c r="F394" s="192">
        <v>45030.47</v>
      </c>
      <c r="G394" s="192">
        <v>46979.968999999997</v>
      </c>
      <c r="H394" s="192">
        <v>40854.091</v>
      </c>
      <c r="I394" s="192">
        <v>49099.819000000003</v>
      </c>
      <c r="J394" s="192">
        <v>48783.938000000002</v>
      </c>
      <c r="K394" s="192">
        <v>32668.483</v>
      </c>
      <c r="L394" s="192">
        <v>28032.678</v>
      </c>
      <c r="M394" s="192">
        <v>26740.23</v>
      </c>
      <c r="N394" s="192">
        <v>26569.347000000002</v>
      </c>
      <c r="O394" s="63"/>
    </row>
    <row r="395" spans="1:15">
      <c r="A395" s="150" t="s">
        <v>160</v>
      </c>
      <c r="B395" s="153">
        <f t="shared" ref="B395:N395" si="13">SUM(B393:B394)</f>
        <v>90427.827000000005</v>
      </c>
      <c r="C395" s="153">
        <f t="shared" si="13"/>
        <v>77884.538</v>
      </c>
      <c r="D395" s="153">
        <f t="shared" si="13"/>
        <v>78368.955000000002</v>
      </c>
      <c r="E395" s="153">
        <f t="shared" si="13"/>
        <v>73617.948000000004</v>
      </c>
      <c r="F395" s="153">
        <f t="shared" si="13"/>
        <v>75526.187999999995</v>
      </c>
      <c r="G395" s="153">
        <f t="shared" si="13"/>
        <v>103162.91399999999</v>
      </c>
      <c r="H395" s="153">
        <f t="shared" si="13"/>
        <v>97651.315999999992</v>
      </c>
      <c r="I395" s="153">
        <f t="shared" si="13"/>
        <v>90167.258000000002</v>
      </c>
      <c r="J395" s="153">
        <f t="shared" si="13"/>
        <v>119740.72</v>
      </c>
      <c r="K395" s="153">
        <f t="shared" si="13"/>
        <v>93914.341</v>
      </c>
      <c r="L395" s="153">
        <f t="shared" si="13"/>
        <v>127923.914</v>
      </c>
      <c r="M395" s="153">
        <f t="shared" si="13"/>
        <v>120190.86499999999</v>
      </c>
      <c r="N395" s="153">
        <f t="shared" si="13"/>
        <v>123860.644</v>
      </c>
    </row>
    <row r="396" spans="1:15">
      <c r="A396" s="127"/>
    </row>
    <row r="397" spans="1:15">
      <c r="A397" s="127"/>
    </row>
    <row r="398" spans="1:15">
      <c r="A398" s="85" t="s">
        <v>165</v>
      </c>
    </row>
    <row r="399" spans="1:15">
      <c r="A399" s="85" t="s">
        <v>166</v>
      </c>
    </row>
    <row r="400" spans="1:15">
      <c r="A400" s="125"/>
      <c r="B400" s="125" t="s">
        <v>27</v>
      </c>
      <c r="C400" s="219" t="s">
        <v>236</v>
      </c>
      <c r="D400" s="220"/>
      <c r="E400" s="220"/>
      <c r="F400" s="220"/>
      <c r="G400" s="220"/>
      <c r="H400" s="220"/>
      <c r="I400" s="220"/>
      <c r="J400" s="220"/>
      <c r="K400" s="220"/>
      <c r="L400" s="220"/>
      <c r="M400" s="220"/>
      <c r="N400" s="220"/>
      <c r="O400" s="220"/>
    </row>
    <row r="401" spans="1:18">
      <c r="A401" s="125"/>
      <c r="B401" s="125" t="s">
        <v>87</v>
      </c>
      <c r="C401" s="147" t="s">
        <v>211</v>
      </c>
      <c r="D401" s="147" t="s">
        <v>213</v>
      </c>
      <c r="E401" s="147" t="s">
        <v>215</v>
      </c>
      <c r="F401" s="147" t="s">
        <v>217</v>
      </c>
      <c r="G401" s="147" t="s">
        <v>219</v>
      </c>
      <c r="H401" s="147" t="s">
        <v>223</v>
      </c>
      <c r="I401" s="147" t="s">
        <v>226</v>
      </c>
      <c r="J401" s="147" t="s">
        <v>228</v>
      </c>
      <c r="K401" s="147" t="s">
        <v>232</v>
      </c>
      <c r="L401" s="147" t="s">
        <v>235</v>
      </c>
      <c r="M401" s="147" t="s">
        <v>238</v>
      </c>
      <c r="N401" s="147" t="s">
        <v>248</v>
      </c>
      <c r="O401" s="147" t="s">
        <v>283</v>
      </c>
    </row>
    <row r="402" spans="1:18">
      <c r="A402" s="125" t="s">
        <v>120</v>
      </c>
      <c r="B402" s="125" t="s">
        <v>193</v>
      </c>
      <c r="C402" s="145"/>
      <c r="D402" s="145"/>
      <c r="E402" s="145"/>
      <c r="F402" s="145"/>
      <c r="G402" s="145"/>
      <c r="H402" s="145"/>
      <c r="I402" s="145"/>
      <c r="J402" s="145"/>
      <c r="K402" s="145"/>
      <c r="L402" s="145"/>
      <c r="M402" s="145"/>
      <c r="N402" s="145"/>
      <c r="O402" s="145"/>
    </row>
    <row r="403" spans="1:18">
      <c r="A403" s="233" t="s">
        <v>71</v>
      </c>
      <c r="B403" s="127" t="s">
        <v>126</v>
      </c>
      <c r="C403" s="192">
        <v>114.750116874</v>
      </c>
      <c r="D403" s="192">
        <v>119.53299055479999</v>
      </c>
      <c r="E403" s="192">
        <v>142.29953853699999</v>
      </c>
      <c r="F403" s="192">
        <v>169.8250358736</v>
      </c>
      <c r="G403" s="192">
        <v>155.87385113639999</v>
      </c>
      <c r="H403" s="192">
        <v>156.48894517759999</v>
      </c>
      <c r="I403" s="192">
        <v>180.21856425760001</v>
      </c>
      <c r="J403" s="192">
        <v>189.98390589690001</v>
      </c>
      <c r="K403" s="192">
        <v>194.01727648470001</v>
      </c>
      <c r="L403" s="192">
        <v>191.6424222304</v>
      </c>
      <c r="M403" s="192">
        <v>147.56577655929999</v>
      </c>
      <c r="N403" s="192">
        <v>143.7360433998</v>
      </c>
      <c r="O403" s="192">
        <v>154.99768451989999</v>
      </c>
      <c r="P403" s="159">
        <f>O403/C403-1</f>
        <v>0.3507409730143749</v>
      </c>
    </row>
    <row r="404" spans="1:18">
      <c r="A404" s="234"/>
      <c r="B404" s="127" t="s">
        <v>130</v>
      </c>
      <c r="C404" s="192">
        <v>240.31007922480001</v>
      </c>
      <c r="D404" s="192">
        <v>243.8197242377</v>
      </c>
      <c r="E404" s="192">
        <v>225.28143922699999</v>
      </c>
      <c r="F404" s="192">
        <v>235.40917235090001</v>
      </c>
      <c r="G404" s="192">
        <v>250.48584114369999</v>
      </c>
      <c r="H404" s="192">
        <v>255.80172168359999</v>
      </c>
      <c r="I404" s="192">
        <v>282.72443626889998</v>
      </c>
      <c r="J404" s="192">
        <v>303.92478247470001</v>
      </c>
      <c r="K404" s="192">
        <v>295.70636464559999</v>
      </c>
      <c r="L404" s="192">
        <v>305.10105866020001</v>
      </c>
      <c r="M404" s="192">
        <v>264.02750658399998</v>
      </c>
      <c r="N404" s="192">
        <v>244.68324036039999</v>
      </c>
      <c r="O404" s="192">
        <v>220.30349203919999</v>
      </c>
      <c r="P404" s="159">
        <f>O404/C404-1</f>
        <v>-8.3253217052476125E-2</v>
      </c>
    </row>
    <row r="405" spans="1:18">
      <c r="A405" s="237" t="s">
        <v>75</v>
      </c>
      <c r="B405" s="127" t="s">
        <v>126</v>
      </c>
      <c r="C405" s="192">
        <v>18.889523041299999</v>
      </c>
      <c r="D405" s="192">
        <v>35.244959526499997</v>
      </c>
      <c r="E405" s="192">
        <v>63.399845817299997</v>
      </c>
      <c r="F405" s="192">
        <v>86.755411534900006</v>
      </c>
      <c r="G405" s="192">
        <v>67.661076487499997</v>
      </c>
      <c r="H405" s="192">
        <v>62.673256377999998</v>
      </c>
      <c r="I405" s="192">
        <v>92.2735799222</v>
      </c>
      <c r="J405" s="192">
        <v>93.843193179599993</v>
      </c>
      <c r="K405" s="192">
        <v>83.688895800300003</v>
      </c>
      <c r="L405" s="192">
        <v>97.485909316600001</v>
      </c>
      <c r="M405" s="192">
        <v>34.8353287288</v>
      </c>
      <c r="N405" s="192">
        <v>16.158549877799999</v>
      </c>
      <c r="O405" s="192">
        <v>4.9698002248000002</v>
      </c>
      <c r="P405" s="159">
        <f>O405/C405-1</f>
        <v>-0.73690176221315684</v>
      </c>
    </row>
    <row r="406" spans="1:18">
      <c r="A406" s="234"/>
      <c r="B406" s="127" t="s">
        <v>130</v>
      </c>
      <c r="C406" s="208">
        <v>-1.8577352138184799</v>
      </c>
      <c r="D406" s="208">
        <v>-4.4592792234274699</v>
      </c>
      <c r="E406" s="208">
        <v>-6.9976926164704096</v>
      </c>
      <c r="F406" s="208">
        <v>-11.445581946156199</v>
      </c>
      <c r="G406" s="208">
        <v>-16.474276763016899</v>
      </c>
      <c r="H406" s="208">
        <v>6.6043489614488999</v>
      </c>
      <c r="I406" s="208">
        <v>33.4109724621281</v>
      </c>
      <c r="J406" s="208">
        <v>21.356870173270401</v>
      </c>
      <c r="K406" s="208">
        <v>34.347338602035499</v>
      </c>
      <c r="L406" s="208">
        <v>32.386280461199497</v>
      </c>
      <c r="M406" s="208">
        <v>-105.857374548515</v>
      </c>
      <c r="N406" s="208">
        <v>-112.795199412413</v>
      </c>
      <c r="O406" s="208">
        <v>-136.53120391948099</v>
      </c>
      <c r="P406" s="159">
        <f>O406/C406-1</f>
        <v>72.493360573624514</v>
      </c>
    </row>
    <row r="407" spans="1:18">
      <c r="A407" s="127"/>
      <c r="B407" s="127"/>
      <c r="C407" s="127"/>
      <c r="D407" s="127"/>
      <c r="E407" s="127"/>
      <c r="F407" s="127"/>
      <c r="G407" s="127"/>
      <c r="H407" s="127"/>
      <c r="I407" s="127"/>
      <c r="J407" s="127"/>
      <c r="K407" s="127"/>
      <c r="L407" s="127"/>
      <c r="M407" s="127"/>
      <c r="N407" s="127"/>
      <c r="O407" s="127"/>
      <c r="P407" s="127"/>
      <c r="Q407" s="127"/>
      <c r="R407" s="127"/>
    </row>
    <row r="408" spans="1:18">
      <c r="A408" s="127"/>
      <c r="B408" s="127"/>
      <c r="C408" s="179"/>
      <c r="D408" s="179"/>
      <c r="E408" s="179"/>
      <c r="F408" s="179"/>
      <c r="G408" s="179"/>
      <c r="H408" s="179"/>
      <c r="I408" s="179"/>
      <c r="J408" s="179"/>
      <c r="K408" s="179"/>
      <c r="L408" s="179"/>
      <c r="M408" s="179"/>
      <c r="N408" s="179"/>
      <c r="O408" s="179"/>
      <c r="P408" s="179"/>
    </row>
    <row r="409" spans="1:18">
      <c r="A409" t="s">
        <v>167</v>
      </c>
    </row>
    <row r="410" spans="1:18">
      <c r="A410" s="125"/>
      <c r="B410" s="125" t="s">
        <v>27</v>
      </c>
      <c r="C410" s="219" t="s">
        <v>134</v>
      </c>
      <c r="D410" s="220"/>
      <c r="E410" s="220"/>
      <c r="F410" s="220"/>
      <c r="G410" s="220"/>
      <c r="H410" s="220"/>
      <c r="I410" s="220"/>
      <c r="J410" s="220"/>
      <c r="K410" s="220"/>
      <c r="L410" s="220"/>
      <c r="M410" s="220"/>
      <c r="N410" s="220"/>
      <c r="O410" s="220"/>
    </row>
    <row r="411" spans="1:18">
      <c r="A411" s="125"/>
      <c r="B411" s="125" t="s">
        <v>87</v>
      </c>
      <c r="C411" s="147" t="s">
        <v>211</v>
      </c>
      <c r="D411" s="147" t="s">
        <v>213</v>
      </c>
      <c r="E411" s="147" t="s">
        <v>215</v>
      </c>
      <c r="F411" s="147" t="s">
        <v>217</v>
      </c>
      <c r="G411" s="147" t="s">
        <v>219</v>
      </c>
      <c r="H411" s="147" t="s">
        <v>223</v>
      </c>
      <c r="I411" s="147" t="s">
        <v>226</v>
      </c>
      <c r="J411" s="147" t="s">
        <v>228</v>
      </c>
      <c r="K411" s="147" t="s">
        <v>232</v>
      </c>
      <c r="L411" s="147" t="s">
        <v>235</v>
      </c>
      <c r="M411" s="147" t="s">
        <v>238</v>
      </c>
      <c r="N411" s="147" t="s">
        <v>248</v>
      </c>
      <c r="O411" s="147" t="s">
        <v>283</v>
      </c>
    </row>
    <row r="412" spans="1:18">
      <c r="A412" s="125" t="s">
        <v>120</v>
      </c>
      <c r="B412" s="125" t="s">
        <v>195</v>
      </c>
      <c r="C412" s="145"/>
      <c r="D412" s="145"/>
      <c r="E412" s="145"/>
      <c r="F412" s="145"/>
      <c r="G412" s="145"/>
      <c r="H412" s="145"/>
      <c r="I412" s="145"/>
      <c r="J412" s="145"/>
      <c r="K412" s="145"/>
      <c r="L412" s="145"/>
      <c r="M412" s="145"/>
      <c r="N412" s="145"/>
      <c r="O412" s="145"/>
    </row>
    <row r="413" spans="1:18">
      <c r="A413" s="233" t="s">
        <v>71</v>
      </c>
      <c r="B413" s="127" t="s">
        <v>127</v>
      </c>
      <c r="C413" s="192">
        <v>28.805418648700002</v>
      </c>
      <c r="D413" s="192">
        <v>46.174349017799997</v>
      </c>
      <c r="E413" s="192">
        <v>28.550093757900001</v>
      </c>
      <c r="F413" s="192">
        <v>27.663462874099999</v>
      </c>
      <c r="G413" s="192">
        <v>32.211216648799997</v>
      </c>
      <c r="H413" s="192">
        <v>40.765020854699998</v>
      </c>
      <c r="I413" s="192">
        <v>38.264322053299999</v>
      </c>
      <c r="J413" s="192">
        <v>57.2527025045</v>
      </c>
      <c r="K413" s="192">
        <v>51.890255956300003</v>
      </c>
      <c r="L413" s="192">
        <v>67.585589426400006</v>
      </c>
      <c r="M413" s="192">
        <v>35.5284746281</v>
      </c>
      <c r="N413" s="192">
        <v>21.380955623399998</v>
      </c>
      <c r="O413" s="192">
        <v>11.0326904909</v>
      </c>
      <c r="P413" s="159">
        <f>O413/C413-1</f>
        <v>-0.61699253097306017</v>
      </c>
    </row>
    <row r="414" spans="1:18">
      <c r="A414" s="235"/>
      <c r="B414" s="127" t="s">
        <v>128</v>
      </c>
      <c r="C414" s="192">
        <v>51.878559897800002</v>
      </c>
      <c r="D414" s="192">
        <v>79.512672150699998</v>
      </c>
      <c r="E414" s="192">
        <v>86.649319574299994</v>
      </c>
      <c r="F414" s="192">
        <v>102.8039265768</v>
      </c>
      <c r="G414" s="192">
        <v>88.768818947499994</v>
      </c>
      <c r="H414" s="192">
        <v>88.323514448099999</v>
      </c>
      <c r="I414" s="192">
        <v>107.14911147159999</v>
      </c>
      <c r="J414" s="192">
        <v>138.76353913809999</v>
      </c>
      <c r="K414" s="192">
        <v>132.86955354610001</v>
      </c>
      <c r="L414" s="192">
        <v>140.03264444760001</v>
      </c>
      <c r="M414" s="192">
        <v>120.096505014</v>
      </c>
      <c r="N414" s="192">
        <v>77.523932633800001</v>
      </c>
      <c r="O414" s="192">
        <v>63.343057325899998</v>
      </c>
      <c r="P414" s="159">
        <f>O414/C414-1</f>
        <v>0.22098719491606711</v>
      </c>
    </row>
    <row r="415" spans="1:18">
      <c r="A415" s="235"/>
      <c r="B415" s="127" t="s">
        <v>194</v>
      </c>
      <c r="C415" s="192">
        <v>60.628175665999997</v>
      </c>
      <c r="D415" s="192">
        <v>89.108096908600004</v>
      </c>
      <c r="E415" s="192">
        <v>97.5221057535</v>
      </c>
      <c r="F415" s="192">
        <v>115.105830533</v>
      </c>
      <c r="G415" s="192">
        <v>110.71596343</v>
      </c>
      <c r="H415" s="192">
        <v>87.959738396199995</v>
      </c>
      <c r="I415" s="192">
        <v>130.5386133415</v>
      </c>
      <c r="J415" s="192">
        <v>147.46420178290001</v>
      </c>
      <c r="K415" s="192">
        <v>132.73885826060001</v>
      </c>
      <c r="L415" s="192">
        <v>118.5079301281</v>
      </c>
      <c r="M415" s="192">
        <v>85.189289887900003</v>
      </c>
      <c r="N415" s="192">
        <v>52.314215232599999</v>
      </c>
      <c r="O415" s="192">
        <v>55.672629718300001</v>
      </c>
      <c r="P415" s="159">
        <f>O415/C415-1</f>
        <v>-8.1736682545093364E-2</v>
      </c>
    </row>
    <row r="416" spans="1:18">
      <c r="A416" s="234"/>
      <c r="B416" s="127" t="s">
        <v>129</v>
      </c>
      <c r="C416" s="192">
        <v>64.074680799000006</v>
      </c>
      <c r="D416" s="192">
        <v>93.701156764000004</v>
      </c>
      <c r="E416" s="192">
        <v>97.325009448100005</v>
      </c>
      <c r="F416" s="192">
        <v>114.6892769159</v>
      </c>
      <c r="G416" s="192">
        <v>106.6717990865</v>
      </c>
      <c r="H416" s="192">
        <v>96.757878917900001</v>
      </c>
      <c r="I416" s="192">
        <v>130.18347199920001</v>
      </c>
      <c r="J416" s="192">
        <v>143.12100996730001</v>
      </c>
      <c r="K416" s="192">
        <v>128.90381284489999</v>
      </c>
      <c r="L416" s="192">
        <v>120.5025753649</v>
      </c>
      <c r="M416" s="192">
        <v>90.112878959900002</v>
      </c>
      <c r="N416" s="192">
        <v>58.207753859599997</v>
      </c>
      <c r="O416" s="192">
        <v>55.693702808300003</v>
      </c>
      <c r="P416" s="159">
        <f>O416/C416-1</f>
        <v>-0.13080015204431272</v>
      </c>
      <c r="R416" s="177">
        <v>147.141711762314</v>
      </c>
    </row>
    <row r="417" spans="1:19">
      <c r="A417" s="237" t="s">
        <v>75</v>
      </c>
      <c r="B417" s="127" t="s">
        <v>127</v>
      </c>
      <c r="C417" s="192"/>
      <c r="D417" s="192"/>
      <c r="E417" s="192"/>
      <c r="F417" s="192"/>
      <c r="G417" s="192"/>
      <c r="H417" s="192"/>
      <c r="I417" s="192">
        <v>45.035521148100003</v>
      </c>
      <c r="J417" s="192">
        <v>33.672806635400001</v>
      </c>
      <c r="K417" s="192">
        <v>37.464347836400002</v>
      </c>
      <c r="L417" s="192">
        <v>26.586120180000002</v>
      </c>
      <c r="M417" s="192">
        <v>29.008521289200001</v>
      </c>
      <c r="N417" s="192">
        <v>19.744532100099999</v>
      </c>
      <c r="O417" s="192">
        <v>17.670425277900002</v>
      </c>
      <c r="P417" s="157"/>
    </row>
    <row r="418" spans="1:19">
      <c r="A418" s="235"/>
      <c r="B418" s="127" t="s">
        <v>128</v>
      </c>
      <c r="C418" s="192">
        <v>8.8440810864999992</v>
      </c>
      <c r="D418" s="192">
        <v>25.188011158999998</v>
      </c>
      <c r="E418" s="192">
        <v>46.176107250699999</v>
      </c>
      <c r="F418" s="192">
        <v>52.021473464800003</v>
      </c>
      <c r="G418" s="192">
        <v>33.235310798100002</v>
      </c>
      <c r="H418" s="192">
        <v>26.148324822799999</v>
      </c>
      <c r="I418" s="192">
        <v>66.941169858400002</v>
      </c>
      <c r="J418" s="192">
        <v>57.073603840700002</v>
      </c>
      <c r="K418" s="192">
        <v>25.114163045200002</v>
      </c>
      <c r="L418" s="192">
        <v>22.808634897200001</v>
      </c>
      <c r="M418" s="192">
        <v>-19.560346367299999</v>
      </c>
      <c r="N418" s="192">
        <v>-25.501952932799998</v>
      </c>
      <c r="O418" s="192">
        <v>-21.3875057447</v>
      </c>
      <c r="P418" s="159">
        <f>O418/C418-1</f>
        <v>-3.41828467372906</v>
      </c>
    </row>
    <row r="419" spans="1:19">
      <c r="A419" s="235"/>
      <c r="B419" s="127" t="s">
        <v>194</v>
      </c>
      <c r="C419" s="192">
        <v>0.64371816849999997</v>
      </c>
      <c r="D419" s="192">
        <v>8.7326280057000005</v>
      </c>
      <c r="E419" s="192">
        <v>21.612704861400001</v>
      </c>
      <c r="F419" s="192">
        <v>31.9436785561</v>
      </c>
      <c r="G419" s="192">
        <v>25.912088802</v>
      </c>
      <c r="H419" s="192">
        <v>35.972563547599997</v>
      </c>
      <c r="I419" s="192">
        <v>59.567486707100002</v>
      </c>
      <c r="J419" s="192">
        <v>71.541896375299999</v>
      </c>
      <c r="K419" s="192">
        <v>54.339434263699999</v>
      </c>
      <c r="L419" s="192">
        <v>56.6349303597</v>
      </c>
      <c r="M419" s="192">
        <v>3.8096046056000001</v>
      </c>
      <c r="N419" s="192">
        <v>-1.4470105132</v>
      </c>
      <c r="O419" s="192">
        <v>-4.0810580168000001</v>
      </c>
      <c r="P419" s="159">
        <f>O419/C419-1</f>
        <v>-7.3398210839842104</v>
      </c>
    </row>
    <row r="420" spans="1:19">
      <c r="A420" s="234"/>
      <c r="B420" s="127" t="s">
        <v>129</v>
      </c>
      <c r="C420" s="192">
        <v>-2.1895631825000001</v>
      </c>
      <c r="D420" s="192">
        <v>15.1893099732</v>
      </c>
      <c r="E420" s="192">
        <v>22.072287538600001</v>
      </c>
      <c r="F420" s="192">
        <v>35.264518477099998</v>
      </c>
      <c r="G420" s="192">
        <v>14.2514126045</v>
      </c>
      <c r="H420" s="192">
        <v>14.1504108037</v>
      </c>
      <c r="I420" s="192">
        <v>47.966835835799998</v>
      </c>
      <c r="J420" s="192">
        <v>55.205082878200002</v>
      </c>
      <c r="K420" s="192">
        <v>45.334035121399999</v>
      </c>
      <c r="L420" s="192">
        <v>37.849235561100002</v>
      </c>
      <c r="M420" s="192">
        <v>1.7364664057999999</v>
      </c>
      <c r="N420" s="192">
        <v>-3.2251232314</v>
      </c>
      <c r="O420" s="192">
        <v>-4.1235086641000001</v>
      </c>
      <c r="P420" s="159">
        <f>O420/C420-1</f>
        <v>0.88325630292698798</v>
      </c>
      <c r="R420" s="178">
        <v>39.372424399301003</v>
      </c>
    </row>
    <row r="421" spans="1:19">
      <c r="A421" s="164"/>
      <c r="B421" s="164"/>
      <c r="C421" s="164"/>
      <c r="D421" s="164"/>
      <c r="E421" s="164"/>
      <c r="F421" s="164"/>
      <c r="G421" s="164"/>
      <c r="H421" s="164"/>
      <c r="I421" s="164"/>
      <c r="J421" s="164"/>
      <c r="K421" s="164"/>
      <c r="L421" s="164"/>
      <c r="M421" s="164"/>
      <c r="N421" s="164"/>
      <c r="O421" s="164"/>
      <c r="P421" s="164"/>
      <c r="Q421" s="164"/>
      <c r="R421" s="164"/>
      <c r="S421" s="164"/>
    </row>
    <row r="422" spans="1:19">
      <c r="A422" s="188"/>
      <c r="B422" s="188"/>
      <c r="C422" s="188"/>
      <c r="D422" s="188"/>
      <c r="E422" s="188"/>
      <c r="F422" s="188"/>
      <c r="G422" s="188"/>
      <c r="H422" s="188"/>
      <c r="I422" s="188"/>
      <c r="J422" s="188"/>
      <c r="K422" s="188"/>
      <c r="L422" s="188"/>
      <c r="M422" s="188"/>
      <c r="N422" s="188"/>
      <c r="O422" s="188"/>
      <c r="P422" s="188"/>
      <c r="Q422" s="188"/>
      <c r="R422" s="188"/>
      <c r="S422" s="188"/>
    </row>
    <row r="423" spans="1:19">
      <c r="C423" s="175"/>
      <c r="D423" s="175"/>
      <c r="E423" s="175"/>
      <c r="F423" s="175"/>
      <c r="G423" s="175"/>
      <c r="H423" s="175"/>
      <c r="I423" s="175"/>
      <c r="J423" s="175"/>
      <c r="K423" s="175"/>
      <c r="L423" s="175"/>
      <c r="M423" s="175"/>
      <c r="N423" s="175"/>
      <c r="O423" s="175"/>
    </row>
    <row r="424" spans="1:19" s="117" customFormat="1" ht="15">
      <c r="B424" s="118" t="s">
        <v>245</v>
      </c>
      <c r="C424" s="119"/>
      <c r="D424" s="119"/>
      <c r="E424" s="119"/>
      <c r="F424" s="119"/>
      <c r="G424" s="119"/>
      <c r="H424" s="119"/>
      <c r="I424" s="119"/>
      <c r="J424" s="119"/>
    </row>
    <row r="425" spans="1:19" ht="22.5">
      <c r="A425" s="156"/>
      <c r="B425" s="156"/>
      <c r="C425" s="149" t="s">
        <v>240</v>
      </c>
      <c r="D425" s="149" t="s">
        <v>241</v>
      </c>
      <c r="E425" s="149" t="s">
        <v>242</v>
      </c>
      <c r="F425" s="149" t="s">
        <v>243</v>
      </c>
      <c r="G425" s="149" t="s">
        <v>244</v>
      </c>
      <c r="H425" s="119"/>
      <c r="I425" s="119"/>
      <c r="J425" s="119"/>
      <c r="K425" s="117"/>
      <c r="L425" s="117"/>
    </row>
    <row r="426" spans="1:19" ht="14.25">
      <c r="A426" s="151" t="s">
        <v>7</v>
      </c>
      <c r="B426" s="16" t="s">
        <v>212</v>
      </c>
      <c r="C426" s="192">
        <v>14.78494623655914</v>
      </c>
      <c r="D426" s="192">
        <v>62.903225806451616</v>
      </c>
      <c r="E426" s="192">
        <v>21.50537634408602</v>
      </c>
      <c r="F426" s="192">
        <v>0.80645161290322576</v>
      </c>
      <c r="G426" s="192" t="s">
        <v>132</v>
      </c>
      <c r="H426" s="119"/>
      <c r="I426" s="119"/>
      <c r="J426" s="119"/>
      <c r="K426" s="117"/>
      <c r="L426" s="117"/>
    </row>
    <row r="427" spans="1:19" ht="14.25">
      <c r="A427" s="151" t="s">
        <v>9</v>
      </c>
      <c r="B427" s="16" t="s">
        <v>214</v>
      </c>
      <c r="C427" s="192">
        <v>10.972222222222221</v>
      </c>
      <c r="D427" s="192">
        <v>39.027777777777779</v>
      </c>
      <c r="E427" s="192">
        <v>32.361111111111114</v>
      </c>
      <c r="F427" s="192">
        <v>17.083333333333332</v>
      </c>
      <c r="G427" s="192">
        <v>0.55555555555555558</v>
      </c>
      <c r="H427" s="119"/>
      <c r="I427" s="119"/>
      <c r="J427" s="119"/>
      <c r="K427" s="117"/>
      <c r="L427" s="117"/>
    </row>
    <row r="428" spans="1:19" ht="14.25">
      <c r="A428" s="151" t="s">
        <v>9</v>
      </c>
      <c r="B428" s="16" t="s">
        <v>216</v>
      </c>
      <c r="C428" s="192">
        <v>7.661290322580645</v>
      </c>
      <c r="D428" s="192">
        <v>18.14516129032258</v>
      </c>
      <c r="E428" s="192">
        <v>45.833333333333329</v>
      </c>
      <c r="F428" s="192">
        <v>28.360215053763444</v>
      </c>
      <c r="G428" s="192" t="s">
        <v>132</v>
      </c>
      <c r="H428" s="119"/>
      <c r="I428" s="119"/>
      <c r="J428" s="119"/>
      <c r="K428" s="117"/>
      <c r="L428" s="117"/>
    </row>
    <row r="429" spans="1:19" ht="14.25">
      <c r="A429" s="151" t="s">
        <v>8</v>
      </c>
      <c r="B429" s="16" t="s">
        <v>218</v>
      </c>
      <c r="C429" s="192">
        <v>4.704301075268817</v>
      </c>
      <c r="D429" s="192">
        <v>7.795698924731183</v>
      </c>
      <c r="E429" s="192">
        <v>34.543010752688176</v>
      </c>
      <c r="F429" s="192">
        <v>51.881720430107528</v>
      </c>
      <c r="G429" s="192">
        <v>1.0752688172043012</v>
      </c>
      <c r="H429" s="119"/>
      <c r="I429" s="119"/>
      <c r="J429" s="119"/>
      <c r="K429" s="117"/>
      <c r="L429" s="117"/>
    </row>
    <row r="430" spans="1:19" ht="14.25">
      <c r="A430" s="151" t="s">
        <v>10</v>
      </c>
      <c r="B430" s="16" t="s">
        <v>222</v>
      </c>
      <c r="C430" s="192">
        <v>7.9166666666666661</v>
      </c>
      <c r="D430" s="192">
        <v>20.833333333333336</v>
      </c>
      <c r="E430" s="192">
        <v>37.777777777777779</v>
      </c>
      <c r="F430" s="192">
        <v>32.638888888888893</v>
      </c>
      <c r="G430" s="192">
        <v>0.83333333333333337</v>
      </c>
      <c r="H430" s="119"/>
      <c r="I430" s="119"/>
      <c r="J430" s="119"/>
      <c r="K430" s="117"/>
      <c r="L430" s="117"/>
    </row>
    <row r="431" spans="1:19" ht="14.25">
      <c r="A431" s="151" t="s">
        <v>11</v>
      </c>
      <c r="B431" s="16" t="s">
        <v>224</v>
      </c>
      <c r="C431" s="192">
        <v>2.0134228187919461</v>
      </c>
      <c r="D431" s="192">
        <v>25.906040268456376</v>
      </c>
      <c r="E431" s="192">
        <v>55.302013422818796</v>
      </c>
      <c r="F431" s="192">
        <v>15.302013422818792</v>
      </c>
      <c r="G431" s="192">
        <v>1.476510067114094</v>
      </c>
      <c r="H431" s="119"/>
      <c r="I431" s="119"/>
      <c r="J431" s="119"/>
      <c r="K431" s="117"/>
      <c r="L431" s="117"/>
    </row>
    <row r="432" spans="1:19" ht="14.25">
      <c r="A432" s="151" t="s">
        <v>12</v>
      </c>
      <c r="B432" s="16" t="s">
        <v>225</v>
      </c>
      <c r="C432" s="192" t="s">
        <v>132</v>
      </c>
      <c r="D432" s="192">
        <v>10.138888888888889</v>
      </c>
      <c r="E432" s="192">
        <v>27.222222222222221</v>
      </c>
      <c r="F432" s="192">
        <v>57.222222222222221</v>
      </c>
      <c r="G432" s="192">
        <v>5.416666666666667</v>
      </c>
      <c r="H432" s="119"/>
      <c r="I432" s="119"/>
      <c r="J432" s="119"/>
      <c r="K432" s="117"/>
      <c r="L432" s="117"/>
    </row>
    <row r="433" spans="1:12" ht="14.25">
      <c r="A433" s="151" t="s">
        <v>13</v>
      </c>
      <c r="B433" s="16" t="s">
        <v>230</v>
      </c>
      <c r="C433" s="192" t="s">
        <v>132</v>
      </c>
      <c r="D433" s="192">
        <v>11.155913978494624</v>
      </c>
      <c r="E433" s="192">
        <v>16.532258064516128</v>
      </c>
      <c r="F433" s="192">
        <v>59.005376344086024</v>
      </c>
      <c r="G433" s="192">
        <v>13.306451612903224</v>
      </c>
      <c r="H433" s="119"/>
      <c r="I433" s="119"/>
      <c r="J433" s="119"/>
      <c r="K433" s="117"/>
      <c r="L433" s="117"/>
    </row>
    <row r="434" spans="1:12" ht="14.25">
      <c r="A434" s="151" t="s">
        <v>5</v>
      </c>
      <c r="B434" s="16" t="s">
        <v>234</v>
      </c>
      <c r="C434" s="192">
        <v>0.13440860215053765</v>
      </c>
      <c r="D434" s="192">
        <v>22.58064516129032</v>
      </c>
      <c r="E434" s="192">
        <v>19.489247311827956</v>
      </c>
      <c r="F434" s="192">
        <v>45.833333333333329</v>
      </c>
      <c r="G434" s="192">
        <v>11.96236559139785</v>
      </c>
      <c r="H434" s="119"/>
      <c r="I434" s="119"/>
      <c r="J434" s="119"/>
      <c r="K434" s="117"/>
      <c r="L434" s="117"/>
    </row>
    <row r="435" spans="1:12" ht="14.25">
      <c r="A435" s="151" t="s">
        <v>6</v>
      </c>
      <c r="B435" s="16" t="s">
        <v>237</v>
      </c>
      <c r="C435" s="192" t="s">
        <v>132</v>
      </c>
      <c r="D435" s="192">
        <v>9.2261904761904763</v>
      </c>
      <c r="E435" s="192">
        <v>28.125</v>
      </c>
      <c r="F435" s="192">
        <v>47.916666666666671</v>
      </c>
      <c r="G435" s="192">
        <v>14.732142857142858</v>
      </c>
      <c r="H435" s="119"/>
      <c r="I435" s="119"/>
      <c r="J435" s="119"/>
      <c r="K435" s="117"/>
      <c r="L435" s="117"/>
    </row>
    <row r="436" spans="1:12" ht="14.25">
      <c r="A436" s="151" t="s">
        <v>7</v>
      </c>
      <c r="B436" s="16" t="s">
        <v>239</v>
      </c>
      <c r="C436" s="192">
        <v>9.690444145356663</v>
      </c>
      <c r="D436" s="192">
        <v>40.107671601615074</v>
      </c>
      <c r="E436" s="192">
        <v>33.109017496635261</v>
      </c>
      <c r="F436" s="192">
        <v>15.343203230148047</v>
      </c>
      <c r="G436" s="192">
        <v>1.7496635262449527</v>
      </c>
      <c r="H436" s="119"/>
      <c r="I436" s="119"/>
      <c r="J436" s="119"/>
      <c r="K436" s="117"/>
      <c r="L436" s="117"/>
    </row>
    <row r="437" spans="1:12" ht="14.25">
      <c r="A437" s="151" t="s">
        <v>8</v>
      </c>
      <c r="B437" s="16" t="s">
        <v>250</v>
      </c>
      <c r="C437" s="192">
        <v>24.861111111111111</v>
      </c>
      <c r="D437" s="192">
        <v>55.000000000000007</v>
      </c>
      <c r="E437" s="192">
        <v>15.416666666666668</v>
      </c>
      <c r="F437" s="192">
        <v>3.8888888888888888</v>
      </c>
      <c r="G437" s="192">
        <v>0.83333333333333337</v>
      </c>
      <c r="H437" s="119"/>
      <c r="I437" s="119"/>
      <c r="J437" s="119"/>
      <c r="K437" s="117"/>
      <c r="L437" s="117"/>
    </row>
    <row r="438" spans="1:12" ht="14.25">
      <c r="A438" s="152" t="str">
        <f>MID(B438,1,1)</f>
        <v>M</v>
      </c>
      <c r="B438" s="48" t="s">
        <v>295</v>
      </c>
      <c r="C438" s="192">
        <v>36.155913978494624</v>
      </c>
      <c r="D438" s="192">
        <v>54.166666666666664</v>
      </c>
      <c r="E438" s="192">
        <v>7.795698924731183</v>
      </c>
      <c r="F438" s="192">
        <v>1.881720430107527</v>
      </c>
      <c r="G438" s="192" t="s">
        <v>132</v>
      </c>
      <c r="H438" s="119"/>
      <c r="I438" s="119"/>
      <c r="J438" s="119"/>
      <c r="K438" s="117"/>
      <c r="L438" s="117"/>
    </row>
    <row r="439" spans="1:12" ht="14.25">
      <c r="J439" s="119"/>
      <c r="K439" s="117"/>
      <c r="L439" s="117"/>
    </row>
    <row r="440" spans="1:12" ht="14.25">
      <c r="I440" s="119"/>
      <c r="J440" s="119"/>
      <c r="K440" s="117"/>
      <c r="L440" s="117"/>
    </row>
    <row r="441" spans="1:12" ht="14.25">
      <c r="H441" s="119"/>
      <c r="I441" s="119"/>
      <c r="J441" s="119"/>
      <c r="K441" s="117"/>
    </row>
    <row r="442" spans="1:12" ht="14.25">
      <c r="H442" s="119"/>
      <c r="I442" s="119"/>
      <c r="J442" s="119"/>
      <c r="K442" s="117"/>
    </row>
    <row r="451" spans="1:14">
      <c r="A451" s="107" t="s">
        <v>62</v>
      </c>
      <c r="B451" s="86"/>
      <c r="C451" s="86"/>
      <c r="D451" s="86"/>
      <c r="E451" s="86"/>
      <c r="F451" s="86"/>
      <c r="G451" s="86"/>
      <c r="H451" s="86"/>
      <c r="I451" s="86"/>
      <c r="N451" s="141"/>
    </row>
    <row r="452" spans="1:14">
      <c r="A452" s="14"/>
      <c r="B452" s="217" t="s">
        <v>1</v>
      </c>
      <c r="C452" s="217" t="s">
        <v>2</v>
      </c>
      <c r="D452" s="217" t="s">
        <v>25</v>
      </c>
      <c r="E452" s="217" t="s">
        <v>16</v>
      </c>
      <c r="F452" s="217" t="s">
        <v>17</v>
      </c>
      <c r="G452" s="217" t="s">
        <v>180</v>
      </c>
      <c r="H452" s="217" t="s">
        <v>26</v>
      </c>
      <c r="I452" s="217" t="s">
        <v>29</v>
      </c>
      <c r="J452" s="221" t="s">
        <v>118</v>
      </c>
    </row>
    <row r="453" spans="1:14">
      <c r="A453" s="15"/>
      <c r="B453" s="218"/>
      <c r="C453" s="218"/>
      <c r="D453" s="218"/>
      <c r="E453" s="218"/>
      <c r="F453" s="218"/>
      <c r="G453" s="218"/>
      <c r="H453" s="218"/>
      <c r="I453" s="218"/>
      <c r="J453" s="222"/>
    </row>
    <row r="454" spans="1:14">
      <c r="A454" s="108" t="str">
        <f>MID(B43,6,3) &amp; "-" &amp; MID(B43,3,2)</f>
        <v>May-24</v>
      </c>
      <c r="B454" s="106">
        <f>VLOOKUP("Mercado Diario",$A$45:$N$65,2,FALSE)</f>
        <v>30.13</v>
      </c>
      <c r="C454" s="106">
        <f>VLOOKUP("Mercado Intradiario",$A$45:$N$65,2,FALSE)</f>
        <v>-0.06</v>
      </c>
      <c r="D454" s="106">
        <f t="shared" ref="D454:D466" si="14">SUM(B454:C454)</f>
        <v>30.07</v>
      </c>
      <c r="E454" s="106">
        <f>SUM(B82:B90)</f>
        <v>14.15</v>
      </c>
      <c r="F454" s="106">
        <f>VLOOKUP("Pago capacidad",$A$45:$N$65,2,FALSE)</f>
        <v>0.15</v>
      </c>
      <c r="G454" s="106">
        <f>VLOOKUP("Mecanismo Ajuste RD-L10/2022 Coste OM",$A$45:$N$65,2,FALSE)+VLOOKUP("Mecanismo Ajuste RD-L10/2022 Coste OS",$A$45:$N$65,2,FALSE)+VLOOKUP("Mecanismo Ajuste RD-L10/2022 Ajuste OS",$A$45:$N$65,2,FALSE)</f>
        <v>0</v>
      </c>
      <c r="H454" s="106">
        <f t="shared" ref="H454:H466" si="15">SUM(D454:G454)</f>
        <v>44.37</v>
      </c>
      <c r="I454" s="93">
        <f>VLOOKUP("Energía final MWh",$A$45:$N$61,2,FALSE)/1000</f>
        <v>18502.055886999999</v>
      </c>
      <c r="J454" s="111" t="str">
        <f t="shared" ref="J454:J466" si="16">MID(A454,1,1)</f>
        <v>M</v>
      </c>
      <c r="K454" s="175"/>
    </row>
    <row r="455" spans="1:14">
      <c r="A455" s="108" t="str">
        <f>MID(C43,6,3) &amp; "-" &amp; MID(C43,3,2)</f>
        <v>Jun-24</v>
      </c>
      <c r="B455" s="106">
        <f>VLOOKUP("Mercado Diario",$A$45:$N$65,3,FALSE)</f>
        <v>56.84</v>
      </c>
      <c r="C455" s="106">
        <f>VLOOKUP("Mercado Intradiario",$A$45:$N$65,3,FALSE)</f>
        <v>-0.11</v>
      </c>
      <c r="D455" s="106">
        <f t="shared" si="14"/>
        <v>56.730000000000004</v>
      </c>
      <c r="E455" s="106">
        <f>SUM(C82:C90)</f>
        <v>11.397</v>
      </c>
      <c r="F455" s="106">
        <f>VLOOKUP("Pago capacidad",$A$45:$N$65,3,FALSE)</f>
        <v>0.15</v>
      </c>
      <c r="G455" s="106">
        <f>VLOOKUP("Mecanismo Ajuste RD-L10/2022 Coste OM",$A$45:$N$65,3,FALSE)+VLOOKUP("Mecanismo Ajuste RD-L10/2022 Coste OS",$A$45:$N$65,3,FALSE)+VLOOKUP("Mecanismo Ajuste RD-L10/2022 Ajuste OS",$A$45:$N$65,3,FALSE)</f>
        <v>0</v>
      </c>
      <c r="H455" s="106">
        <f t="shared" si="15"/>
        <v>68.277000000000015</v>
      </c>
      <c r="I455" s="93">
        <f>VLOOKUP("Energía final MWh",$A$45:$N$61,3,FALSE)/1000</f>
        <v>18506.699644</v>
      </c>
      <c r="J455" s="111" t="str">
        <f t="shared" si="16"/>
        <v>J</v>
      </c>
      <c r="K455" s="175"/>
    </row>
    <row r="456" spans="1:14">
      <c r="A456" s="108" t="str">
        <f>MID(D43,6,3) &amp; "-" &amp; MID(D43,3,2)</f>
        <v>Jul-24</v>
      </c>
      <c r="B456" s="106">
        <f>VLOOKUP("Mercado Diario",$A$45:$N$65,4,FALSE)</f>
        <v>72.63</v>
      </c>
      <c r="C456" s="106">
        <f>VLOOKUP("Mercado Intradiario",$A$45:$N$65,4,FALSE)</f>
        <v>-7.0000000000000007E-2</v>
      </c>
      <c r="D456" s="106">
        <f t="shared" si="14"/>
        <v>72.56</v>
      </c>
      <c r="E456" s="106">
        <f>SUM(D82:D90)</f>
        <v>8.1419999999999977</v>
      </c>
      <c r="F456" s="106">
        <f>VLOOKUP("Pago capacidad",$A$45:$N$65,4,FALSE)</f>
        <v>0.31</v>
      </c>
      <c r="G456" s="106">
        <f>VLOOKUP("Mecanismo Ajuste RD-L10/2022 Coste OM",$A$45:$N$65,4,FALSE)+VLOOKUP("Mecanismo Ajuste RD-L10/2022 Coste OS",$A$45:$N$65,4,FALSE)+VLOOKUP("Mecanismo Ajuste RD-L10/2022 Ajuste OS",$A$45:$N$65,4,FALSE)</f>
        <v>0</v>
      </c>
      <c r="H456" s="106">
        <f t="shared" si="15"/>
        <v>81.012</v>
      </c>
      <c r="I456" s="93">
        <f>VLOOKUP("Energía final MWh",$A$45:$N$61,4,FALSE)/1000</f>
        <v>21414.723460000001</v>
      </c>
      <c r="J456" s="111" t="str">
        <f t="shared" si="16"/>
        <v>J</v>
      </c>
    </row>
    <row r="457" spans="1:14">
      <c r="A457" s="108" t="str">
        <f>MID(E43,6,3) &amp; "-" &amp; MID(E43,3,2)</f>
        <v>Ago-24</v>
      </c>
      <c r="B457" s="106">
        <f>VLOOKUP("Mercado Diario",$A$45:$N$65,5,FALSE)</f>
        <v>91.31</v>
      </c>
      <c r="C457" s="106">
        <f>VLOOKUP("Mercado Intradiario",$A$45:$N$65,5,FALSE)</f>
        <v>-0.13</v>
      </c>
      <c r="D457" s="106">
        <f t="shared" si="14"/>
        <v>91.18</v>
      </c>
      <c r="E457" s="106">
        <f>SUM(E82:E90)</f>
        <v>8.73</v>
      </c>
      <c r="F457" s="106">
        <f>VLOOKUP("Pago capacidad",$A$45:$N$65,5,FALSE)</f>
        <v>0.16</v>
      </c>
      <c r="G457" s="106">
        <f>VLOOKUP("Mecanismo Ajuste RD-L10/2022 Coste OM",$A$45:$N$65,5,FALSE)+VLOOKUP("Mecanismo Ajuste RD-L10/2022 Coste OS",$A$45:$N$65,5,FALSE)+VLOOKUP("Mecanismo Ajuste RD-L10/2022 Ajuste OS",$A$45:$N$65,5,FALSE)</f>
        <v>0</v>
      </c>
      <c r="H457" s="106">
        <f t="shared" si="15"/>
        <v>100.07000000000001</v>
      </c>
      <c r="I457" s="93">
        <f>VLOOKUP("Energía final MWh",$A$45:$N$61,5,FALSE)/1000</f>
        <v>20964.210106999999</v>
      </c>
      <c r="J457" s="111" t="str">
        <f t="shared" si="16"/>
        <v>A</v>
      </c>
    </row>
    <row r="458" spans="1:14">
      <c r="A458" s="108" t="str">
        <f>MID(F43,6,3) &amp; "-" &amp; MID(F43,3,2)</f>
        <v>Sep-24</v>
      </c>
      <c r="B458" s="106">
        <f>VLOOKUP("Mercado Diario",$A$45:$N$65,6,FALSE)</f>
        <v>72.92</v>
      </c>
      <c r="C458" s="106">
        <f>VLOOKUP("Mercado Intradiario",$A$45:$N$65,6,FALSE)</f>
        <v>-0.09</v>
      </c>
      <c r="D458" s="106">
        <f t="shared" si="14"/>
        <v>72.83</v>
      </c>
      <c r="E458" s="106">
        <f>SUM(F82:F90)</f>
        <v>10.83</v>
      </c>
      <c r="F458" s="106">
        <f>VLOOKUP("Pago capacidad",$A$45:$N$65,6,FALSE)</f>
        <v>0.16</v>
      </c>
      <c r="G458" s="106">
        <f>VLOOKUP("Mecanismo Ajuste RD-L10/2022 Coste OM",$A$45:$N$65,6,FALSE)+VLOOKUP("Mecanismo Ajuste RD-L10/2022 Coste OS",$A$45:$N$65,6,FALSE)+VLOOKUP("Mecanismo Ajuste RD-L10/2022 Ajuste OS",$A$45:$N$65,6,FALSE)</f>
        <v>0</v>
      </c>
      <c r="H458" s="106">
        <f t="shared" si="15"/>
        <v>83.82</v>
      </c>
      <c r="I458" s="93">
        <f>VLOOKUP("Energía final MWh",$A$45:$N$61,6,FALSE)/1000</f>
        <v>18669.922484999999</v>
      </c>
      <c r="J458" s="111" t="str">
        <f t="shared" si="16"/>
        <v>S</v>
      </c>
    </row>
    <row r="459" spans="1:14">
      <c r="A459" s="108" t="str">
        <f>MID(G43,6,3) &amp; "-" &amp; MID(G43,3,2)</f>
        <v>Oct-24</v>
      </c>
      <c r="B459" s="106">
        <f>VLOOKUP("Mercado Diario",$A$45:$N$65,7,FALSE)</f>
        <v>70.11</v>
      </c>
      <c r="C459" s="106">
        <f>VLOOKUP("Mercado Intradiario",$A$45:$N$65,7,FALSE)</f>
        <v>-7.0000000000000007E-2</v>
      </c>
      <c r="D459" s="106">
        <f t="shared" si="14"/>
        <v>70.040000000000006</v>
      </c>
      <c r="E459" s="106">
        <f>SUM(G82:G90)</f>
        <v>14.280000000000001</v>
      </c>
      <c r="F459" s="106">
        <f>VLOOKUP("Pago capacidad",$A$45:$N$65,7,FALSE)</f>
        <v>0.16</v>
      </c>
      <c r="G459" s="106">
        <f>VLOOKUP("Mecanismo Ajuste RD-L10/2022 Coste OM",$A$45:$N$65,7,FALSE)+VLOOKUP("Mecanismo Ajuste RD-L10/2022 Coste OS",$A$45:$N$65,7,FALSE)+VLOOKUP("Mecanismo Ajuste RD-L10/2022 Ajuste OS",$A$45:$N$65,7,FALSE)</f>
        <v>0</v>
      </c>
      <c r="H459" s="106">
        <f t="shared" si="15"/>
        <v>84.48</v>
      </c>
      <c r="I459" s="93">
        <f>VLOOKUP("Energía final MWh",$A$45:$N$61,7,FALSE)/1000</f>
        <v>19034.122653999999</v>
      </c>
      <c r="J459" s="111" t="str">
        <f t="shared" si="16"/>
        <v>O</v>
      </c>
    </row>
    <row r="460" spans="1:14">
      <c r="A460" s="108" t="str">
        <f>MID(H43,6,3) &amp; "-" &amp; MID(H43,3,2)</f>
        <v>Nov-24</v>
      </c>
      <c r="B460" s="106">
        <f>VLOOKUP("Mercado Diario",$A$45:$N$65,8,FALSE)</f>
        <v>106.74</v>
      </c>
      <c r="C460" s="106">
        <f>VLOOKUP("Mercado Intradiario",$A$45:$N$65,8,FALSE)</f>
        <v>-0.09</v>
      </c>
      <c r="D460" s="106">
        <f t="shared" si="14"/>
        <v>106.64999999999999</v>
      </c>
      <c r="E460" s="106">
        <f>SUM(H82:H90)</f>
        <v>12.036000000000001</v>
      </c>
      <c r="F460" s="106">
        <f>VLOOKUP("Pago capacidad",$A$45:$N$65,8,FALSE)</f>
        <v>0.19</v>
      </c>
      <c r="G460" s="106">
        <f>VLOOKUP("Mecanismo Ajuste RD-L10/2022 Coste OM",$A$45:$N$65,8,FALSE)+VLOOKUP("Mecanismo Ajuste RD-L10/2022 Coste OS",$A$45:$N$65,8,FALSE)+VLOOKUP("Mecanismo Ajuste RD-L10/2022 Ajuste OS",$A$45:$N$65,8,FALSE)</f>
        <v>0</v>
      </c>
      <c r="H460" s="106">
        <f t="shared" si="15"/>
        <v>118.87599999999999</v>
      </c>
      <c r="I460" s="93">
        <f>VLOOKUP("Energía final MWh",$A$45:$N$61,8,FALSE)/1000</f>
        <v>18627.463752</v>
      </c>
      <c r="J460" s="111" t="str">
        <f t="shared" si="16"/>
        <v>N</v>
      </c>
    </row>
    <row r="461" spans="1:14">
      <c r="A461" s="108" t="str">
        <f>MID(I43,6,3) &amp; "-" &amp; MID(I43,3,2)</f>
        <v>Dic-24</v>
      </c>
      <c r="B461" s="106">
        <f>VLOOKUP("Mercado Diario",$A$45:$N$65,9,FALSE)</f>
        <v>114.01</v>
      </c>
      <c r="C461" s="106">
        <f>VLOOKUP("Mercado Intradiario",$A$45:$N$65,9,FALSE)</f>
        <v>-0.08</v>
      </c>
      <c r="D461" s="106">
        <f t="shared" si="14"/>
        <v>113.93</v>
      </c>
      <c r="E461" s="106">
        <f>SUM(I82:I90)</f>
        <v>10.530000000000001</v>
      </c>
      <c r="F461" s="106">
        <f>VLOOKUP("Pago capacidad",$A$45:$N$65,9,FALSE)</f>
        <v>0.28000000000000003</v>
      </c>
      <c r="G461" s="106">
        <f>VLOOKUP("Mecanismo Ajuste RD-L10/2022 Coste OM",$A$45:$N$65,9,FALSE)+VLOOKUP("Mecanismo Ajuste RD-L10/2022 Coste OS",$A$45:$N$65,9,FALSE)+VLOOKUP("Mecanismo Ajuste RD-L10/2022 Ajuste OS",$A$45:$N$65,9,FALSE)</f>
        <v>0</v>
      </c>
      <c r="H461" s="106">
        <f t="shared" si="15"/>
        <v>124.74000000000001</v>
      </c>
      <c r="I461" s="93">
        <f>VLOOKUP("Energía final MWh",$A$45:$N$61,9,FALSE)/1000</f>
        <v>20307.044521</v>
      </c>
      <c r="J461" s="111" t="str">
        <f t="shared" si="16"/>
        <v>D</v>
      </c>
    </row>
    <row r="462" spans="1:14">
      <c r="A462" s="108" t="str">
        <f>MID(J43,6,3) &amp; "-" &amp; MID(J43,3,2)</f>
        <v>Ene-25</v>
      </c>
      <c r="B462" s="106">
        <f>VLOOKUP("Mercado Diario",$A$45:$N$65,10,FALSE)</f>
        <v>100.35</v>
      </c>
      <c r="C462" s="106">
        <f>VLOOKUP("Mercado Intradiario",$A$45:$N$65,10,FALSE)</f>
        <v>-0.1</v>
      </c>
      <c r="D462" s="106">
        <f t="shared" si="14"/>
        <v>100.25</v>
      </c>
      <c r="E462" s="106">
        <f>SUM(J82:J90)</f>
        <v>10.969999999999999</v>
      </c>
      <c r="F462" s="106">
        <f>VLOOKUP("Pago capacidad",$A$45:$N$65,10,FALSE)</f>
        <v>0.27</v>
      </c>
      <c r="G462" s="106">
        <f>VLOOKUP("Mecanismo Ajuste RD-L10/2022 Coste OM",$A$45:$N$65,10,FALSE)+VLOOKUP("Mecanismo Ajuste RD-L10/2022 Coste OS",$A$45:$N$65,10,FALSE)+VLOOKUP("Mecanismo Ajuste RD-L10/2022 Ajuste OS",$A$45:$N$65,10,FALSE)</f>
        <v>0</v>
      </c>
      <c r="H462" s="106">
        <f t="shared" si="15"/>
        <v>111.49</v>
      </c>
      <c r="I462" s="93">
        <f>VLOOKUP("Energía final MWh",$A$45:$N$61,10,FALSE)/1000</f>
        <v>21596.984153000001</v>
      </c>
      <c r="J462" s="111" t="str">
        <f t="shared" si="16"/>
        <v>E</v>
      </c>
    </row>
    <row r="463" spans="1:14">
      <c r="A463" s="108" t="str">
        <f>MID(K43,6,3) &amp; "-" &amp; MID(K43,3,2)</f>
        <v>Feb-25</v>
      </c>
      <c r="B463" s="106">
        <f>VLOOKUP("Mercado Diario",$A$45:$N$65,11,FALSE)</f>
        <v>110.76</v>
      </c>
      <c r="C463" s="106">
        <f>VLOOKUP("Mercado Intradiario",$A$45:$N$65,11,FALSE)</f>
        <v>-0.1</v>
      </c>
      <c r="D463" s="106">
        <f t="shared" si="14"/>
        <v>110.66000000000001</v>
      </c>
      <c r="E463" s="106">
        <f>SUM(K82:K90)</f>
        <v>15.880000000000003</v>
      </c>
      <c r="F463" s="106">
        <f>VLOOKUP("Pago capacidad",$A$45:$N$65,11,FALSE)</f>
        <v>0.27</v>
      </c>
      <c r="G463" s="106">
        <f>VLOOKUP("Mecanismo Ajuste RD-L10/2022 Coste OM",$A$45:$N$65,11,FALSE)+VLOOKUP("Mecanismo Ajuste RD-L10/2022 Coste OS",$A$45:$N$65,11,FALSE)+VLOOKUP("Mecanismo Ajuste RD-L10/2022 Ajuste OS",$A$45:$N$65,11,FALSE)</f>
        <v>0</v>
      </c>
      <c r="H463" s="106">
        <f t="shared" si="15"/>
        <v>126.81000000000002</v>
      </c>
      <c r="I463" s="93">
        <f>VLOOKUP("Energía final MWh",$A$45:$N$61,11,FALSE)/1000</f>
        <v>19177.656296000001</v>
      </c>
      <c r="J463" s="111" t="str">
        <f t="shared" si="16"/>
        <v>F</v>
      </c>
    </row>
    <row r="464" spans="1:14">
      <c r="A464" s="108" t="str">
        <f>MID(L43,6,3) &amp; "-" &amp; MID(L43,3,2)</f>
        <v>Mar-25</v>
      </c>
      <c r="B464" s="106">
        <f>VLOOKUP("Mercado Diario",$A$45:$N$65,12,FALSE)</f>
        <v>55.56</v>
      </c>
      <c r="C464" s="106">
        <f>VLOOKUP("Mercado Intradiario",$A$45:$N$65,12,FALSE)</f>
        <v>-0.1</v>
      </c>
      <c r="D464" s="106">
        <f t="shared" si="14"/>
        <v>55.46</v>
      </c>
      <c r="E464" s="106">
        <f>SUM(L82:L90)</f>
        <v>15.400000000000002</v>
      </c>
      <c r="F464" s="106">
        <f>VLOOKUP("Pago capacidad",$A$45:$N$65,12,FALSE)</f>
        <v>0.18</v>
      </c>
      <c r="G464" s="106">
        <f>VLOOKUP("Mecanismo Ajuste RD-L10/2022 Coste OM",$A$45:$N$65,12,FALSE)+VLOOKUP("Mecanismo Ajuste RD-L10/2022 Coste OS",$A$45:$N$65,12,FALSE)+VLOOKUP("Mecanismo Ajuste RD-L10/2022 Ajuste OS",$A$45:$N$65,12,FALSE)</f>
        <v>0</v>
      </c>
      <c r="H464" s="106">
        <f t="shared" si="15"/>
        <v>71.040000000000006</v>
      </c>
      <c r="I464" s="93">
        <f>VLOOKUP("Energía final MWh",$A$45:$N$61,12,FALSE)/1000</f>
        <v>20774.405912000002</v>
      </c>
      <c r="J464" s="111" t="str">
        <f t="shared" si="16"/>
        <v>M</v>
      </c>
    </row>
    <row r="465" spans="1:15">
      <c r="A465" s="108" t="str">
        <f>MID(M43,6,3) &amp; "-" &amp; MID(M43,3,2)</f>
        <v>Abr-25</v>
      </c>
      <c r="B465" s="106">
        <f>VLOOKUP("Mercado Diario",$A$45:$N$65,13,FALSE)</f>
        <v>29.11</v>
      </c>
      <c r="C465" s="106">
        <f>VLOOKUP("Mercado Intradiario",$A$45:$N$65,13,FALSE)</f>
        <v>0</v>
      </c>
      <c r="D465" s="106">
        <f t="shared" si="14"/>
        <v>29.11</v>
      </c>
      <c r="E465" s="106">
        <f>SUM(M82:M90)</f>
        <v>18.189999999999998</v>
      </c>
      <c r="F465" s="106">
        <f>VLOOKUP("Pago capacidad",$A$45:$N$65,13,FALSE)</f>
        <v>0.14000000000000001</v>
      </c>
      <c r="G465" s="106"/>
      <c r="H465" s="106">
        <f t="shared" si="15"/>
        <v>47.44</v>
      </c>
      <c r="I465" s="93">
        <f>VLOOKUP("Energía final MWh",$A$45:$N$61,13,FALSE)/1000</f>
        <v>16570.299571</v>
      </c>
      <c r="J465" s="111" t="str">
        <f t="shared" si="16"/>
        <v>A</v>
      </c>
      <c r="K465" s="130"/>
      <c r="N465" t="s">
        <v>181</v>
      </c>
    </row>
    <row r="466" spans="1:15">
      <c r="A466" s="109" t="str">
        <f>MID(N43,6,3) &amp; "-" &amp; MID(N43,3,2)</f>
        <v>May-25</v>
      </c>
      <c r="B466" s="105">
        <f>VLOOKUP("Mercado Diario",$A$45:$N$65,14,FALSE)</f>
        <v>17.86</v>
      </c>
      <c r="C466" s="105">
        <f>VLOOKUP("Mercado Intradiario",$A$45:$N$65,14,FALSE)</f>
        <v>-7.0000000000000007E-2</v>
      </c>
      <c r="D466" s="105">
        <f t="shared" si="14"/>
        <v>17.79</v>
      </c>
      <c r="E466" s="105">
        <f>SUM(N82:N90)</f>
        <v>25.997999999999998</v>
      </c>
      <c r="F466" s="105">
        <f>VLOOKUP("Pago capacidad",$A$45:$N$65,14,FALSE)</f>
        <v>0.13</v>
      </c>
      <c r="G466" s="105"/>
      <c r="H466" s="105">
        <f t="shared" si="15"/>
        <v>43.917999999999999</v>
      </c>
      <c r="I466" s="110">
        <f>VLOOKUP("Energía final MWh",$A$45:$N$61,14,FALSE)/1000</f>
        <v>18108.652223999998</v>
      </c>
      <c r="J466" s="112" t="str">
        <f t="shared" si="16"/>
        <v>M</v>
      </c>
      <c r="K466" s="50">
        <f>(H466/H465-1)*100</f>
        <v>-7.424114671163573</v>
      </c>
      <c r="L466" s="50">
        <f>(H466/H454-1)*100</f>
        <v>-1.0187063331079549</v>
      </c>
      <c r="M466" s="50">
        <f>H466/H454</f>
        <v>0.98981293666892045</v>
      </c>
      <c r="N466" s="141">
        <f>E466/H466</f>
        <v>0.59196684730634364</v>
      </c>
    </row>
    <row r="467" spans="1:15">
      <c r="D467" s="141"/>
      <c r="E467" s="141"/>
      <c r="F467" s="141"/>
      <c r="G467" s="141"/>
      <c r="H467" s="141"/>
    </row>
    <row r="468" spans="1:15">
      <c r="D468" s="141"/>
      <c r="E468" s="181"/>
      <c r="F468" s="141"/>
      <c r="G468" s="141"/>
    </row>
    <row r="474" spans="1:15">
      <c r="C474" s="63"/>
      <c r="D474" s="63"/>
      <c r="E474" s="63"/>
      <c r="F474" s="63"/>
      <c r="G474" s="63"/>
      <c r="H474" s="63"/>
      <c r="I474" s="63"/>
      <c r="J474" s="63"/>
      <c r="K474" s="63"/>
      <c r="L474" s="63"/>
      <c r="M474" s="63"/>
      <c r="N474" s="63"/>
      <c r="O474" s="63"/>
    </row>
    <row r="476" spans="1:15">
      <c r="C476" s="63"/>
      <c r="D476" s="63"/>
      <c r="E476" s="63"/>
      <c r="F476" s="63"/>
      <c r="G476" s="63"/>
      <c r="H476" s="63"/>
      <c r="I476" s="63"/>
      <c r="J476" s="63"/>
      <c r="K476" s="63"/>
      <c r="L476" s="63"/>
      <c r="M476" s="63"/>
      <c r="N476" s="63"/>
      <c r="O476" s="63"/>
    </row>
    <row r="478" spans="1:15">
      <c r="C478" s="63"/>
      <c r="D478" s="63"/>
      <c r="E478" s="63"/>
      <c r="F478" s="63"/>
      <c r="G478" s="63"/>
      <c r="H478" s="63"/>
      <c r="I478" s="63"/>
      <c r="J478" s="63"/>
      <c r="K478" s="63"/>
      <c r="L478" s="63"/>
      <c r="M478" s="63"/>
      <c r="N478" s="63"/>
      <c r="O478" s="63"/>
    </row>
    <row r="480" spans="1:15">
      <c r="C480" s="63"/>
      <c r="D480" s="63"/>
      <c r="E480" s="63"/>
      <c r="F480" s="63"/>
      <c r="G480" s="63"/>
      <c r="H480" s="63"/>
      <c r="I480" s="63"/>
      <c r="J480" s="63"/>
      <c r="K480" s="63"/>
      <c r="L480" s="63"/>
      <c r="M480" s="63"/>
      <c r="N480" s="63"/>
      <c r="O480" s="63"/>
    </row>
    <row r="482" spans="3:15">
      <c r="C482" s="63"/>
      <c r="D482" s="63"/>
      <c r="E482" s="63"/>
      <c r="F482" s="63"/>
      <c r="G482" s="63"/>
      <c r="H482" s="63"/>
      <c r="I482" s="63"/>
      <c r="J482" s="63"/>
      <c r="K482" s="63"/>
      <c r="L482" s="63"/>
      <c r="M482" s="63"/>
      <c r="N482" s="63"/>
      <c r="O482" s="63"/>
    </row>
    <row r="740" ht="37.5" customHeight="1"/>
    <row r="741" ht="37.5" customHeight="1"/>
  </sheetData>
  <mergeCells count="39">
    <mergeCell ref="B327:B328"/>
    <mergeCell ref="A358:A375"/>
    <mergeCell ref="A340:A357"/>
    <mergeCell ref="C337:O337"/>
    <mergeCell ref="B329:B330"/>
    <mergeCell ref="A327:A330"/>
    <mergeCell ref="A403:A404"/>
    <mergeCell ref="C400:O400"/>
    <mergeCell ref="A417:A420"/>
    <mergeCell ref="A413:A416"/>
    <mergeCell ref="C410:O410"/>
    <mergeCell ref="A405:A406"/>
    <mergeCell ref="A323:A326"/>
    <mergeCell ref="D320:P320"/>
    <mergeCell ref="B4:AB4"/>
    <mergeCell ref="B5:AB5"/>
    <mergeCell ref="A261:A279"/>
    <mergeCell ref="A217:A235"/>
    <mergeCell ref="A198:A216"/>
    <mergeCell ref="A134:A153"/>
    <mergeCell ref="A154:A173"/>
    <mergeCell ref="A280:A298"/>
    <mergeCell ref="B325:B326"/>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188:N188"/>
    <mergeCell ref="C258:O258"/>
    <mergeCell ref="B323:B324"/>
  </mergeCells>
  <phoneticPr fontId="71"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E36" sqref="E36"/>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5"/>
      <c r="D2" s="95"/>
      <c r="E2" s="183" t="s">
        <v>31</v>
      </c>
    </row>
    <row r="3" spans="2:8" ht="15" customHeight="1">
      <c r="C3" s="95"/>
      <c r="D3" s="95"/>
      <c r="E3" s="18" t="str">
        <f>Dat_01!A2</f>
        <v>Mayo 2025</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6"/>
      <c r="D7" s="9"/>
      <c r="E7" s="9"/>
    </row>
    <row r="8" spans="2:8" s="1" customFormat="1" ht="12.6" customHeight="1">
      <c r="B8" s="2"/>
      <c r="C8" s="97"/>
      <c r="D8" s="98" t="s">
        <v>65</v>
      </c>
      <c r="E8" s="99" t="s">
        <v>37</v>
      </c>
      <c r="F8" s="100"/>
      <c r="G8" s="75"/>
    </row>
    <row r="9" spans="2:8" s="1" customFormat="1" ht="12.6" customHeight="1">
      <c r="B9" s="2"/>
      <c r="C9" s="97"/>
      <c r="D9" s="98" t="s">
        <v>65</v>
      </c>
      <c r="E9" s="99" t="s">
        <v>246</v>
      </c>
      <c r="F9" s="100"/>
      <c r="G9" s="75"/>
    </row>
    <row r="10" spans="2:8" s="1" customFormat="1" ht="12.6" customHeight="1">
      <c r="B10" s="2"/>
      <c r="C10" s="97"/>
      <c r="D10" s="98" t="s">
        <v>65</v>
      </c>
      <c r="E10" s="99" t="s">
        <v>66</v>
      </c>
      <c r="F10" s="100"/>
      <c r="H10" s="95"/>
    </row>
    <row r="11" spans="2:8" s="1" customFormat="1" ht="12.6" customHeight="1">
      <c r="B11" s="2"/>
      <c r="C11" s="97"/>
      <c r="D11" s="98" t="s">
        <v>65</v>
      </c>
      <c r="E11" s="99" t="s">
        <v>67</v>
      </c>
      <c r="F11" s="100"/>
      <c r="H11" s="95"/>
    </row>
    <row r="12" spans="2:8" s="1" customFormat="1" ht="12.6" customHeight="1">
      <c r="B12" s="2"/>
      <c r="C12" s="97"/>
      <c r="D12" s="98" t="s">
        <v>65</v>
      </c>
      <c r="E12" s="99" t="s">
        <v>28</v>
      </c>
      <c r="F12" s="100"/>
    </row>
    <row r="13" spans="2:8" s="1" customFormat="1" ht="12.6" customHeight="1">
      <c r="B13" s="2"/>
      <c r="C13" s="97"/>
      <c r="D13" s="98" t="s">
        <v>65</v>
      </c>
      <c r="E13" s="99" t="s">
        <v>68</v>
      </c>
      <c r="F13" s="100"/>
    </row>
    <row r="14" spans="2:8" s="1" customFormat="1" ht="12.6" customHeight="1">
      <c r="B14" s="2"/>
      <c r="C14" s="97"/>
      <c r="D14" s="98" t="s">
        <v>65</v>
      </c>
      <c r="E14" s="99" t="s">
        <v>170</v>
      </c>
      <c r="F14" s="100"/>
    </row>
    <row r="15" spans="2:8" s="1" customFormat="1" ht="12.6" customHeight="1">
      <c r="B15" s="2"/>
      <c r="C15" s="97"/>
      <c r="D15" s="98" t="s">
        <v>65</v>
      </c>
      <c r="E15" s="99" t="s">
        <v>35</v>
      </c>
      <c r="F15" s="100"/>
    </row>
    <row r="16" spans="2:8" s="1" customFormat="1" ht="12.6" customHeight="1">
      <c r="B16" s="2"/>
      <c r="C16" s="97"/>
      <c r="D16" s="98" t="s">
        <v>65</v>
      </c>
      <c r="E16" s="99" t="s">
        <v>227</v>
      </c>
      <c r="F16" s="100"/>
    </row>
    <row r="17" spans="2:6" s="1" customFormat="1" ht="12.6" customHeight="1">
      <c r="B17" s="2"/>
      <c r="C17" s="97"/>
      <c r="D17" s="98" t="s">
        <v>65</v>
      </c>
      <c r="E17" s="99" t="s">
        <v>64</v>
      </c>
      <c r="F17" s="100"/>
    </row>
    <row r="18" spans="2:6" s="1" customFormat="1" ht="12.6" customHeight="1">
      <c r="B18" s="2"/>
      <c r="C18" s="97"/>
      <c r="D18" s="98" t="s">
        <v>65</v>
      </c>
      <c r="E18" s="99" t="s">
        <v>3</v>
      </c>
      <c r="F18" s="100"/>
    </row>
    <row r="19" spans="2:6" s="1" customFormat="1" ht="12.6" customHeight="1">
      <c r="B19" s="2"/>
      <c r="C19" s="97"/>
      <c r="D19" s="98" t="s">
        <v>65</v>
      </c>
      <c r="E19" s="99" t="s">
        <v>148</v>
      </c>
      <c r="F19" s="100"/>
    </row>
    <row r="20" spans="2:6" s="1" customFormat="1" ht="12.6" customHeight="1">
      <c r="B20" s="2"/>
      <c r="C20" s="97"/>
      <c r="D20" s="98" t="s">
        <v>65</v>
      </c>
      <c r="E20" s="99" t="s">
        <v>146</v>
      </c>
      <c r="F20" s="100"/>
    </row>
    <row r="21" spans="2:6" s="1" customFormat="1" ht="12.6" customHeight="1">
      <c r="B21" s="2"/>
      <c r="C21" s="97"/>
      <c r="D21" s="101" t="s">
        <v>65</v>
      </c>
      <c r="E21" s="99" t="s">
        <v>24</v>
      </c>
      <c r="F21" s="100"/>
    </row>
    <row r="22" spans="2:6" s="1" customFormat="1" ht="8.25" customHeight="1">
      <c r="B22" s="2"/>
      <c r="C22" s="97"/>
      <c r="D22" s="101"/>
      <c r="E22" s="102"/>
      <c r="F22" s="100"/>
    </row>
    <row r="23" spans="2:6" ht="11.25" customHeight="1"/>
    <row r="24" spans="2:6">
      <c r="C24" s="103" t="s">
        <v>205</v>
      </c>
      <c r="E24" s="1"/>
    </row>
    <row r="27" spans="2:6">
      <c r="E27" s="3"/>
    </row>
    <row r="28" spans="2:6">
      <c r="E28" s="3"/>
    </row>
    <row r="29" spans="2:6">
      <c r="E29" s="3"/>
    </row>
    <row r="30" spans="2:6">
      <c r="E30" s="6"/>
    </row>
    <row r="31" spans="2:6">
      <c r="E31" s="104"/>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S32" sqref="S32"/>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31</v>
      </c>
    </row>
    <row r="3" spans="3:12" ht="12.75">
      <c r="C3"/>
      <c r="D3"/>
      <c r="L3" s="18" t="str">
        <f>Indice!E3</f>
        <v>Mayo 2025</v>
      </c>
    </row>
    <row r="4" spans="3:12" ht="12.75">
      <c r="C4" s="19" t="s">
        <v>30</v>
      </c>
    </row>
    <row r="5" spans="3:12" ht="11.25">
      <c r="C5" s="3"/>
    </row>
    <row r="6" spans="3:12" ht="11.25">
      <c r="C6" s="4"/>
    </row>
    <row r="7" spans="3:12" ht="10.5" customHeight="1">
      <c r="C7" s="212" t="s">
        <v>37</v>
      </c>
    </row>
    <row r="8" spans="3:12" ht="10.5" customHeight="1">
      <c r="C8" s="212"/>
    </row>
    <row r="9" spans="3:12" ht="10.5" customHeight="1">
      <c r="C9" s="49" t="s">
        <v>14</v>
      </c>
    </row>
    <row r="10" spans="3:12" ht="10.5" customHeight="1"/>
    <row r="11" spans="3:12" ht="10.5" customHeight="1">
      <c r="C11" s="49"/>
    </row>
    <row r="12" spans="3:12" ht="10.5" customHeight="1">
      <c r="C12" s="49"/>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96" zoomScaleNormal="96" workbookViewId="0">
      <selection activeCell="O14" sqref="O1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11" ht="0.6" customHeight="1">
      <c r="F1"/>
    </row>
    <row r="2" spans="2:11" ht="21" customHeight="1">
      <c r="E2" s="17" t="s">
        <v>31</v>
      </c>
      <c r="F2"/>
    </row>
    <row r="3" spans="2:11" ht="15" customHeight="1">
      <c r="E3" s="18" t="str">
        <f>Indice!E3</f>
        <v>Mayo 2025</v>
      </c>
      <c r="F3"/>
    </row>
    <row r="4" spans="2:11" s="1" customFormat="1" ht="20.100000000000001" customHeight="1">
      <c r="B4" s="2"/>
      <c r="C4" s="121" t="s">
        <v>30</v>
      </c>
      <c r="H4"/>
      <c r="I4"/>
      <c r="J4"/>
      <c r="K4"/>
    </row>
    <row r="5" spans="2:11" s="1" customFormat="1" ht="12.6" customHeight="1">
      <c r="B5" s="2"/>
      <c r="C5" s="3"/>
      <c r="H5"/>
      <c r="I5"/>
      <c r="J5"/>
      <c r="K5"/>
    </row>
    <row r="6" spans="2:11" s="1" customFormat="1" ht="13.35" customHeight="1">
      <c r="B6" s="2"/>
      <c r="C6" s="4"/>
      <c r="D6" s="5"/>
      <c r="E6" s="5"/>
      <c r="H6"/>
      <c r="I6"/>
      <c r="J6"/>
      <c r="K6"/>
    </row>
    <row r="7" spans="2:11" s="1" customFormat="1" ht="12.75" customHeight="1">
      <c r="B7" s="2"/>
      <c r="C7" s="212" t="s">
        <v>247</v>
      </c>
      <c r="D7" s="5"/>
      <c r="E7" s="6"/>
      <c r="H7"/>
      <c r="I7"/>
      <c r="J7"/>
      <c r="K7"/>
    </row>
    <row r="8" spans="2:11" s="1" customFormat="1" ht="12.75" customHeight="1">
      <c r="B8" s="2"/>
      <c r="C8" s="212"/>
      <c r="D8" s="5"/>
      <c r="E8" s="6"/>
    </row>
    <row r="9" spans="2:11" s="1" customFormat="1">
      <c r="B9" s="2"/>
      <c r="C9" s="212"/>
      <c r="D9" s="5"/>
      <c r="E9" s="6"/>
    </row>
    <row r="10" spans="2:11" s="1" customFormat="1" ht="12.75" customHeight="1">
      <c r="B10" s="2"/>
      <c r="C10" s="212"/>
      <c r="D10" s="5"/>
      <c r="E10" s="6"/>
    </row>
    <row r="11" spans="2:11" s="1" customFormat="1" ht="12.75" customHeight="1">
      <c r="B11" s="2"/>
      <c r="C11" s="8"/>
      <c r="D11" s="5"/>
      <c r="E11" s="6"/>
      <c r="F11" s="51"/>
    </row>
    <row r="12" spans="2:11" s="1" customFormat="1" ht="12.75" customHeight="1">
      <c r="B12" s="2"/>
      <c r="C12" s="38"/>
      <c r="D12" s="5"/>
      <c r="E12" s="6"/>
      <c r="F12" s="51"/>
    </row>
    <row r="13" spans="2:11" s="1" customFormat="1" ht="12.75" customHeight="1">
      <c r="B13" s="2"/>
      <c r="C13" s="4"/>
      <c r="D13" s="5"/>
      <c r="E13" s="6"/>
      <c r="F13" s="51"/>
    </row>
    <row r="14" spans="2:11" s="1" customFormat="1" ht="12.75" customHeight="1">
      <c r="B14" s="2"/>
      <c r="C14" s="4"/>
      <c r="D14" s="5"/>
      <c r="E14" s="6"/>
      <c r="F14" s="51"/>
    </row>
    <row r="15" spans="2:11" s="1" customFormat="1" ht="12.75" customHeight="1">
      <c r="B15" s="2"/>
      <c r="C15" s="4"/>
      <c r="D15" s="5"/>
      <c r="E15" s="6"/>
      <c r="F15" s="51"/>
    </row>
    <row r="16" spans="2:11" s="1" customFormat="1" ht="12.75" customHeight="1">
      <c r="B16" s="2"/>
      <c r="C16" s="4"/>
      <c r="D16" s="5"/>
      <c r="E16" s="6"/>
      <c r="F16" s="51"/>
    </row>
    <row r="17" spans="2:13" s="1" customFormat="1" ht="12.75" customHeight="1">
      <c r="B17" s="2"/>
      <c r="C17" s="4"/>
      <c r="D17" s="5"/>
      <c r="E17" s="6"/>
      <c r="F17" s="51"/>
    </row>
    <row r="18" spans="2:13" s="1" customFormat="1" ht="12.75" customHeight="1">
      <c r="B18" s="2"/>
      <c r="C18" s="4"/>
      <c r="D18" s="5"/>
      <c r="E18" s="6"/>
      <c r="F18" s="51"/>
    </row>
    <row r="19" spans="2:13" s="1" customFormat="1" ht="12.75" customHeight="1">
      <c r="B19" s="2"/>
      <c r="C19" s="4"/>
      <c r="D19" s="5"/>
      <c r="E19" s="6"/>
      <c r="F19" s="51"/>
    </row>
    <row r="20" spans="2:13" s="1" customFormat="1" ht="12.75" customHeight="1">
      <c r="B20" s="2"/>
      <c r="C20" s="4"/>
      <c r="D20" s="5"/>
      <c r="E20" s="6"/>
      <c r="F20" s="51"/>
    </row>
    <row r="21" spans="2:13" s="1" customFormat="1" ht="12.75" customHeight="1">
      <c r="B21" s="2"/>
      <c r="C21" s="4"/>
      <c r="D21" s="5"/>
      <c r="E21" s="6"/>
      <c r="F21" s="51"/>
    </row>
    <row r="22" spans="2:13">
      <c r="E22" s="6"/>
      <c r="F22" s="51"/>
    </row>
    <row r="23" spans="2:13">
      <c r="E23" s="6"/>
      <c r="F23" s="51"/>
    </row>
    <row r="24" spans="2:13">
      <c r="E24" s="6"/>
      <c r="F24" s="1"/>
      <c r="G24" s="1"/>
      <c r="H24" s="1"/>
    </row>
    <row r="25" spans="2:13">
      <c r="E25" s="6"/>
      <c r="F25" s="1"/>
      <c r="G25" s="1"/>
      <c r="H25" s="1"/>
    </row>
    <row r="26" spans="2:13">
      <c r="E26" s="6"/>
    </row>
    <row r="27" spans="2:13">
      <c r="E27" s="6"/>
      <c r="H27" s="50"/>
      <c r="L27" s="50"/>
      <c r="M27" s="50"/>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S32" sqref="S3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31</v>
      </c>
      <c r="F2"/>
    </row>
    <row r="3" spans="2:19" ht="15" customHeight="1">
      <c r="E3" s="79" t="str">
        <f>Indice!E3</f>
        <v>Mayo 2025</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12" t="s">
        <v>44</v>
      </c>
      <c r="D7" s="5"/>
      <c r="E7" s="12"/>
    </row>
    <row r="8" spans="2:19" s="1" customFormat="1" ht="12.75" customHeight="1">
      <c r="B8" s="2"/>
      <c r="C8" s="212"/>
      <c r="D8" s="5"/>
      <c r="E8" s="12"/>
    </row>
    <row r="9" spans="2:19" s="1" customFormat="1" ht="18" customHeight="1">
      <c r="B9" s="2"/>
      <c r="C9" s="212"/>
      <c r="D9" s="5"/>
      <c r="E9" s="12"/>
      <c r="F9" s="51"/>
      <c r="R9" s="80"/>
      <c r="S9" s="83"/>
    </row>
    <row r="10" spans="2:19" s="1" customFormat="1" ht="12.75" customHeight="1">
      <c r="B10" s="2"/>
      <c r="D10" s="5"/>
      <c r="E10" s="12"/>
      <c r="F10" s="51"/>
      <c r="R10" s="80"/>
      <c r="S10" s="83"/>
    </row>
    <row r="11" spans="2:19" s="1" customFormat="1" ht="12.75" customHeight="1">
      <c r="B11" s="2"/>
      <c r="C11" s="8"/>
      <c r="D11" s="5"/>
      <c r="E11" s="12"/>
      <c r="F11" s="51"/>
      <c r="R11" s="80"/>
      <c r="S11" s="83"/>
    </row>
    <row r="12" spans="2:19" s="1" customFormat="1" ht="12.75" customHeight="1">
      <c r="B12" s="2"/>
      <c r="C12" s="38"/>
      <c r="D12" s="5"/>
      <c r="E12" s="12"/>
      <c r="F12" s="51"/>
      <c r="R12" s="80"/>
      <c r="S12" s="83"/>
    </row>
    <row r="13" spans="2:19" s="1" customFormat="1" ht="12.75" customHeight="1">
      <c r="B13" s="2"/>
      <c r="C13" s="4"/>
      <c r="D13" s="5"/>
      <c r="E13" s="12"/>
      <c r="F13" s="51"/>
      <c r="R13" s="80"/>
      <c r="S13" s="83"/>
    </row>
    <row r="14" spans="2:19" s="1" customFormat="1" ht="12.75" customHeight="1">
      <c r="B14" s="2"/>
      <c r="C14" s="4"/>
      <c r="D14" s="5"/>
      <c r="E14" s="12"/>
      <c r="F14" s="51"/>
      <c r="R14" s="80"/>
      <c r="S14" s="83"/>
    </row>
    <row r="15" spans="2:19" s="1" customFormat="1" ht="12.75" customHeight="1">
      <c r="B15" s="2"/>
      <c r="C15" s="4"/>
      <c r="D15" s="5"/>
      <c r="E15" s="12"/>
      <c r="F15" s="51"/>
      <c r="R15" s="80"/>
      <c r="S15" s="83"/>
    </row>
    <row r="16" spans="2:19" s="1" customFormat="1" ht="12.75" customHeight="1">
      <c r="B16" s="2"/>
      <c r="C16" s="4"/>
      <c r="D16" s="5"/>
      <c r="E16" s="12"/>
      <c r="F16" s="51"/>
      <c r="R16" s="80"/>
      <c r="S16" s="83"/>
    </row>
    <row r="17" spans="2:19" s="1" customFormat="1" ht="12.75" customHeight="1">
      <c r="B17" s="2"/>
      <c r="C17" s="4"/>
      <c r="D17" s="5"/>
      <c r="E17" s="12"/>
      <c r="F17" s="51"/>
      <c r="R17" s="80"/>
      <c r="S17" s="83"/>
    </row>
    <row r="18" spans="2:19" s="1" customFormat="1" ht="12.75" customHeight="1">
      <c r="B18" s="2"/>
      <c r="C18" s="4"/>
      <c r="D18" s="5"/>
      <c r="E18" s="12"/>
      <c r="F18" s="51"/>
      <c r="R18" s="80"/>
      <c r="S18" s="83"/>
    </row>
    <row r="19" spans="2:19" s="1" customFormat="1" ht="12.75" customHeight="1">
      <c r="B19" s="2"/>
      <c r="C19" s="4"/>
      <c r="D19" s="5"/>
      <c r="E19" s="12"/>
      <c r="F19" s="51"/>
      <c r="R19" s="80"/>
      <c r="S19" s="83"/>
    </row>
    <row r="20" spans="2:19" s="1" customFormat="1" ht="12.75" customHeight="1">
      <c r="B20" s="2"/>
      <c r="C20" s="4"/>
      <c r="D20" s="5"/>
      <c r="E20" s="12"/>
      <c r="F20" s="51"/>
      <c r="R20" s="80"/>
      <c r="S20" s="83"/>
    </row>
    <row r="21" spans="2:19" s="1" customFormat="1" ht="12.75" customHeight="1">
      <c r="B21" s="2"/>
      <c r="C21" s="4"/>
      <c r="D21" s="5"/>
      <c r="E21" s="12"/>
      <c r="F21" s="51"/>
      <c r="R21" s="80"/>
      <c r="S21" s="83"/>
    </row>
    <row r="22" spans="2:19">
      <c r="E22" s="12"/>
      <c r="F22" s="1"/>
      <c r="R22" s="81"/>
    </row>
    <row r="23" spans="2:19">
      <c r="E23" s="12"/>
      <c r="F23" s="1"/>
      <c r="R23" s="82"/>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R21" sqref="R21"/>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31</v>
      </c>
    </row>
    <row r="3" spans="1:8">
      <c r="H3" s="79" t="str">
        <f>Indice!E3</f>
        <v>Mayo 2025</v>
      </c>
    </row>
    <row r="4" spans="1:8">
      <c r="B4" s="19" t="s">
        <v>30</v>
      </c>
    </row>
    <row r="7" spans="1:8" ht="12.75" customHeight="1">
      <c r="B7" s="213" t="s">
        <v>38</v>
      </c>
    </row>
    <row r="8" spans="1:8">
      <c r="B8" s="213"/>
    </row>
    <row r="9" spans="1:8">
      <c r="B9" s="47" t="s">
        <v>14</v>
      </c>
    </row>
    <row r="27" spans="5:19">
      <c r="P27" s="21"/>
      <c r="Q27" s="22"/>
      <c r="R27" s="21"/>
      <c r="S27" s="22"/>
    </row>
    <row r="28" spans="5:19">
      <c r="P28" s="23"/>
      <c r="Q28" s="24"/>
      <c r="R28" s="23"/>
      <c r="S28" s="24"/>
    </row>
    <row r="30" spans="5:19">
      <c r="E30" s="67"/>
      <c r="F30" s="67"/>
      <c r="G30" s="67"/>
      <c r="H30" s="67"/>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S32" sqref="S3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79" t="str">
        <f>Indice!E3</f>
        <v>Mayo 2025</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13" t="s">
        <v>28</v>
      </c>
      <c r="D7" s="5"/>
      <c r="E7" s="12"/>
    </row>
    <row r="8" spans="2:39" s="1" customFormat="1" ht="12.75" customHeight="1">
      <c r="B8" s="2"/>
      <c r="C8" s="213"/>
      <c r="D8" s="5"/>
      <c r="E8" s="12"/>
    </row>
    <row r="9" spans="2:39" s="1" customFormat="1" ht="12.75" customHeight="1">
      <c r="B9" s="2"/>
      <c r="C9" s="213"/>
      <c r="D9" s="5"/>
      <c r="E9" s="12"/>
    </row>
    <row r="10" spans="2:39" s="1" customFormat="1" ht="12.75" customHeight="1">
      <c r="B10" s="2"/>
      <c r="C10" s="213"/>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5" customFormat="1" ht="12.75" customHeight="1">
      <c r="C16" s="76"/>
      <c r="D16" s="77"/>
      <c r="E16" s="78"/>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5"/>
      <c r="AM19" s="75"/>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34" t="s">
        <v>190</v>
      </c>
    </row>
    <row r="34" spans="6:6">
      <c r="F34" s="71"/>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S32" sqref="S32"/>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14" t="s">
        <v>31</v>
      </c>
      <c r="F2" s="214"/>
      <c r="G2" s="214"/>
      <c r="H2" s="10"/>
      <c r="I2" s="10"/>
    </row>
    <row r="3" spans="2:11" ht="15" customHeight="1">
      <c r="E3" s="215" t="str">
        <f>Indice!E3</f>
        <v>Mayo 2025</v>
      </c>
      <c r="F3" s="215"/>
      <c r="G3" s="215"/>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4"/>
    </row>
    <row r="7" spans="2:11" s="58" customFormat="1" ht="15" customHeight="1">
      <c r="B7" s="55"/>
      <c r="C7" s="213" t="s">
        <v>63</v>
      </c>
      <c r="D7" s="56"/>
      <c r="E7" s="57"/>
      <c r="F7" s="73"/>
      <c r="G7" s="73"/>
      <c r="I7" s="132"/>
    </row>
    <row r="8" spans="2:11" s="58" customFormat="1" ht="15" customHeight="1">
      <c r="B8" s="55"/>
      <c r="C8" s="213"/>
      <c r="D8" s="56"/>
      <c r="E8" s="59"/>
      <c r="F8" s="60" t="str">
        <f>Dat_01!G97</f>
        <v>2024 Mayo</v>
      </c>
      <c r="G8" s="60" t="str">
        <f>Dat_01!C97</f>
        <v>2025 Mayo</v>
      </c>
      <c r="I8" s="132"/>
    </row>
    <row r="9" spans="2:11" s="1" customFormat="1" ht="15" customHeight="1">
      <c r="B9" s="2"/>
      <c r="C9" s="47"/>
      <c r="D9" s="5"/>
      <c r="E9" s="136" t="s">
        <v>151</v>
      </c>
      <c r="F9" s="137">
        <f>Dat_01!G98/1000000</f>
        <v>166.14846186526</v>
      </c>
      <c r="G9" s="137">
        <f>Dat_01!C98/1000000</f>
        <v>397.91952397017599</v>
      </c>
      <c r="H9" s="58"/>
      <c r="I9" s="132"/>
      <c r="J9" s="58"/>
      <c r="K9" s="58"/>
    </row>
    <row r="10" spans="2:11" s="1" customFormat="1" ht="15" customHeight="1">
      <c r="B10" s="2"/>
      <c r="C10" s="213"/>
      <c r="D10" s="5"/>
      <c r="E10" s="136" t="s">
        <v>152</v>
      </c>
      <c r="F10" s="137">
        <f>Dat_01!G99/1000000</f>
        <v>56.801311573089997</v>
      </c>
      <c r="G10" s="137">
        <f>Dat_01!C99/1000000</f>
        <v>53.058351016319996</v>
      </c>
      <c r="H10" s="58"/>
      <c r="I10" s="132"/>
      <c r="J10" s="58"/>
      <c r="K10" s="58"/>
    </row>
    <row r="11" spans="2:11" s="1" customFormat="1" ht="15" customHeight="1">
      <c r="B11" s="2"/>
      <c r="C11" s="213"/>
      <c r="D11" s="5"/>
      <c r="E11" s="53" t="s">
        <v>40</v>
      </c>
      <c r="F11" s="138">
        <f>SUM(F9:F10)</f>
        <v>222.94977343835001</v>
      </c>
      <c r="G11" s="138">
        <f>SUM(G9:G10)</f>
        <v>450.97787498649598</v>
      </c>
      <c r="H11" s="58"/>
      <c r="I11" s="132"/>
      <c r="J11" s="58"/>
      <c r="K11" s="58"/>
    </row>
    <row r="12" spans="2:11" s="1" customFormat="1" ht="15" customHeight="1">
      <c r="B12" s="2"/>
      <c r="C12" s="213"/>
      <c r="D12" s="5"/>
      <c r="E12" s="53" t="s">
        <v>21</v>
      </c>
      <c r="F12" s="138">
        <f>Dat_01!G101/1000000</f>
        <v>47.18024251184999</v>
      </c>
      <c r="G12" s="138">
        <f>Dat_01!C101/1000000</f>
        <v>45.090544037759997</v>
      </c>
      <c r="H12" s="58"/>
      <c r="I12" s="132"/>
      <c r="J12" s="58"/>
      <c r="K12" s="58"/>
    </row>
    <row r="13" spans="2:11" s="1" customFormat="1" ht="15" customHeight="1">
      <c r="B13" s="2"/>
      <c r="C13" s="4"/>
      <c r="D13" s="5"/>
      <c r="E13" s="53" t="s">
        <v>15</v>
      </c>
      <c r="F13" s="138">
        <f>IF(Dat_01!G102="-",0,Dat_01!G102/1000000)</f>
        <v>6.6607401193199989</v>
      </c>
      <c r="G13" s="138">
        <f>Dat_01!C102/1000000</f>
        <v>5.6861167983360001</v>
      </c>
      <c r="H13" s="58"/>
      <c r="I13" s="132"/>
      <c r="J13" s="58"/>
      <c r="K13" s="58"/>
    </row>
    <row r="14" spans="2:11" s="1" customFormat="1" ht="15" customHeight="1">
      <c r="B14" s="2"/>
      <c r="C14" s="4"/>
      <c r="D14" s="5"/>
      <c r="E14" s="53" t="s">
        <v>135</v>
      </c>
      <c r="F14" s="138">
        <f>(SUM(Dat_01!G103:G105)+IF(Dat_01!G106="-",0,Dat_01!G106))/1000000</f>
        <v>-12.317817548950002</v>
      </c>
      <c r="G14" s="138">
        <f>(SUM(Dat_01!C103:C105)+IF(Dat_01!C106="-",0,Dat_01!C106))/1000000</f>
        <v>-28.973843558399999</v>
      </c>
      <c r="H14" s="58"/>
      <c r="I14" s="132"/>
      <c r="J14" s="58"/>
      <c r="K14" s="58"/>
    </row>
    <row r="15" spans="2:11" s="1" customFormat="1" ht="15" customHeight="1">
      <c r="B15" s="2"/>
      <c r="C15" s="4"/>
      <c r="D15" s="5"/>
      <c r="E15" s="53" t="s">
        <v>41</v>
      </c>
      <c r="F15" s="139">
        <f>IF(Dat_01!G107="-","-",Dat_01!G107/1000000)</f>
        <v>-2.4052672653099996</v>
      </c>
      <c r="G15" s="139">
        <f>IF(Dat_01!C107="-","-",Dat_01!C107/1000000)</f>
        <v>-1.9919517446399999</v>
      </c>
      <c r="H15" s="58"/>
      <c r="I15" s="132"/>
      <c r="J15" s="58"/>
      <c r="K15" s="58"/>
    </row>
    <row r="16" spans="2:11" s="1" customFormat="1" ht="15" customHeight="1">
      <c r="B16" s="2"/>
      <c r="C16" s="4"/>
      <c r="D16" s="5"/>
      <c r="E16" s="54" t="s">
        <v>136</v>
      </c>
      <c r="F16" s="140">
        <f>SUM(F11:F15)</f>
        <v>262.06767125526</v>
      </c>
      <c r="G16" s="140">
        <f>SUM(G11:G15)</f>
        <v>470.78874051955194</v>
      </c>
      <c r="I16" s="95"/>
    </row>
    <row r="17" spans="2:10" s="1" customFormat="1" ht="15" customHeight="1">
      <c r="B17" s="2"/>
      <c r="C17" s="4"/>
      <c r="D17" s="4"/>
      <c r="E17" s="61" t="str">
        <f>"∆"&amp;MID(G8,1,4)&amp;"/"&amp;MID(F8,1,4)</f>
        <v>∆2025/2024</v>
      </c>
      <c r="F17" s="131"/>
      <c r="G17" s="62">
        <f>(G16-F16)/F16</f>
        <v>0.79643959235625361</v>
      </c>
      <c r="I17" s="4"/>
      <c r="J17" s="4"/>
    </row>
    <row r="18" spans="2:10" s="1" customFormat="1" ht="12.75" customHeight="1">
      <c r="B18" s="2"/>
      <c r="C18" s="4"/>
      <c r="D18" s="5"/>
      <c r="H18" s="52"/>
      <c r="I18" s="52"/>
    </row>
    <row r="19" spans="2:10" s="1" customFormat="1" ht="12.75" customHeight="1">
      <c r="B19" s="2"/>
      <c r="C19" s="4"/>
      <c r="D19" s="4"/>
      <c r="E19" s="216" t="s">
        <v>208</v>
      </c>
      <c r="F19" s="216"/>
      <c r="G19" s="216"/>
    </row>
    <row r="20" spans="2:10" s="1" customFormat="1" ht="12.75" customHeight="1">
      <c r="B20" s="2"/>
      <c r="C20" s="4"/>
      <c r="D20" s="4"/>
      <c r="E20" s="216"/>
      <c r="F20" s="216"/>
      <c r="G20" s="216"/>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S32" sqref="S3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31</v>
      </c>
      <c r="F2" s="10"/>
      <c r="G2" s="10"/>
      <c r="H2" s="10"/>
      <c r="I2" s="10"/>
    </row>
    <row r="3" spans="2:9" ht="15" customHeight="1">
      <c r="E3" s="18" t="str">
        <f>Indice!E3</f>
        <v>Mayo 2025</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13" t="s">
        <v>170</v>
      </c>
      <c r="D7" s="5"/>
      <c r="E7" s="12"/>
    </row>
    <row r="8" spans="2:9" s="1" customFormat="1" ht="12.75" customHeight="1">
      <c r="B8" s="2"/>
      <c r="C8" s="213"/>
      <c r="D8" s="5"/>
      <c r="E8" s="12"/>
    </row>
    <row r="9" spans="2:9" s="1" customFormat="1" ht="12.75" customHeight="1">
      <c r="B9" s="2"/>
      <c r="C9" s="213"/>
      <c r="D9" s="5"/>
      <c r="E9" s="12"/>
    </row>
    <row r="10" spans="2:9" s="1" customFormat="1" ht="12.75" customHeight="1">
      <c r="B10" s="2"/>
      <c r="C10" s="47" t="s">
        <v>42</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2"/>
      <c r="I18" s="52"/>
    </row>
    <row r="19" spans="2:9" s="1" customFormat="1" ht="12.75" customHeight="1">
      <c r="B19" s="2"/>
      <c r="C19" s="4"/>
      <c r="D19" s="5"/>
      <c r="E19" s="9"/>
      <c r="H19" s="52"/>
      <c r="I19" s="52"/>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34" t="s">
        <v>159</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2025-06-24T10:19:48Z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